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8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2022\5. LECE\3. Sebuku\Tide\"/>
    </mc:Choice>
  </mc:AlternateContent>
  <xr:revisionPtr revIDLastSave="0" documentId="13_ncr:1_{7B19EE0C-E9BB-4F34-8C06-E6F913CFC083}" xr6:coauthVersionLast="47" xr6:coauthVersionMax="47" xr10:uidLastSave="{00000000-0000-0000-0000-000000000000}"/>
  <bookViews>
    <workbookView xWindow="-120" yWindow="-120" windowWidth="29040" windowHeight="15720" tabRatio="861" firstSheet="33" activeTab="42" xr2:uid="{00000000-000D-0000-FFFF-FFFF00000000}"/>
  </bookViews>
  <sheets>
    <sheet name="data asli x100" sheetId="1" r:id="rId1"/>
    <sheet name="data asli" sheetId="2" r:id="rId2"/>
    <sheet name="skemA1" sheetId="3" r:id="rId3"/>
    <sheet name="Tabel 2" sheetId="4" r:id="rId4"/>
    <sheet name="skemA2" sheetId="6" r:id="rId5"/>
    <sheet name="skemA3" sheetId="7" r:id="rId6"/>
    <sheet name="Tabel 6" sheetId="8" r:id="rId7"/>
    <sheet name="Tabel 7" sheetId="9" r:id="rId8"/>
    <sheet name="X42" sheetId="31" state="hidden" r:id="rId9"/>
    <sheet name="Y42" sheetId="32" state="hidden" r:id="rId10"/>
    <sheet name="X4b" sheetId="33" state="hidden" r:id="rId11"/>
    <sheet name="Y4b" sheetId="34" state="hidden" r:id="rId12"/>
    <sheet name="skemA4" sheetId="35" r:id="rId13"/>
    <sheet name="Tabel 30" sheetId="36" r:id="rId14"/>
    <sheet name="Tabel 31" sheetId="37" r:id="rId15"/>
    <sheet name="Tabel 33" sheetId="39" state="hidden" r:id="rId16"/>
    <sheet name="skemA5&amp;6" sheetId="38" r:id="rId17"/>
    <sheet name="Tabel 34" sheetId="40" r:id="rId18"/>
    <sheet name="Komponen N2" sheetId="41" state="hidden" r:id="rId19"/>
    <sheet name="Komponen K1" sheetId="42" state="hidden" r:id="rId20"/>
    <sheet name="Komponen O1" sheetId="43" state="hidden" r:id="rId21"/>
    <sheet name="Komponen K2" sheetId="44" state="hidden" r:id="rId22"/>
    <sheet name="Komponen P1" sheetId="45" state="hidden" r:id="rId23"/>
    <sheet name="Hitung f" sheetId="46" r:id="rId24"/>
    <sheet name="V''' Hitungan" sheetId="47" r:id="rId25"/>
    <sheet name="Hitung u" sheetId="48" r:id="rId26"/>
    <sheet name="Hitung r" sheetId="49" r:id="rId27"/>
    <sheet name="Buku" sheetId="50" state="hidden" r:id="rId28"/>
    <sheet name="Hitung w dan 1+W" sheetId="51" r:id="rId29"/>
    <sheet name="Tabel 36" sheetId="53" r:id="rId30"/>
    <sheet name="Tabel 37" sheetId="54" r:id="rId31"/>
    <sheet name="Tabel 38 (tan r)" sheetId="55" r:id="rId32"/>
    <sheet name="Tabel 39 (f)" sheetId="56" r:id="rId33"/>
    <sheet name="Tabel 40 (V)" sheetId="57" r:id="rId34"/>
    <sheet name="Tabel 41 (V'')" sheetId="58" r:id="rId35"/>
    <sheet name="Tabel 42 (V''')" sheetId="59" r:id="rId36"/>
    <sheet name="Tabel 43 (u)" sheetId="60" r:id="rId37"/>
    <sheet name="Tabel 44 (w_1+W)" sheetId="61" r:id="rId38"/>
    <sheet name="Duduk Tengah" sheetId="62" r:id="rId39"/>
    <sheet name="Forcasting Pasut" sheetId="63" r:id="rId40"/>
    <sheet name="skemA7" sheetId="52" r:id="rId41"/>
    <sheet name="ChartDatA" sheetId="64" r:id="rId42"/>
    <sheet name="HasiL Edit komnetar perencana" sheetId="65" r:id="rId43"/>
    <sheet name="ChartForcasting" sheetId="66" r:id="rId44"/>
    <sheet name="Sheet1" sheetId="67" r:id="rId45"/>
  </sheets>
  <definedNames>
    <definedName name="_xlnm.Print_Area" localSheetId="1">'data asli'!$A$6:$P$35</definedName>
    <definedName name="_xlnm.Print_Area" localSheetId="0">'data asli x100'!$A$1:$D$367</definedName>
    <definedName name="_xlnm.Print_Area" localSheetId="38">'Duduk Tengah'!$A$1:$W$44</definedName>
    <definedName name="_xlnm.Print_Area" localSheetId="39">'Forcasting Pasut'!$A$2:$O$379</definedName>
    <definedName name="_xlnm.Print_Area" localSheetId="42">'HasiL Edit komnetar perencana'!$AH$79:$BS$99</definedName>
    <definedName name="_xlnm.Print_Area" localSheetId="23">'Hitung f'!$A$1:$L$47</definedName>
    <definedName name="_xlnm.Print_Area" localSheetId="26">'Hitung r'!$A$1:$P$18</definedName>
    <definedName name="_xlnm.Print_Area" localSheetId="25">'Hitung u'!$B$1:$K$38</definedName>
    <definedName name="_xlnm.Print_Area" localSheetId="28">'Hitung w dan 1+W'!$A$1:$O$19</definedName>
    <definedName name="_xlnm.Print_Area" localSheetId="2">skemA1!$A$1:$AB$37</definedName>
    <definedName name="_xlnm.Print_Area" localSheetId="4">skemA2!$B$1:$O$21</definedName>
    <definedName name="_xlnm.Print_Area" localSheetId="5">skemA3!$B$38:$I$72</definedName>
    <definedName name="_xlnm.Print_Area" localSheetId="40">skemA7!$A$1:$M$22</definedName>
    <definedName name="_xlnm.Print_Area" localSheetId="30">'Tabel 37'!$A$1:$K$28</definedName>
    <definedName name="_xlnm.Print_Area" localSheetId="31">'Tabel 38 (tan r)'!$H$2:$Q$50</definedName>
    <definedName name="_xlnm.Print_Area" localSheetId="32">'Tabel 39 (f)'!$G$1:$R$59</definedName>
    <definedName name="_xlnm.Print_Area" localSheetId="33">'Tabel 40 (V)'!$H$1:$Q$58</definedName>
    <definedName name="_xlnm.Print_Area" localSheetId="35">'Tabel 42 (V'''''')'!$A$1:$Q$34</definedName>
    <definedName name="_xlnm.Print_Area" localSheetId="36">'Tabel 43 (u)'!$B$1:$O$112</definedName>
    <definedName name="_xlnm.Print_Area" localSheetId="6">'Tabel 6'!$B$1:$K$35</definedName>
    <definedName name="_xlnm.Print_Area" localSheetId="7">'Tabel 7'!$B$1:$F$35</definedName>
    <definedName name="_xlnm.Print_Area" localSheetId="24">'V'''''' Hitungan'!$B$1:$I$35</definedName>
    <definedName name="_xlnm.Print_Titles" localSheetId="31">'Tabel 38 (tan r)'!$1:$3</definedName>
    <definedName name="_xlnm.Print_Titles" localSheetId="32">'Tabel 39 (f)'!$1:$3</definedName>
    <definedName name="_xlnm.Print_Titles" localSheetId="33">'Tabel 40 (V)'!$1:$3</definedName>
    <definedName name="_xlnm.Print_Titles" localSheetId="36">'Tabel 43 (u)'!$1:$3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0" i="65" l="1"/>
  <c r="I21" i="52"/>
  <c r="H21" i="52"/>
  <c r="AB77" i="65"/>
  <c r="AB78" i="65" s="1"/>
  <c r="F13" i="52" l="1"/>
  <c r="L11" i="64"/>
  <c r="L10" i="64"/>
  <c r="AQ31" i="3"/>
  <c r="I25" i="67" l="1"/>
  <c r="H26" i="67" s="1"/>
  <c r="K13" i="67"/>
  <c r="J11" i="67"/>
  <c r="J12" i="67"/>
  <c r="J13" i="67"/>
  <c r="J14" i="67"/>
  <c r="J15" i="67"/>
  <c r="J16" i="67"/>
  <c r="J10" i="67"/>
  <c r="J17" i="67" s="1"/>
  <c r="G11" i="67"/>
  <c r="H11" i="67"/>
  <c r="K11" i="67" s="1"/>
  <c r="G12" i="67"/>
  <c r="H12" i="67"/>
  <c r="K12" i="67" s="1"/>
  <c r="G13" i="67"/>
  <c r="H13" i="67"/>
  <c r="G14" i="67"/>
  <c r="H14" i="67"/>
  <c r="K14" i="67" s="1"/>
  <c r="G15" i="67"/>
  <c r="H15" i="67"/>
  <c r="K15" i="67" s="1"/>
  <c r="G16" i="67"/>
  <c r="H16" i="67"/>
  <c r="K16" i="67" s="1"/>
  <c r="G10" i="67"/>
  <c r="H10" i="67"/>
  <c r="K10" i="67" s="1"/>
  <c r="AL70" i="65"/>
  <c r="AL71" i="65"/>
  <c r="AL72" i="65"/>
  <c r="AL73" i="65"/>
  <c r="AL74" i="65"/>
  <c r="AL75" i="65"/>
  <c r="AL69" i="65"/>
  <c r="I27" i="67" l="1"/>
  <c r="H27" i="67"/>
  <c r="H29" i="67" s="1"/>
  <c r="L16" i="64"/>
  <c r="L20" i="64" s="1"/>
  <c r="L24" i="64" s="1"/>
  <c r="L15" i="64"/>
  <c r="L19" i="64" s="1"/>
  <c r="L23" i="64" s="1"/>
  <c r="G4" i="48"/>
  <c r="G3" i="48"/>
  <c r="E7" i="48"/>
  <c r="G4" i="46"/>
  <c r="G3" i="46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8" i="1"/>
  <c r="N37" i="1" l="1" a="1"/>
  <c r="P37" i="1" s="1"/>
  <c r="N36" i="1" a="1"/>
  <c r="N36" i="1" s="1"/>
  <c r="N35" i="1" a="1"/>
  <c r="AB35" i="1" s="1"/>
  <c r="N34" i="1" a="1"/>
  <c r="P34" i="1" s="1"/>
  <c r="N33" i="1" a="1"/>
  <c r="P33" i="1" s="1"/>
  <c r="N32" i="1" a="1"/>
  <c r="X32" i="1" s="1"/>
  <c r="N31" i="1" a="1"/>
  <c r="AB31" i="1" s="1"/>
  <c r="N30" i="1" a="1"/>
  <c r="P30" i="1" s="1"/>
  <c r="N29" i="1" a="1"/>
  <c r="P29" i="1" s="1"/>
  <c r="N28" i="1" a="1"/>
  <c r="AJ28" i="1" s="1"/>
  <c r="N27" i="1" a="1"/>
  <c r="P27" i="1" s="1"/>
  <c r="N26" i="1" a="1"/>
  <c r="O26" i="1" s="1"/>
  <c r="N25" i="1" a="1"/>
  <c r="AB25" i="1" s="1"/>
  <c r="N24" i="1" a="1"/>
  <c r="AJ24" i="1" s="1"/>
  <c r="N23" i="1" a="1"/>
  <c r="AF23" i="1" s="1"/>
  <c r="N22" i="1" a="1"/>
  <c r="AB22" i="1" s="1"/>
  <c r="N21" i="1" a="1"/>
  <c r="AF21" i="1" s="1"/>
  <c r="N20" i="1" a="1"/>
  <c r="AB20" i="1" s="1"/>
  <c r="N19" i="1" a="1"/>
  <c r="P19" i="1" s="1"/>
  <c r="N18" i="1" a="1"/>
  <c r="AG18" i="1" s="1"/>
  <c r="N17" i="1" a="1"/>
  <c r="P17" i="1" s="1"/>
  <c r="N16" i="1" a="1"/>
  <c r="P16" i="1" s="1"/>
  <c r="N15" i="1" a="1"/>
  <c r="N15" i="1" s="1"/>
  <c r="N14" i="1" a="1"/>
  <c r="Q14" i="1" s="1"/>
  <c r="N13" i="1" a="1"/>
  <c r="N13" i="1" s="1"/>
  <c r="N12" i="1" a="1"/>
  <c r="Q12" i="1" s="1"/>
  <c r="N11" i="1" a="1"/>
  <c r="N11" i="1" s="1"/>
  <c r="N10" i="1" a="1"/>
  <c r="Q10" i="1" s="1"/>
  <c r="N9" i="1" a="1"/>
  <c r="N9" i="1" s="1"/>
  <c r="N8" i="1" a="1"/>
  <c r="N8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8" i="1"/>
  <c r="U2" i="65"/>
  <c r="N14" i="64"/>
  <c r="O14" i="64"/>
  <c r="P14" i="64"/>
  <c r="Q14" i="64"/>
  <c r="R14" i="64"/>
  <c r="S14" i="64"/>
  <c r="M14" i="64"/>
  <c r="B6" i="3"/>
  <c r="B7" i="3" s="1"/>
  <c r="B66" i="63" s="1"/>
  <c r="J48" i="65"/>
  <c r="J55" i="65"/>
  <c r="U3" i="65"/>
  <c r="F15" i="52"/>
  <c r="G15" i="52"/>
  <c r="G17" i="53" s="1"/>
  <c r="H15" i="52"/>
  <c r="H17" i="53" s="1"/>
  <c r="I15" i="52"/>
  <c r="I17" i="53" s="1"/>
  <c r="J15" i="52"/>
  <c r="J17" i="53"/>
  <c r="K15" i="52"/>
  <c r="L15" i="52"/>
  <c r="M15" i="52"/>
  <c r="E15" i="52"/>
  <c r="E8" i="52"/>
  <c r="F8" i="52"/>
  <c r="G8" i="52"/>
  <c r="H8" i="52"/>
  <c r="I8" i="52"/>
  <c r="J8" i="52"/>
  <c r="K8" i="52"/>
  <c r="L8" i="52"/>
  <c r="M8" i="52"/>
  <c r="D8" i="52"/>
  <c r="I11" i="52"/>
  <c r="H11" i="52"/>
  <c r="G11" i="52"/>
  <c r="E11" i="52"/>
  <c r="M71" i="56"/>
  <c r="M72" i="56"/>
  <c r="M73" i="56"/>
  <c r="M74" i="56"/>
  <c r="M75" i="56"/>
  <c r="M76" i="56"/>
  <c r="E6" i="35"/>
  <c r="CM37" i="9"/>
  <c r="E38" i="35" s="1"/>
  <c r="CL37" i="9"/>
  <c r="D38" i="35" s="1"/>
  <c r="CM32" i="9"/>
  <c r="E33" i="35" s="1"/>
  <c r="CL32" i="9"/>
  <c r="D33" i="35" s="1"/>
  <c r="CM27" i="9"/>
  <c r="E28" i="35" s="1"/>
  <c r="CL27" i="9"/>
  <c r="D28" i="35" s="1"/>
  <c r="CM22" i="9"/>
  <c r="E23" i="35" s="1"/>
  <c r="CL22" i="9"/>
  <c r="D23" i="35" s="1"/>
  <c r="CM19" i="9"/>
  <c r="E20" i="35" s="1"/>
  <c r="CL19" i="9"/>
  <c r="D20" i="35" s="1"/>
  <c r="CM15" i="9"/>
  <c r="E16" i="35" s="1"/>
  <c r="CL15" i="9"/>
  <c r="D16" i="35" s="1"/>
  <c r="CM10" i="9"/>
  <c r="E11" i="35" s="1"/>
  <c r="CL10" i="9"/>
  <c r="D11" i="35" s="1"/>
  <c r="CM7" i="9"/>
  <c r="E8" i="35" s="1"/>
  <c r="CL7" i="9"/>
  <c r="D8" i="35" s="1"/>
  <c r="E6" i="65"/>
  <c r="C69" i="65"/>
  <c r="C79" i="65" s="1"/>
  <c r="T69" i="65"/>
  <c r="C70" i="65"/>
  <c r="C80" i="65" s="1"/>
  <c r="T70" i="65"/>
  <c r="C71" i="65"/>
  <c r="C81" i="65" s="1"/>
  <c r="T71" i="65"/>
  <c r="C72" i="65"/>
  <c r="C82" i="65" s="1"/>
  <c r="T72" i="65"/>
  <c r="C73" i="65"/>
  <c r="C83" i="65" s="1"/>
  <c r="T73" i="65"/>
  <c r="C74" i="65"/>
  <c r="C84" i="65" s="1"/>
  <c r="T74" i="65"/>
  <c r="C75" i="65"/>
  <c r="C85" i="65" s="1"/>
  <c r="T75" i="65"/>
  <c r="G91" i="65"/>
  <c r="G92" i="65"/>
  <c r="G93" i="65"/>
  <c r="B18" i="63"/>
  <c r="C18" i="63"/>
  <c r="D18" i="63"/>
  <c r="E19" i="63"/>
  <c r="E20" i="63" s="1"/>
  <c r="E21" i="63" s="1"/>
  <c r="E22" i="63" s="1"/>
  <c r="E23" i="63" s="1"/>
  <c r="E24" i="63" s="1"/>
  <c r="E25" i="63" s="1"/>
  <c r="E26" i="63" s="1"/>
  <c r="E27" i="63" s="1"/>
  <c r="E28" i="63" s="1"/>
  <c r="E29" i="63" s="1"/>
  <c r="E30" i="63" s="1"/>
  <c r="E31" i="63" s="1"/>
  <c r="E32" i="63" s="1"/>
  <c r="E33" i="63" s="1"/>
  <c r="E34" i="63" s="1"/>
  <c r="E35" i="63" s="1"/>
  <c r="E36" i="63" s="1"/>
  <c r="E37" i="63" s="1"/>
  <c r="E38" i="63" s="1"/>
  <c r="E39" i="63" s="1"/>
  <c r="E40" i="63" s="1"/>
  <c r="E41" i="63" s="1"/>
  <c r="E42" i="63" s="1"/>
  <c r="E43" i="63" s="1"/>
  <c r="E44" i="63" s="1"/>
  <c r="E45" i="63" s="1"/>
  <c r="E46" i="63" s="1"/>
  <c r="E47" i="63" s="1"/>
  <c r="E48" i="63" s="1"/>
  <c r="E49" i="63" s="1"/>
  <c r="E50" i="63" s="1"/>
  <c r="E51" i="63" s="1"/>
  <c r="E52" i="63" s="1"/>
  <c r="E53" i="63" s="1"/>
  <c r="E54" i="63" s="1"/>
  <c r="E55" i="63" s="1"/>
  <c r="E56" i="63" s="1"/>
  <c r="E57" i="63" s="1"/>
  <c r="E58" i="63" s="1"/>
  <c r="E59" i="63" s="1"/>
  <c r="E60" i="63" s="1"/>
  <c r="E61" i="63" s="1"/>
  <c r="E62" i="63" s="1"/>
  <c r="E63" i="63" s="1"/>
  <c r="E64" i="63" s="1"/>
  <c r="E65" i="63" s="1"/>
  <c r="E66" i="63" s="1"/>
  <c r="E67" i="63" s="1"/>
  <c r="E68" i="63" s="1"/>
  <c r="E69" i="63" s="1"/>
  <c r="E70" i="63" s="1"/>
  <c r="E71" i="63" s="1"/>
  <c r="E72" i="63" s="1"/>
  <c r="E73" i="63" s="1"/>
  <c r="E74" i="63" s="1"/>
  <c r="E75" i="63" s="1"/>
  <c r="E76" i="63" s="1"/>
  <c r="E77" i="63" s="1"/>
  <c r="E78" i="63" s="1"/>
  <c r="E79" i="63" s="1"/>
  <c r="E80" i="63" s="1"/>
  <c r="E81" i="63" s="1"/>
  <c r="E82" i="63" s="1"/>
  <c r="E83" i="63" s="1"/>
  <c r="E84" i="63" s="1"/>
  <c r="E85" i="63" s="1"/>
  <c r="E86" i="63" s="1"/>
  <c r="E87" i="63" s="1"/>
  <c r="E88" i="63" s="1"/>
  <c r="E89" i="63" s="1"/>
  <c r="E90" i="63" s="1"/>
  <c r="E91" i="63" s="1"/>
  <c r="E92" i="63" s="1"/>
  <c r="E93" i="63" s="1"/>
  <c r="E94" i="63" s="1"/>
  <c r="E95" i="63" s="1"/>
  <c r="E96" i="63" s="1"/>
  <c r="E97" i="63" s="1"/>
  <c r="E98" i="63" s="1"/>
  <c r="E99" i="63" s="1"/>
  <c r="E100" i="63" s="1"/>
  <c r="E101" i="63" s="1"/>
  <c r="E102" i="63" s="1"/>
  <c r="E103" i="63" s="1"/>
  <c r="E104" i="63" s="1"/>
  <c r="E105" i="63" s="1"/>
  <c r="E106" i="63" s="1"/>
  <c r="E107" i="63" s="1"/>
  <c r="E108" i="63" s="1"/>
  <c r="E109" i="63" s="1"/>
  <c r="E110" i="63" s="1"/>
  <c r="E111" i="63" s="1"/>
  <c r="E112" i="63" s="1"/>
  <c r="E113" i="63" s="1"/>
  <c r="E114" i="63" s="1"/>
  <c r="E115" i="63" s="1"/>
  <c r="E116" i="63" s="1"/>
  <c r="E117" i="63" s="1"/>
  <c r="E118" i="63" s="1"/>
  <c r="E119" i="63" s="1"/>
  <c r="E120" i="63" s="1"/>
  <c r="E121" i="63" s="1"/>
  <c r="E122" i="63" s="1"/>
  <c r="E123" i="63" s="1"/>
  <c r="E124" i="63" s="1"/>
  <c r="E125" i="63" s="1"/>
  <c r="E126" i="63" s="1"/>
  <c r="E127" i="63" s="1"/>
  <c r="E128" i="63" s="1"/>
  <c r="E129" i="63" s="1"/>
  <c r="E130" i="63" s="1"/>
  <c r="E131" i="63" s="1"/>
  <c r="E132" i="63" s="1"/>
  <c r="E133" i="63" s="1"/>
  <c r="E134" i="63" s="1"/>
  <c r="E135" i="63" s="1"/>
  <c r="E136" i="63" s="1"/>
  <c r="E137" i="63" s="1"/>
  <c r="E138" i="63" s="1"/>
  <c r="E139" i="63" s="1"/>
  <c r="E140" i="63" s="1"/>
  <c r="E141" i="63" s="1"/>
  <c r="E142" i="63" s="1"/>
  <c r="E143" i="63" s="1"/>
  <c r="E144" i="63" s="1"/>
  <c r="E145" i="63" s="1"/>
  <c r="E146" i="63" s="1"/>
  <c r="E147" i="63" s="1"/>
  <c r="E148" i="63" s="1"/>
  <c r="E149" i="63" s="1"/>
  <c r="E150" i="63" s="1"/>
  <c r="E151" i="63" s="1"/>
  <c r="E152" i="63" s="1"/>
  <c r="E153" i="63" s="1"/>
  <c r="E154" i="63" s="1"/>
  <c r="E155" i="63" s="1"/>
  <c r="E156" i="63" s="1"/>
  <c r="E157" i="63" s="1"/>
  <c r="E158" i="63" s="1"/>
  <c r="E159" i="63" s="1"/>
  <c r="E160" i="63" s="1"/>
  <c r="E161" i="63" s="1"/>
  <c r="E162" i="63" s="1"/>
  <c r="E163" i="63" s="1"/>
  <c r="E164" i="63" s="1"/>
  <c r="E165" i="63" s="1"/>
  <c r="E166" i="63" s="1"/>
  <c r="E167" i="63" s="1"/>
  <c r="E168" i="63" s="1"/>
  <c r="E169" i="63" s="1"/>
  <c r="E170" i="63" s="1"/>
  <c r="E171" i="63" s="1"/>
  <c r="E172" i="63" s="1"/>
  <c r="E173" i="63" s="1"/>
  <c r="E174" i="63" s="1"/>
  <c r="E175" i="63" s="1"/>
  <c r="E176" i="63" s="1"/>
  <c r="E177" i="63" s="1"/>
  <c r="E178" i="63" s="1"/>
  <c r="E179" i="63" s="1"/>
  <c r="E180" i="63" s="1"/>
  <c r="E181" i="63" s="1"/>
  <c r="E182" i="63" s="1"/>
  <c r="E183" i="63" s="1"/>
  <c r="E184" i="63" s="1"/>
  <c r="E185" i="63" s="1"/>
  <c r="E186" i="63" s="1"/>
  <c r="E187" i="63" s="1"/>
  <c r="E188" i="63" s="1"/>
  <c r="E189" i="63" s="1"/>
  <c r="E190" i="63" s="1"/>
  <c r="E191" i="63" s="1"/>
  <c r="E192" i="63" s="1"/>
  <c r="E193" i="63" s="1"/>
  <c r="E194" i="63" s="1"/>
  <c r="E195" i="63" s="1"/>
  <c r="E196" i="63" s="1"/>
  <c r="E197" i="63" s="1"/>
  <c r="E198" i="63" s="1"/>
  <c r="E199" i="63" s="1"/>
  <c r="E200" i="63" s="1"/>
  <c r="E201" i="63" s="1"/>
  <c r="E202" i="63" s="1"/>
  <c r="E203" i="63" s="1"/>
  <c r="E204" i="63" s="1"/>
  <c r="E205" i="63" s="1"/>
  <c r="E206" i="63" s="1"/>
  <c r="E207" i="63" s="1"/>
  <c r="E208" i="63" s="1"/>
  <c r="E209" i="63" s="1"/>
  <c r="E210" i="63" s="1"/>
  <c r="E211" i="63" s="1"/>
  <c r="E212" i="63" s="1"/>
  <c r="E213" i="63" s="1"/>
  <c r="E214" i="63" s="1"/>
  <c r="E215" i="63" s="1"/>
  <c r="E216" i="63" s="1"/>
  <c r="E217" i="63" s="1"/>
  <c r="E218" i="63" s="1"/>
  <c r="E219" i="63" s="1"/>
  <c r="E220" i="63" s="1"/>
  <c r="E221" i="63" s="1"/>
  <c r="E222" i="63" s="1"/>
  <c r="E223" i="63" s="1"/>
  <c r="E224" i="63" s="1"/>
  <c r="E225" i="63" s="1"/>
  <c r="E226" i="63" s="1"/>
  <c r="E227" i="63" s="1"/>
  <c r="E228" i="63" s="1"/>
  <c r="E229" i="63" s="1"/>
  <c r="E230" i="63" s="1"/>
  <c r="E231" i="63" s="1"/>
  <c r="E232" i="63" s="1"/>
  <c r="E233" i="63" s="1"/>
  <c r="E234" i="63" s="1"/>
  <c r="E235" i="63" s="1"/>
  <c r="E236" i="63" s="1"/>
  <c r="E237" i="63" s="1"/>
  <c r="E238" i="63" s="1"/>
  <c r="E239" i="63" s="1"/>
  <c r="E240" i="63" s="1"/>
  <c r="E241" i="63" s="1"/>
  <c r="E242" i="63" s="1"/>
  <c r="E243" i="63" s="1"/>
  <c r="E244" i="63" s="1"/>
  <c r="E245" i="63" s="1"/>
  <c r="E246" i="63" s="1"/>
  <c r="E247" i="63" s="1"/>
  <c r="E248" i="63" s="1"/>
  <c r="E249" i="63" s="1"/>
  <c r="E250" i="63" s="1"/>
  <c r="E251" i="63" s="1"/>
  <c r="E252" i="63" s="1"/>
  <c r="E253" i="63" s="1"/>
  <c r="E254" i="63" s="1"/>
  <c r="E255" i="63" s="1"/>
  <c r="E256" i="63" s="1"/>
  <c r="E257" i="63" s="1"/>
  <c r="E258" i="63" s="1"/>
  <c r="E259" i="63" s="1"/>
  <c r="E260" i="63" s="1"/>
  <c r="E261" i="63" s="1"/>
  <c r="E262" i="63" s="1"/>
  <c r="E263" i="63" s="1"/>
  <c r="E264" i="63" s="1"/>
  <c r="E265" i="63" s="1"/>
  <c r="E266" i="63" s="1"/>
  <c r="E267" i="63" s="1"/>
  <c r="E268" i="63" s="1"/>
  <c r="E269" i="63" s="1"/>
  <c r="E270" i="63" s="1"/>
  <c r="E271" i="63" s="1"/>
  <c r="E272" i="63" s="1"/>
  <c r="E273" i="63" s="1"/>
  <c r="E274" i="63" s="1"/>
  <c r="E275" i="63" s="1"/>
  <c r="E276" i="63" s="1"/>
  <c r="E277" i="63" s="1"/>
  <c r="E278" i="63" s="1"/>
  <c r="E279" i="63" s="1"/>
  <c r="E280" i="63" s="1"/>
  <c r="E281" i="63" s="1"/>
  <c r="E282" i="63" s="1"/>
  <c r="E283" i="63" s="1"/>
  <c r="E284" i="63" s="1"/>
  <c r="E285" i="63" s="1"/>
  <c r="E286" i="63" s="1"/>
  <c r="E287" i="63" s="1"/>
  <c r="E288" i="63" s="1"/>
  <c r="E289" i="63" s="1"/>
  <c r="E290" i="63" s="1"/>
  <c r="E291" i="63" s="1"/>
  <c r="E292" i="63" s="1"/>
  <c r="E293" i="63" s="1"/>
  <c r="E294" i="63" s="1"/>
  <c r="E295" i="63" s="1"/>
  <c r="E296" i="63" s="1"/>
  <c r="E297" i="63" s="1"/>
  <c r="E298" i="63" s="1"/>
  <c r="E299" i="63" s="1"/>
  <c r="E300" i="63" s="1"/>
  <c r="E301" i="63" s="1"/>
  <c r="E302" i="63" s="1"/>
  <c r="E303" i="63" s="1"/>
  <c r="E304" i="63" s="1"/>
  <c r="E305" i="63" s="1"/>
  <c r="E306" i="63" s="1"/>
  <c r="E307" i="63" s="1"/>
  <c r="E308" i="63" s="1"/>
  <c r="E309" i="63" s="1"/>
  <c r="E310" i="63" s="1"/>
  <c r="E311" i="63" s="1"/>
  <c r="E312" i="63" s="1"/>
  <c r="E313" i="63" s="1"/>
  <c r="E314" i="63" s="1"/>
  <c r="E315" i="63" s="1"/>
  <c r="E316" i="63" s="1"/>
  <c r="E317" i="63" s="1"/>
  <c r="E318" i="63" s="1"/>
  <c r="E319" i="63" s="1"/>
  <c r="E320" i="63" s="1"/>
  <c r="E321" i="63" s="1"/>
  <c r="E322" i="63" s="1"/>
  <c r="E323" i="63" s="1"/>
  <c r="E324" i="63" s="1"/>
  <c r="E325" i="63" s="1"/>
  <c r="E326" i="63" s="1"/>
  <c r="E327" i="63" s="1"/>
  <c r="E328" i="63" s="1"/>
  <c r="E329" i="63" s="1"/>
  <c r="E330" i="63" s="1"/>
  <c r="E331" i="63" s="1"/>
  <c r="E332" i="63" s="1"/>
  <c r="E333" i="63" s="1"/>
  <c r="E334" i="63" s="1"/>
  <c r="E335" i="63" s="1"/>
  <c r="E336" i="63" s="1"/>
  <c r="E337" i="63" s="1"/>
  <c r="E338" i="63" s="1"/>
  <c r="E339" i="63" s="1"/>
  <c r="E340" i="63" s="1"/>
  <c r="E341" i="63" s="1"/>
  <c r="E342" i="63" s="1"/>
  <c r="E343" i="63" s="1"/>
  <c r="E344" i="63" s="1"/>
  <c r="E345" i="63" s="1"/>
  <c r="E346" i="63" s="1"/>
  <c r="E347" i="63" s="1"/>
  <c r="E348" i="63" s="1"/>
  <c r="E349" i="63" s="1"/>
  <c r="E350" i="63" s="1"/>
  <c r="E351" i="63" s="1"/>
  <c r="E352" i="63" s="1"/>
  <c r="E353" i="63" s="1"/>
  <c r="E354" i="63" s="1"/>
  <c r="E355" i="63" s="1"/>
  <c r="E356" i="63" s="1"/>
  <c r="E357" i="63" s="1"/>
  <c r="E358" i="63" s="1"/>
  <c r="E359" i="63" s="1"/>
  <c r="E360" i="63" s="1"/>
  <c r="E361" i="63" s="1"/>
  <c r="E362" i="63" s="1"/>
  <c r="E363" i="63" s="1"/>
  <c r="E364" i="63" s="1"/>
  <c r="E365" i="63" s="1"/>
  <c r="E366" i="63" s="1"/>
  <c r="E367" i="63" s="1"/>
  <c r="E368" i="63" s="1"/>
  <c r="E369" i="63" s="1"/>
  <c r="E370" i="63" s="1"/>
  <c r="E371" i="63" s="1"/>
  <c r="E372" i="63" s="1"/>
  <c r="E373" i="63" s="1"/>
  <c r="E374" i="63" s="1"/>
  <c r="E375" i="63" s="1"/>
  <c r="E376" i="63" s="1"/>
  <c r="E377" i="63" s="1"/>
  <c r="C42" i="63"/>
  <c r="D42" i="63"/>
  <c r="C66" i="63"/>
  <c r="D66" i="63"/>
  <c r="C90" i="63"/>
  <c r="D90" i="63"/>
  <c r="C114" i="63"/>
  <c r="D114" i="63"/>
  <c r="C138" i="63"/>
  <c r="D138" i="63"/>
  <c r="C162" i="63"/>
  <c r="D162" i="63"/>
  <c r="C186" i="63"/>
  <c r="D186" i="63"/>
  <c r="C210" i="63"/>
  <c r="D210" i="63"/>
  <c r="C234" i="63"/>
  <c r="D234" i="63"/>
  <c r="C258" i="63"/>
  <c r="D258" i="63"/>
  <c r="C282" i="63"/>
  <c r="D282" i="63"/>
  <c r="C306" i="63"/>
  <c r="D306" i="63"/>
  <c r="C330" i="63"/>
  <c r="D330" i="63"/>
  <c r="C354" i="63"/>
  <c r="D354" i="63"/>
  <c r="X4" i="62"/>
  <c r="A5" i="62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H1" i="60"/>
  <c r="H2" i="60"/>
  <c r="H3" i="60"/>
  <c r="I3" i="60"/>
  <c r="M3" i="60" s="1"/>
  <c r="J3" i="60"/>
  <c r="N3" i="60" s="1"/>
  <c r="K3" i="60"/>
  <c r="O3" i="60" s="1"/>
  <c r="L3" i="60"/>
  <c r="H4" i="60"/>
  <c r="I4" i="60"/>
  <c r="J4" i="60"/>
  <c r="K4" i="60"/>
  <c r="M4" i="60"/>
  <c r="N4" i="60"/>
  <c r="O4" i="60"/>
  <c r="B5" i="60"/>
  <c r="H5" i="60" s="1"/>
  <c r="I5" i="60"/>
  <c r="J5" i="60"/>
  <c r="K5" i="60"/>
  <c r="M5" i="60"/>
  <c r="N5" i="60"/>
  <c r="O5" i="60"/>
  <c r="I6" i="60"/>
  <c r="J6" i="60"/>
  <c r="K6" i="60"/>
  <c r="M6" i="60"/>
  <c r="N6" i="60"/>
  <c r="O6" i="60"/>
  <c r="I7" i="60"/>
  <c r="J7" i="60"/>
  <c r="K7" i="60"/>
  <c r="M7" i="60"/>
  <c r="N7" i="60"/>
  <c r="O7" i="60"/>
  <c r="I8" i="60"/>
  <c r="J8" i="60"/>
  <c r="K8" i="60"/>
  <c r="M8" i="60"/>
  <c r="N8" i="60"/>
  <c r="O8" i="60"/>
  <c r="I9" i="60"/>
  <c r="J9" i="60"/>
  <c r="K9" i="60"/>
  <c r="M9" i="60"/>
  <c r="N9" i="60"/>
  <c r="O9" i="60"/>
  <c r="I10" i="60"/>
  <c r="J10" i="60"/>
  <c r="K10" i="60"/>
  <c r="M10" i="60"/>
  <c r="N10" i="60"/>
  <c r="O10" i="60"/>
  <c r="I11" i="60"/>
  <c r="J11" i="60"/>
  <c r="K11" i="60"/>
  <c r="M11" i="60"/>
  <c r="N11" i="60"/>
  <c r="O11" i="60"/>
  <c r="I12" i="60"/>
  <c r="J12" i="60"/>
  <c r="K12" i="60"/>
  <c r="M12" i="60"/>
  <c r="N12" i="60"/>
  <c r="O12" i="60"/>
  <c r="I13" i="60"/>
  <c r="J13" i="60"/>
  <c r="K13" i="60"/>
  <c r="M13" i="60"/>
  <c r="N13" i="60"/>
  <c r="O13" i="60"/>
  <c r="I14" i="60"/>
  <c r="J14" i="60"/>
  <c r="K14" i="60"/>
  <c r="M14" i="60"/>
  <c r="N14" i="60"/>
  <c r="O14" i="60"/>
  <c r="I15" i="60"/>
  <c r="J15" i="60"/>
  <c r="K15" i="60"/>
  <c r="M15" i="60"/>
  <c r="N15" i="60"/>
  <c r="O15" i="60"/>
  <c r="I16" i="60"/>
  <c r="J16" i="60"/>
  <c r="K16" i="60"/>
  <c r="M16" i="60"/>
  <c r="N16" i="60"/>
  <c r="O16" i="60"/>
  <c r="I17" i="60"/>
  <c r="J17" i="60"/>
  <c r="K17" i="60"/>
  <c r="M17" i="60"/>
  <c r="N17" i="60"/>
  <c r="O17" i="60"/>
  <c r="I18" i="60"/>
  <c r="J18" i="60"/>
  <c r="K18" i="60"/>
  <c r="M18" i="60"/>
  <c r="N18" i="60"/>
  <c r="O18" i="60"/>
  <c r="I19" i="60"/>
  <c r="J19" i="60"/>
  <c r="K19" i="60"/>
  <c r="M19" i="60"/>
  <c r="N19" i="60"/>
  <c r="O19" i="60"/>
  <c r="I20" i="60"/>
  <c r="J20" i="60"/>
  <c r="K20" i="60"/>
  <c r="M20" i="60"/>
  <c r="N20" i="60"/>
  <c r="O20" i="60"/>
  <c r="I21" i="60"/>
  <c r="J21" i="60"/>
  <c r="K21" i="60"/>
  <c r="M21" i="60"/>
  <c r="N21" i="60"/>
  <c r="O21" i="60"/>
  <c r="I22" i="60"/>
  <c r="J22" i="60"/>
  <c r="K22" i="60"/>
  <c r="M22" i="60"/>
  <c r="N22" i="60"/>
  <c r="O22" i="60"/>
  <c r="I23" i="60"/>
  <c r="J23" i="60"/>
  <c r="K23" i="60"/>
  <c r="M23" i="60"/>
  <c r="N23" i="60"/>
  <c r="O23" i="60"/>
  <c r="I24" i="60"/>
  <c r="J24" i="60"/>
  <c r="K24" i="60"/>
  <c r="M24" i="60"/>
  <c r="N24" i="60"/>
  <c r="O24" i="60"/>
  <c r="I25" i="60"/>
  <c r="J25" i="60"/>
  <c r="K25" i="60"/>
  <c r="M25" i="60"/>
  <c r="N25" i="60"/>
  <c r="O25" i="60"/>
  <c r="I26" i="60"/>
  <c r="J26" i="60"/>
  <c r="K26" i="60"/>
  <c r="M26" i="60"/>
  <c r="N26" i="60"/>
  <c r="O26" i="60"/>
  <c r="I27" i="60"/>
  <c r="J27" i="60"/>
  <c r="K27" i="60"/>
  <c r="M27" i="60"/>
  <c r="N27" i="60"/>
  <c r="O27" i="60"/>
  <c r="I28" i="60"/>
  <c r="J28" i="60"/>
  <c r="K28" i="60"/>
  <c r="M28" i="60"/>
  <c r="N28" i="60"/>
  <c r="O28" i="60"/>
  <c r="I29" i="60"/>
  <c r="J29" i="60"/>
  <c r="K29" i="60"/>
  <c r="M29" i="60"/>
  <c r="N29" i="60"/>
  <c r="O29" i="60"/>
  <c r="I30" i="60"/>
  <c r="J30" i="60"/>
  <c r="K30" i="60"/>
  <c r="M30" i="60"/>
  <c r="N30" i="60"/>
  <c r="O30" i="60"/>
  <c r="I31" i="60"/>
  <c r="J31" i="60"/>
  <c r="K31" i="60"/>
  <c r="M31" i="60"/>
  <c r="N31" i="60"/>
  <c r="O31" i="60"/>
  <c r="I32" i="60"/>
  <c r="J32" i="60"/>
  <c r="K32" i="60"/>
  <c r="M32" i="60"/>
  <c r="N32" i="60"/>
  <c r="O32" i="60"/>
  <c r="I33" i="60"/>
  <c r="J33" i="60"/>
  <c r="K33" i="60"/>
  <c r="M33" i="60"/>
  <c r="N33" i="60"/>
  <c r="O33" i="60"/>
  <c r="I34" i="60"/>
  <c r="J34" i="60"/>
  <c r="K34" i="60"/>
  <c r="M34" i="60"/>
  <c r="N34" i="60"/>
  <c r="O34" i="60"/>
  <c r="I35" i="60"/>
  <c r="J35" i="60"/>
  <c r="K35" i="60"/>
  <c r="M35" i="60"/>
  <c r="N35" i="60"/>
  <c r="O35" i="60"/>
  <c r="I36" i="60"/>
  <c r="J36" i="60"/>
  <c r="K36" i="60"/>
  <c r="M36" i="60"/>
  <c r="N36" i="60"/>
  <c r="O36" i="60"/>
  <c r="I37" i="60"/>
  <c r="J37" i="60"/>
  <c r="K37" i="60"/>
  <c r="M37" i="60"/>
  <c r="N37" i="60"/>
  <c r="O37" i="60"/>
  <c r="I38" i="60"/>
  <c r="J38" i="60"/>
  <c r="K38" i="60"/>
  <c r="M38" i="60"/>
  <c r="N38" i="60"/>
  <c r="O38" i="60"/>
  <c r="I39" i="60"/>
  <c r="J39" i="60"/>
  <c r="K39" i="60"/>
  <c r="M39" i="60"/>
  <c r="N39" i="60"/>
  <c r="O39" i="60"/>
  <c r="I40" i="60"/>
  <c r="J40" i="60"/>
  <c r="K40" i="60"/>
  <c r="M40" i="60"/>
  <c r="N40" i="60"/>
  <c r="O40" i="60"/>
  <c r="I41" i="60"/>
  <c r="J41" i="60"/>
  <c r="K41" i="60"/>
  <c r="M41" i="60"/>
  <c r="N41" i="60"/>
  <c r="O41" i="60"/>
  <c r="I42" i="60"/>
  <c r="J42" i="60"/>
  <c r="K42" i="60"/>
  <c r="M42" i="60"/>
  <c r="N42" i="60"/>
  <c r="O42" i="60"/>
  <c r="I43" i="60"/>
  <c r="J43" i="60"/>
  <c r="K43" i="60"/>
  <c r="M43" i="60"/>
  <c r="N43" i="60"/>
  <c r="O43" i="60"/>
  <c r="I44" i="60"/>
  <c r="J44" i="60"/>
  <c r="K44" i="60"/>
  <c r="M44" i="60"/>
  <c r="N44" i="60"/>
  <c r="O44" i="60"/>
  <c r="I45" i="60"/>
  <c r="J45" i="60"/>
  <c r="K45" i="60"/>
  <c r="M45" i="60"/>
  <c r="N45" i="60"/>
  <c r="O45" i="60"/>
  <c r="I46" i="60"/>
  <c r="J46" i="60"/>
  <c r="K46" i="60"/>
  <c r="M46" i="60"/>
  <c r="N46" i="60"/>
  <c r="O46" i="60"/>
  <c r="I47" i="60"/>
  <c r="J47" i="60"/>
  <c r="K47" i="60"/>
  <c r="M47" i="60"/>
  <c r="N47" i="60"/>
  <c r="O47" i="60"/>
  <c r="I48" i="60"/>
  <c r="J48" i="60"/>
  <c r="K48" i="60"/>
  <c r="M48" i="60"/>
  <c r="N48" i="60"/>
  <c r="O48" i="60"/>
  <c r="I49" i="60"/>
  <c r="J49" i="60"/>
  <c r="K49" i="60"/>
  <c r="M49" i="60"/>
  <c r="N49" i="60"/>
  <c r="O49" i="60"/>
  <c r="I50" i="60"/>
  <c r="J50" i="60"/>
  <c r="K50" i="60"/>
  <c r="M50" i="60"/>
  <c r="N50" i="60"/>
  <c r="O50" i="60"/>
  <c r="I51" i="60"/>
  <c r="J51" i="60"/>
  <c r="K51" i="60"/>
  <c r="M51" i="60"/>
  <c r="N51" i="60"/>
  <c r="O51" i="60"/>
  <c r="I52" i="60"/>
  <c r="J52" i="60"/>
  <c r="K52" i="60"/>
  <c r="M52" i="60"/>
  <c r="N52" i="60"/>
  <c r="O52" i="60"/>
  <c r="I53" i="60"/>
  <c r="J53" i="60"/>
  <c r="K53" i="60"/>
  <c r="M53" i="60"/>
  <c r="N53" i="60"/>
  <c r="O53" i="60"/>
  <c r="I54" i="60"/>
  <c r="J54" i="60"/>
  <c r="K54" i="60"/>
  <c r="M54" i="60"/>
  <c r="N54" i="60"/>
  <c r="O54" i="60"/>
  <c r="I55" i="60"/>
  <c r="J55" i="60"/>
  <c r="K55" i="60"/>
  <c r="M55" i="60"/>
  <c r="N55" i="60"/>
  <c r="O55" i="60"/>
  <c r="I56" i="60"/>
  <c r="J56" i="60"/>
  <c r="K56" i="60"/>
  <c r="M56" i="60"/>
  <c r="N56" i="60"/>
  <c r="O56" i="60"/>
  <c r="I57" i="60"/>
  <c r="J57" i="60"/>
  <c r="K57" i="60"/>
  <c r="M57" i="60"/>
  <c r="N57" i="60"/>
  <c r="O57" i="60"/>
  <c r="I58" i="60"/>
  <c r="J58" i="60"/>
  <c r="K58" i="60"/>
  <c r="M58" i="60"/>
  <c r="N58" i="60"/>
  <c r="O58" i="60"/>
  <c r="M59" i="60"/>
  <c r="N59" i="60"/>
  <c r="O59" i="60"/>
  <c r="M60" i="60"/>
  <c r="N60" i="60"/>
  <c r="O60" i="60"/>
  <c r="M61" i="60"/>
  <c r="N61" i="60"/>
  <c r="O61" i="60"/>
  <c r="H1" i="59"/>
  <c r="H2" i="59"/>
  <c r="H3" i="59"/>
  <c r="M3" i="59" s="1"/>
  <c r="I3" i="59"/>
  <c r="N3" i="59" s="1"/>
  <c r="J3" i="59"/>
  <c r="O3" i="59" s="1"/>
  <c r="K3" i="59"/>
  <c r="P3" i="59" s="1"/>
  <c r="L3" i="59"/>
  <c r="Q3" i="59" s="1"/>
  <c r="H4" i="59"/>
  <c r="I4" i="59"/>
  <c r="J4" i="59"/>
  <c r="K4" i="59"/>
  <c r="L4" i="59"/>
  <c r="M4" i="59"/>
  <c r="N4" i="59"/>
  <c r="O4" i="59"/>
  <c r="P4" i="59"/>
  <c r="Q4" i="59"/>
  <c r="H5" i="59"/>
  <c r="I5" i="59"/>
  <c r="J5" i="59"/>
  <c r="K5" i="59"/>
  <c r="L5" i="59"/>
  <c r="M5" i="59"/>
  <c r="N5" i="59"/>
  <c r="O5" i="59"/>
  <c r="P5" i="59"/>
  <c r="Q5" i="59"/>
  <c r="H6" i="59"/>
  <c r="I6" i="59"/>
  <c r="J6" i="59"/>
  <c r="K6" i="59"/>
  <c r="L6" i="59"/>
  <c r="M6" i="59"/>
  <c r="N6" i="59"/>
  <c r="O6" i="59"/>
  <c r="P6" i="59"/>
  <c r="Q6" i="59"/>
  <c r="H7" i="59"/>
  <c r="I7" i="59"/>
  <c r="J7" i="59"/>
  <c r="K7" i="59"/>
  <c r="L7" i="59"/>
  <c r="M7" i="59"/>
  <c r="N7" i="59"/>
  <c r="O7" i="59"/>
  <c r="P7" i="59"/>
  <c r="Q7" i="59"/>
  <c r="H8" i="59"/>
  <c r="I8" i="59"/>
  <c r="J8" i="59"/>
  <c r="K8" i="59"/>
  <c r="L8" i="59"/>
  <c r="M8" i="59"/>
  <c r="N8" i="59"/>
  <c r="O8" i="59"/>
  <c r="P8" i="59"/>
  <c r="Q8" i="59"/>
  <c r="H9" i="59"/>
  <c r="I9" i="59"/>
  <c r="J9" i="59"/>
  <c r="K9" i="59"/>
  <c r="L9" i="59"/>
  <c r="M9" i="59"/>
  <c r="N9" i="59"/>
  <c r="O9" i="59"/>
  <c r="P9" i="59"/>
  <c r="Q9" i="59"/>
  <c r="H10" i="59"/>
  <c r="I10" i="59"/>
  <c r="J10" i="59"/>
  <c r="K10" i="59"/>
  <c r="L10" i="59"/>
  <c r="M10" i="59"/>
  <c r="N10" i="59"/>
  <c r="O10" i="59"/>
  <c r="P10" i="59"/>
  <c r="Q10" i="59"/>
  <c r="H11" i="59"/>
  <c r="I11" i="59"/>
  <c r="J11" i="59"/>
  <c r="K11" i="59"/>
  <c r="L11" i="59"/>
  <c r="M11" i="59"/>
  <c r="N11" i="59"/>
  <c r="O11" i="59"/>
  <c r="P11" i="59"/>
  <c r="Q11" i="59"/>
  <c r="H12" i="59"/>
  <c r="I12" i="59"/>
  <c r="J12" i="59"/>
  <c r="K12" i="59"/>
  <c r="L12" i="59"/>
  <c r="M12" i="59"/>
  <c r="N12" i="59"/>
  <c r="O12" i="59"/>
  <c r="P12" i="59"/>
  <c r="Q12" i="59"/>
  <c r="H13" i="59"/>
  <c r="I13" i="59"/>
  <c r="J13" i="59"/>
  <c r="K13" i="59"/>
  <c r="L13" i="59"/>
  <c r="M13" i="59"/>
  <c r="N13" i="59"/>
  <c r="O13" i="59"/>
  <c r="P13" i="59"/>
  <c r="Q13" i="59"/>
  <c r="H14" i="59"/>
  <c r="I14" i="59"/>
  <c r="J14" i="59"/>
  <c r="K14" i="59"/>
  <c r="L14" i="59"/>
  <c r="M14" i="59"/>
  <c r="N14" i="59"/>
  <c r="O14" i="59"/>
  <c r="P14" i="59"/>
  <c r="Q14" i="59"/>
  <c r="H15" i="59"/>
  <c r="I15" i="59"/>
  <c r="J15" i="59"/>
  <c r="K15" i="59"/>
  <c r="L15" i="59"/>
  <c r="M15" i="59"/>
  <c r="N15" i="59"/>
  <c r="O15" i="59"/>
  <c r="P15" i="59"/>
  <c r="Q15" i="59"/>
  <c r="H16" i="59"/>
  <c r="I16" i="59"/>
  <c r="J16" i="59"/>
  <c r="K16" i="59"/>
  <c r="L16" i="59"/>
  <c r="M16" i="59"/>
  <c r="N16" i="59"/>
  <c r="O16" i="59"/>
  <c r="P16" i="59"/>
  <c r="Q16" i="59"/>
  <c r="H17" i="59"/>
  <c r="I17" i="59"/>
  <c r="J17" i="59"/>
  <c r="K17" i="59"/>
  <c r="L17" i="59"/>
  <c r="M17" i="59"/>
  <c r="N17" i="59"/>
  <c r="O17" i="59"/>
  <c r="P17" i="59"/>
  <c r="Q17" i="59"/>
  <c r="H18" i="59"/>
  <c r="I18" i="59"/>
  <c r="J18" i="59"/>
  <c r="K18" i="59"/>
  <c r="L18" i="59"/>
  <c r="M18" i="59"/>
  <c r="N18" i="59"/>
  <c r="O18" i="59"/>
  <c r="P18" i="59"/>
  <c r="Q18" i="59"/>
  <c r="M19" i="59"/>
  <c r="N19" i="59"/>
  <c r="O19" i="59"/>
  <c r="P19" i="59"/>
  <c r="Q19" i="59"/>
  <c r="H1" i="57"/>
  <c r="I2" i="57"/>
  <c r="H3" i="57"/>
  <c r="M3" i="57" s="1"/>
  <c r="I3" i="57"/>
  <c r="N3" i="57" s="1"/>
  <c r="J3" i="57"/>
  <c r="O3" i="57" s="1"/>
  <c r="K3" i="57"/>
  <c r="P3" i="57" s="1"/>
  <c r="L3" i="57"/>
  <c r="Q3" i="57" s="1"/>
  <c r="H4" i="57"/>
  <c r="I4" i="57"/>
  <c r="J4" i="57"/>
  <c r="K4" i="57"/>
  <c r="L4" i="57"/>
  <c r="N4" i="57"/>
  <c r="O4" i="57"/>
  <c r="P4" i="57"/>
  <c r="Q4" i="57"/>
  <c r="B5" i="57"/>
  <c r="H5" i="57" s="1"/>
  <c r="I5" i="57"/>
  <c r="J5" i="57"/>
  <c r="K5" i="57"/>
  <c r="L5" i="57"/>
  <c r="N5" i="57"/>
  <c r="O5" i="57"/>
  <c r="P5" i="57"/>
  <c r="Q5" i="57"/>
  <c r="B6" i="57"/>
  <c r="H6" i="57" s="1"/>
  <c r="I6" i="57"/>
  <c r="J6" i="57"/>
  <c r="K6" i="57"/>
  <c r="L6" i="57"/>
  <c r="N6" i="57"/>
  <c r="O6" i="57"/>
  <c r="P6" i="57"/>
  <c r="Q6" i="57"/>
  <c r="I7" i="57"/>
  <c r="J7" i="57"/>
  <c r="K7" i="57"/>
  <c r="L7" i="57"/>
  <c r="N7" i="57"/>
  <c r="O7" i="57"/>
  <c r="P7" i="57"/>
  <c r="Q7" i="57"/>
  <c r="I8" i="57"/>
  <c r="J8" i="57"/>
  <c r="K8" i="57"/>
  <c r="L8" i="57"/>
  <c r="N8" i="57"/>
  <c r="O8" i="57"/>
  <c r="P8" i="57"/>
  <c r="Q8" i="57"/>
  <c r="I9" i="57"/>
  <c r="J9" i="57"/>
  <c r="K9" i="57"/>
  <c r="L9" i="57"/>
  <c r="N9" i="57"/>
  <c r="O9" i="57"/>
  <c r="P9" i="57"/>
  <c r="Q9" i="57"/>
  <c r="I10" i="57"/>
  <c r="J10" i="57"/>
  <c r="K10" i="57"/>
  <c r="L10" i="57"/>
  <c r="N10" i="57"/>
  <c r="O10" i="57"/>
  <c r="P10" i="57"/>
  <c r="Q10" i="57"/>
  <c r="I11" i="57"/>
  <c r="J11" i="57"/>
  <c r="K11" i="57"/>
  <c r="L11" i="57"/>
  <c r="N11" i="57"/>
  <c r="O11" i="57"/>
  <c r="P11" i="57"/>
  <c r="Q11" i="57"/>
  <c r="I12" i="57"/>
  <c r="J12" i="57"/>
  <c r="K12" i="57"/>
  <c r="L12" i="57"/>
  <c r="N12" i="57"/>
  <c r="O12" i="57"/>
  <c r="P12" i="57"/>
  <c r="Q12" i="57"/>
  <c r="I13" i="57"/>
  <c r="J13" i="57"/>
  <c r="K13" i="57"/>
  <c r="L13" i="57"/>
  <c r="N13" i="57"/>
  <c r="O13" i="57"/>
  <c r="P13" i="57"/>
  <c r="Q13" i="57"/>
  <c r="I14" i="57"/>
  <c r="J14" i="57"/>
  <c r="K14" i="57"/>
  <c r="L14" i="57"/>
  <c r="N14" i="57"/>
  <c r="O14" i="57"/>
  <c r="P14" i="57"/>
  <c r="Q14" i="57"/>
  <c r="I15" i="57"/>
  <c r="J15" i="57"/>
  <c r="K15" i="57"/>
  <c r="L15" i="57"/>
  <c r="N15" i="57"/>
  <c r="O15" i="57"/>
  <c r="P15" i="57"/>
  <c r="Q15" i="57"/>
  <c r="I16" i="57"/>
  <c r="J16" i="57"/>
  <c r="K16" i="57"/>
  <c r="L16" i="57"/>
  <c r="N16" i="57"/>
  <c r="O16" i="57"/>
  <c r="P16" i="57"/>
  <c r="Q16" i="57"/>
  <c r="I17" i="57"/>
  <c r="J17" i="57"/>
  <c r="K17" i="57"/>
  <c r="L17" i="57"/>
  <c r="N17" i="57"/>
  <c r="O17" i="57"/>
  <c r="P17" i="57"/>
  <c r="Q17" i="57"/>
  <c r="I18" i="57"/>
  <c r="J18" i="57"/>
  <c r="K18" i="57"/>
  <c r="L18" i="57"/>
  <c r="N18" i="57"/>
  <c r="O18" i="57"/>
  <c r="P18" i="57"/>
  <c r="Q18" i="57"/>
  <c r="I19" i="57"/>
  <c r="J19" i="57"/>
  <c r="K19" i="57"/>
  <c r="L19" i="57"/>
  <c r="N19" i="57"/>
  <c r="O19" i="57"/>
  <c r="P19" i="57"/>
  <c r="Q19" i="57"/>
  <c r="I20" i="57"/>
  <c r="J20" i="57"/>
  <c r="K20" i="57"/>
  <c r="L20" i="57"/>
  <c r="N20" i="57"/>
  <c r="O20" i="57"/>
  <c r="P20" i="57"/>
  <c r="Q20" i="57"/>
  <c r="I21" i="57"/>
  <c r="J21" i="57"/>
  <c r="K21" i="57"/>
  <c r="L21" i="57"/>
  <c r="N21" i="57"/>
  <c r="O21" i="57"/>
  <c r="P21" i="57"/>
  <c r="Q21" i="57"/>
  <c r="I22" i="57"/>
  <c r="J22" i="57"/>
  <c r="K22" i="57"/>
  <c r="L22" i="57"/>
  <c r="N22" i="57"/>
  <c r="O22" i="57"/>
  <c r="P22" i="57"/>
  <c r="Q22" i="57"/>
  <c r="I23" i="57"/>
  <c r="J23" i="57"/>
  <c r="K23" i="57"/>
  <c r="L23" i="57"/>
  <c r="N23" i="57"/>
  <c r="O23" i="57"/>
  <c r="P23" i="57"/>
  <c r="Q23" i="57"/>
  <c r="I24" i="57"/>
  <c r="J24" i="57"/>
  <c r="K24" i="57"/>
  <c r="L24" i="57"/>
  <c r="N24" i="57"/>
  <c r="O24" i="57"/>
  <c r="P24" i="57"/>
  <c r="Q24" i="57"/>
  <c r="I25" i="57"/>
  <c r="J25" i="57"/>
  <c r="K25" i="57"/>
  <c r="L25" i="57"/>
  <c r="N25" i="57"/>
  <c r="O25" i="57"/>
  <c r="P25" i="57"/>
  <c r="Q25" i="57"/>
  <c r="I26" i="57"/>
  <c r="J26" i="57"/>
  <c r="K26" i="57"/>
  <c r="L26" i="57"/>
  <c r="N26" i="57"/>
  <c r="O26" i="57"/>
  <c r="P26" i="57"/>
  <c r="Q26" i="57"/>
  <c r="I27" i="57"/>
  <c r="J27" i="57"/>
  <c r="K27" i="57"/>
  <c r="L27" i="57"/>
  <c r="N27" i="57"/>
  <c r="O27" i="57"/>
  <c r="P27" i="57"/>
  <c r="Q27" i="57"/>
  <c r="I28" i="57"/>
  <c r="J28" i="57"/>
  <c r="K28" i="57"/>
  <c r="L28" i="57"/>
  <c r="N28" i="57"/>
  <c r="O28" i="57"/>
  <c r="P28" i="57"/>
  <c r="Q28" i="57"/>
  <c r="I29" i="57"/>
  <c r="J29" i="57"/>
  <c r="K29" i="57"/>
  <c r="L29" i="57"/>
  <c r="N29" i="57"/>
  <c r="O29" i="57"/>
  <c r="P29" i="57"/>
  <c r="Q29" i="57"/>
  <c r="I30" i="57"/>
  <c r="J30" i="57"/>
  <c r="K30" i="57"/>
  <c r="L30" i="57"/>
  <c r="N30" i="57"/>
  <c r="O30" i="57"/>
  <c r="P30" i="57"/>
  <c r="Q30" i="57"/>
  <c r="I31" i="57"/>
  <c r="J31" i="57"/>
  <c r="K31" i="57"/>
  <c r="L31" i="57"/>
  <c r="N31" i="57"/>
  <c r="O31" i="57"/>
  <c r="P31" i="57"/>
  <c r="Q31" i="57"/>
  <c r="I32" i="57"/>
  <c r="J32" i="57"/>
  <c r="K32" i="57"/>
  <c r="L32" i="57"/>
  <c r="N32" i="57"/>
  <c r="O32" i="57"/>
  <c r="P32" i="57"/>
  <c r="Q32" i="57"/>
  <c r="I33" i="57"/>
  <c r="J33" i="57"/>
  <c r="K33" i="57"/>
  <c r="L33" i="57"/>
  <c r="N33" i="57"/>
  <c r="O33" i="57"/>
  <c r="P33" i="57"/>
  <c r="Q33" i="57"/>
  <c r="I34" i="57"/>
  <c r="J34" i="57"/>
  <c r="K34" i="57"/>
  <c r="L34" i="57"/>
  <c r="N34" i="57"/>
  <c r="O34" i="57"/>
  <c r="P34" i="57"/>
  <c r="Q34" i="57"/>
  <c r="I35" i="57"/>
  <c r="J35" i="57"/>
  <c r="K35" i="57"/>
  <c r="L35" i="57"/>
  <c r="N35" i="57"/>
  <c r="O35" i="57"/>
  <c r="P35" i="57"/>
  <c r="Q35" i="57"/>
  <c r="I36" i="57"/>
  <c r="J36" i="57"/>
  <c r="K36" i="57"/>
  <c r="L36" i="57"/>
  <c r="N36" i="57"/>
  <c r="O36" i="57"/>
  <c r="P36" i="57"/>
  <c r="Q36" i="57"/>
  <c r="I37" i="57"/>
  <c r="J37" i="57"/>
  <c r="K37" i="57"/>
  <c r="L37" i="57"/>
  <c r="N37" i="57"/>
  <c r="O37" i="57"/>
  <c r="P37" i="57"/>
  <c r="Q37" i="57"/>
  <c r="I38" i="57"/>
  <c r="J38" i="57"/>
  <c r="K38" i="57"/>
  <c r="L38" i="57"/>
  <c r="N38" i="57"/>
  <c r="O38" i="57"/>
  <c r="P38" i="57"/>
  <c r="Q38" i="57"/>
  <c r="I39" i="57"/>
  <c r="J39" i="57"/>
  <c r="K39" i="57"/>
  <c r="L39" i="57"/>
  <c r="N39" i="57"/>
  <c r="O39" i="57"/>
  <c r="P39" i="57"/>
  <c r="Q39" i="57"/>
  <c r="I40" i="57"/>
  <c r="J40" i="57"/>
  <c r="K40" i="57"/>
  <c r="L40" i="57"/>
  <c r="N40" i="57"/>
  <c r="O40" i="57"/>
  <c r="P40" i="57"/>
  <c r="Q40" i="57"/>
  <c r="I41" i="57"/>
  <c r="J41" i="57"/>
  <c r="K41" i="57"/>
  <c r="L41" i="57"/>
  <c r="N41" i="57"/>
  <c r="O41" i="57"/>
  <c r="P41" i="57"/>
  <c r="Q41" i="57"/>
  <c r="I42" i="57"/>
  <c r="J42" i="57"/>
  <c r="K42" i="57"/>
  <c r="L42" i="57"/>
  <c r="N42" i="57"/>
  <c r="O42" i="57"/>
  <c r="P42" i="57"/>
  <c r="Q42" i="57"/>
  <c r="I43" i="57"/>
  <c r="J43" i="57"/>
  <c r="K43" i="57"/>
  <c r="L43" i="57"/>
  <c r="N43" i="57"/>
  <c r="O43" i="57"/>
  <c r="P43" i="57"/>
  <c r="Q43" i="57"/>
  <c r="I44" i="57"/>
  <c r="J44" i="57"/>
  <c r="K44" i="57"/>
  <c r="L44" i="57"/>
  <c r="N44" i="57"/>
  <c r="O44" i="57"/>
  <c r="P44" i="57"/>
  <c r="Q44" i="57"/>
  <c r="I45" i="57"/>
  <c r="J45" i="57"/>
  <c r="K45" i="57"/>
  <c r="L45" i="57"/>
  <c r="N45" i="57"/>
  <c r="O45" i="57"/>
  <c r="P45" i="57"/>
  <c r="Q45" i="57"/>
  <c r="I46" i="57"/>
  <c r="J46" i="57"/>
  <c r="K46" i="57"/>
  <c r="L46" i="57"/>
  <c r="N46" i="57"/>
  <c r="O46" i="57"/>
  <c r="P46" i="57"/>
  <c r="Q46" i="57"/>
  <c r="I47" i="57"/>
  <c r="J47" i="57"/>
  <c r="K47" i="57"/>
  <c r="L47" i="57"/>
  <c r="N47" i="57"/>
  <c r="O47" i="57"/>
  <c r="P47" i="57"/>
  <c r="Q47" i="57"/>
  <c r="I48" i="57"/>
  <c r="J48" i="57"/>
  <c r="K48" i="57"/>
  <c r="L48" i="57"/>
  <c r="N48" i="57"/>
  <c r="O48" i="57"/>
  <c r="P48" i="57"/>
  <c r="Q48" i="57"/>
  <c r="I49" i="57"/>
  <c r="J49" i="57"/>
  <c r="K49" i="57"/>
  <c r="L49" i="57"/>
  <c r="N49" i="57"/>
  <c r="O49" i="57"/>
  <c r="P49" i="57"/>
  <c r="Q49" i="57"/>
  <c r="I50" i="57"/>
  <c r="J50" i="57"/>
  <c r="K50" i="57"/>
  <c r="L50" i="57"/>
  <c r="N50" i="57"/>
  <c r="O50" i="57"/>
  <c r="P50" i="57"/>
  <c r="Q50" i="57"/>
  <c r="I51" i="57"/>
  <c r="J51" i="57"/>
  <c r="K51" i="57"/>
  <c r="L51" i="57"/>
  <c r="N51" i="57"/>
  <c r="O51" i="57"/>
  <c r="P51" i="57"/>
  <c r="Q51" i="57"/>
  <c r="I52" i="57"/>
  <c r="J52" i="57"/>
  <c r="K52" i="57"/>
  <c r="L52" i="57"/>
  <c r="N52" i="57"/>
  <c r="O52" i="57"/>
  <c r="P52" i="57"/>
  <c r="Q52" i="57"/>
  <c r="I53" i="57"/>
  <c r="J53" i="57"/>
  <c r="K53" i="57"/>
  <c r="L53" i="57"/>
  <c r="N53" i="57"/>
  <c r="O53" i="57"/>
  <c r="P53" i="57"/>
  <c r="Q53" i="57"/>
  <c r="I54" i="57"/>
  <c r="J54" i="57"/>
  <c r="K54" i="57"/>
  <c r="L54" i="57"/>
  <c r="N54" i="57"/>
  <c r="O54" i="57"/>
  <c r="P54" i="57"/>
  <c r="Q54" i="57"/>
  <c r="I55" i="57"/>
  <c r="J55" i="57"/>
  <c r="K55" i="57"/>
  <c r="L55" i="57"/>
  <c r="N55" i="57"/>
  <c r="O55" i="57"/>
  <c r="P55" i="57"/>
  <c r="Q55" i="57"/>
  <c r="I56" i="57"/>
  <c r="J56" i="57"/>
  <c r="K56" i="57"/>
  <c r="L56" i="57"/>
  <c r="N56" i="57"/>
  <c r="O56" i="57"/>
  <c r="P56" i="57"/>
  <c r="Q56" i="57"/>
  <c r="I57" i="57"/>
  <c r="J57" i="57"/>
  <c r="K57" i="57"/>
  <c r="L57" i="57"/>
  <c r="N57" i="57"/>
  <c r="O57" i="57"/>
  <c r="P57" i="57"/>
  <c r="Q57" i="57"/>
  <c r="I58" i="57"/>
  <c r="J58" i="57"/>
  <c r="K58" i="57"/>
  <c r="L58" i="57"/>
  <c r="N58" i="57"/>
  <c r="O58" i="57"/>
  <c r="P58" i="57"/>
  <c r="Q58" i="57"/>
  <c r="N59" i="57"/>
  <c r="O59" i="57"/>
  <c r="P59" i="57"/>
  <c r="Q59" i="57"/>
  <c r="N60" i="57"/>
  <c r="O60" i="57"/>
  <c r="P60" i="57"/>
  <c r="Q60" i="57"/>
  <c r="N61" i="57"/>
  <c r="O61" i="57"/>
  <c r="P61" i="57"/>
  <c r="Q61" i="57"/>
  <c r="H1" i="56"/>
  <c r="I2" i="56"/>
  <c r="H3" i="56"/>
  <c r="M3" i="56" s="1"/>
  <c r="I3" i="56"/>
  <c r="N3" i="56" s="1"/>
  <c r="J3" i="56"/>
  <c r="O3" i="56" s="1"/>
  <c r="K3" i="56"/>
  <c r="P3" i="56" s="1"/>
  <c r="L3" i="56"/>
  <c r="Q3" i="56"/>
  <c r="H4" i="56"/>
  <c r="I4" i="56"/>
  <c r="J4" i="56"/>
  <c r="K4" i="56"/>
  <c r="L4" i="56"/>
  <c r="N4" i="56"/>
  <c r="O4" i="56"/>
  <c r="P4" i="56"/>
  <c r="Q4" i="56"/>
  <c r="B5" i="56"/>
  <c r="H5" i="56" s="1"/>
  <c r="I5" i="56"/>
  <c r="J5" i="56"/>
  <c r="K5" i="56"/>
  <c r="L5" i="56"/>
  <c r="N5" i="56"/>
  <c r="O5" i="56"/>
  <c r="P5" i="56"/>
  <c r="Q5" i="56"/>
  <c r="I6" i="56"/>
  <c r="J6" i="56"/>
  <c r="K6" i="56"/>
  <c r="L6" i="56"/>
  <c r="N6" i="56"/>
  <c r="O6" i="56"/>
  <c r="P6" i="56"/>
  <c r="Q6" i="56"/>
  <c r="I7" i="56"/>
  <c r="J7" i="56"/>
  <c r="K7" i="56"/>
  <c r="L7" i="56"/>
  <c r="N7" i="56"/>
  <c r="O7" i="56"/>
  <c r="P7" i="56"/>
  <c r="Q7" i="56"/>
  <c r="I8" i="56"/>
  <c r="J8" i="56"/>
  <c r="K8" i="56"/>
  <c r="L8" i="56"/>
  <c r="N8" i="56"/>
  <c r="O8" i="56"/>
  <c r="P8" i="56"/>
  <c r="Q8" i="56"/>
  <c r="I9" i="56"/>
  <c r="J9" i="56"/>
  <c r="K9" i="56"/>
  <c r="L9" i="56"/>
  <c r="N9" i="56"/>
  <c r="O9" i="56"/>
  <c r="P9" i="56"/>
  <c r="Q9" i="56"/>
  <c r="I10" i="56"/>
  <c r="J10" i="56"/>
  <c r="K10" i="56"/>
  <c r="L10" i="56"/>
  <c r="N10" i="56"/>
  <c r="O10" i="56"/>
  <c r="P10" i="56"/>
  <c r="Q10" i="56"/>
  <c r="I11" i="56"/>
  <c r="J11" i="56"/>
  <c r="K11" i="56"/>
  <c r="L11" i="56"/>
  <c r="N11" i="56"/>
  <c r="O11" i="56"/>
  <c r="P11" i="56"/>
  <c r="Q11" i="56"/>
  <c r="I12" i="56"/>
  <c r="J12" i="56"/>
  <c r="K12" i="56"/>
  <c r="L12" i="56"/>
  <c r="N12" i="56"/>
  <c r="O12" i="56"/>
  <c r="P12" i="56"/>
  <c r="Q12" i="56"/>
  <c r="I13" i="56"/>
  <c r="J13" i="56"/>
  <c r="K13" i="56"/>
  <c r="L13" i="56"/>
  <c r="N13" i="56"/>
  <c r="O13" i="56"/>
  <c r="P13" i="56"/>
  <c r="Q13" i="56"/>
  <c r="I14" i="56"/>
  <c r="J14" i="56"/>
  <c r="K14" i="56"/>
  <c r="L14" i="56"/>
  <c r="N14" i="56"/>
  <c r="O14" i="56"/>
  <c r="P14" i="56"/>
  <c r="Q14" i="56"/>
  <c r="I15" i="56"/>
  <c r="J15" i="56"/>
  <c r="K15" i="56"/>
  <c r="L15" i="56"/>
  <c r="N15" i="56"/>
  <c r="O15" i="56"/>
  <c r="P15" i="56"/>
  <c r="Q15" i="56"/>
  <c r="I16" i="56"/>
  <c r="J16" i="56"/>
  <c r="K16" i="56"/>
  <c r="L16" i="56"/>
  <c r="N16" i="56"/>
  <c r="O16" i="56"/>
  <c r="P16" i="56"/>
  <c r="Q16" i="56"/>
  <c r="I17" i="56"/>
  <c r="J17" i="56"/>
  <c r="K17" i="56"/>
  <c r="L17" i="56"/>
  <c r="N17" i="56"/>
  <c r="O17" i="56"/>
  <c r="P17" i="56"/>
  <c r="Q17" i="56"/>
  <c r="I18" i="56"/>
  <c r="J18" i="56"/>
  <c r="K18" i="56"/>
  <c r="L18" i="56"/>
  <c r="N18" i="56"/>
  <c r="O18" i="56"/>
  <c r="P18" i="56"/>
  <c r="Q18" i="56"/>
  <c r="I19" i="56"/>
  <c r="J19" i="56"/>
  <c r="K19" i="56"/>
  <c r="L19" i="56"/>
  <c r="N19" i="56"/>
  <c r="O19" i="56"/>
  <c r="P19" i="56"/>
  <c r="Q19" i="56"/>
  <c r="I20" i="56"/>
  <c r="J20" i="56"/>
  <c r="K20" i="56"/>
  <c r="L20" i="56"/>
  <c r="N20" i="56"/>
  <c r="O20" i="56"/>
  <c r="P20" i="56"/>
  <c r="Q20" i="56"/>
  <c r="I21" i="56"/>
  <c r="J21" i="56"/>
  <c r="K21" i="56"/>
  <c r="L21" i="56"/>
  <c r="N21" i="56"/>
  <c r="O21" i="56"/>
  <c r="P21" i="56"/>
  <c r="Q21" i="56"/>
  <c r="I22" i="56"/>
  <c r="J22" i="56"/>
  <c r="K22" i="56"/>
  <c r="L22" i="56"/>
  <c r="N22" i="56"/>
  <c r="O22" i="56"/>
  <c r="P22" i="56"/>
  <c r="Q22" i="56"/>
  <c r="I23" i="56"/>
  <c r="J23" i="56"/>
  <c r="K23" i="56"/>
  <c r="L23" i="56"/>
  <c r="N23" i="56"/>
  <c r="O23" i="56"/>
  <c r="P23" i="56"/>
  <c r="Q23" i="56"/>
  <c r="I24" i="56"/>
  <c r="J24" i="56"/>
  <c r="K24" i="56"/>
  <c r="L24" i="56"/>
  <c r="N24" i="56"/>
  <c r="O24" i="56"/>
  <c r="P24" i="56"/>
  <c r="Q24" i="56"/>
  <c r="I25" i="56"/>
  <c r="J25" i="56"/>
  <c r="K25" i="56"/>
  <c r="L25" i="56"/>
  <c r="N25" i="56"/>
  <c r="O25" i="56"/>
  <c r="P25" i="56"/>
  <c r="Q25" i="56"/>
  <c r="I26" i="56"/>
  <c r="J26" i="56"/>
  <c r="K26" i="56"/>
  <c r="L26" i="56"/>
  <c r="N26" i="56"/>
  <c r="O26" i="56"/>
  <c r="P26" i="56"/>
  <c r="Q26" i="56"/>
  <c r="I27" i="56"/>
  <c r="J27" i="56"/>
  <c r="K27" i="56"/>
  <c r="L27" i="56"/>
  <c r="N27" i="56"/>
  <c r="O27" i="56"/>
  <c r="P27" i="56"/>
  <c r="Q27" i="56"/>
  <c r="I28" i="56"/>
  <c r="J28" i="56"/>
  <c r="K28" i="56"/>
  <c r="L28" i="56"/>
  <c r="N28" i="56"/>
  <c r="O28" i="56"/>
  <c r="P28" i="56"/>
  <c r="Q28" i="56"/>
  <c r="I29" i="56"/>
  <c r="J29" i="56"/>
  <c r="K29" i="56"/>
  <c r="L29" i="56"/>
  <c r="N29" i="56"/>
  <c r="O29" i="56"/>
  <c r="P29" i="56"/>
  <c r="Q29" i="56"/>
  <c r="I30" i="56"/>
  <c r="J30" i="56"/>
  <c r="K30" i="56"/>
  <c r="L30" i="56"/>
  <c r="N30" i="56"/>
  <c r="O30" i="56"/>
  <c r="P30" i="56"/>
  <c r="Q30" i="56"/>
  <c r="I31" i="56"/>
  <c r="J31" i="56"/>
  <c r="K31" i="56"/>
  <c r="L31" i="56"/>
  <c r="N31" i="56"/>
  <c r="O31" i="56"/>
  <c r="P31" i="56"/>
  <c r="Q31" i="56"/>
  <c r="I32" i="56"/>
  <c r="J32" i="56"/>
  <c r="K32" i="56"/>
  <c r="L32" i="56"/>
  <c r="N32" i="56"/>
  <c r="O32" i="56"/>
  <c r="P32" i="56"/>
  <c r="Q32" i="56"/>
  <c r="I33" i="56"/>
  <c r="J33" i="56"/>
  <c r="K33" i="56"/>
  <c r="L33" i="56"/>
  <c r="N33" i="56"/>
  <c r="O33" i="56"/>
  <c r="P33" i="56"/>
  <c r="Q33" i="56"/>
  <c r="I34" i="56"/>
  <c r="J34" i="56"/>
  <c r="K34" i="56"/>
  <c r="L34" i="56"/>
  <c r="N34" i="56"/>
  <c r="O34" i="56"/>
  <c r="P34" i="56"/>
  <c r="Q34" i="56"/>
  <c r="I35" i="56"/>
  <c r="J35" i="56"/>
  <c r="K35" i="56"/>
  <c r="L35" i="56"/>
  <c r="N35" i="56"/>
  <c r="O35" i="56"/>
  <c r="P35" i="56"/>
  <c r="Q35" i="56"/>
  <c r="I36" i="56"/>
  <c r="J36" i="56"/>
  <c r="K36" i="56"/>
  <c r="L36" i="56"/>
  <c r="N36" i="56"/>
  <c r="O36" i="56"/>
  <c r="P36" i="56"/>
  <c r="Q36" i="56"/>
  <c r="I37" i="56"/>
  <c r="J37" i="56"/>
  <c r="K37" i="56"/>
  <c r="L37" i="56"/>
  <c r="N37" i="56"/>
  <c r="O37" i="56"/>
  <c r="P37" i="56"/>
  <c r="Q37" i="56"/>
  <c r="I38" i="56"/>
  <c r="J38" i="56"/>
  <c r="K38" i="56"/>
  <c r="L38" i="56"/>
  <c r="N38" i="56"/>
  <c r="O38" i="56"/>
  <c r="P38" i="56"/>
  <c r="Q38" i="56"/>
  <c r="I39" i="56"/>
  <c r="J39" i="56"/>
  <c r="K39" i="56"/>
  <c r="L39" i="56"/>
  <c r="N39" i="56"/>
  <c r="O39" i="56"/>
  <c r="P39" i="56"/>
  <c r="Q39" i="56"/>
  <c r="I40" i="56"/>
  <c r="J40" i="56"/>
  <c r="K40" i="56"/>
  <c r="L40" i="56"/>
  <c r="N40" i="56"/>
  <c r="O40" i="56"/>
  <c r="P40" i="56"/>
  <c r="Q40" i="56"/>
  <c r="I41" i="56"/>
  <c r="J41" i="56"/>
  <c r="K41" i="56"/>
  <c r="L41" i="56"/>
  <c r="N41" i="56"/>
  <c r="O41" i="56"/>
  <c r="P41" i="56"/>
  <c r="Q41" i="56"/>
  <c r="I42" i="56"/>
  <c r="J42" i="56"/>
  <c r="K42" i="56"/>
  <c r="L42" i="56"/>
  <c r="N42" i="56"/>
  <c r="O42" i="56"/>
  <c r="P42" i="56"/>
  <c r="Q42" i="56"/>
  <c r="I43" i="56"/>
  <c r="J43" i="56"/>
  <c r="K43" i="56"/>
  <c r="L43" i="56"/>
  <c r="N43" i="56"/>
  <c r="O43" i="56"/>
  <c r="P43" i="56"/>
  <c r="Q43" i="56"/>
  <c r="I44" i="56"/>
  <c r="J44" i="56"/>
  <c r="K44" i="56"/>
  <c r="L44" i="56"/>
  <c r="N44" i="56"/>
  <c r="O44" i="56"/>
  <c r="P44" i="56"/>
  <c r="Q44" i="56"/>
  <c r="I45" i="56"/>
  <c r="J45" i="56"/>
  <c r="K45" i="56"/>
  <c r="L45" i="56"/>
  <c r="N45" i="56"/>
  <c r="O45" i="56"/>
  <c r="P45" i="56"/>
  <c r="Q45" i="56"/>
  <c r="I46" i="56"/>
  <c r="J46" i="56"/>
  <c r="K46" i="56"/>
  <c r="L46" i="56"/>
  <c r="N46" i="56"/>
  <c r="O46" i="56"/>
  <c r="P46" i="56"/>
  <c r="Q46" i="56"/>
  <c r="I47" i="56"/>
  <c r="J47" i="56"/>
  <c r="K47" i="56"/>
  <c r="L47" i="56"/>
  <c r="N47" i="56"/>
  <c r="O47" i="56"/>
  <c r="P47" i="56"/>
  <c r="Q47" i="56"/>
  <c r="I48" i="56"/>
  <c r="J48" i="56"/>
  <c r="K48" i="56"/>
  <c r="L48" i="56"/>
  <c r="N48" i="56"/>
  <c r="O48" i="56"/>
  <c r="P48" i="56"/>
  <c r="Q48" i="56"/>
  <c r="I49" i="56"/>
  <c r="J49" i="56"/>
  <c r="K49" i="56"/>
  <c r="L49" i="56"/>
  <c r="N49" i="56"/>
  <c r="O49" i="56"/>
  <c r="P49" i="56"/>
  <c r="Q49" i="56"/>
  <c r="I50" i="56"/>
  <c r="J50" i="56"/>
  <c r="K50" i="56"/>
  <c r="L50" i="56"/>
  <c r="N50" i="56"/>
  <c r="O50" i="56"/>
  <c r="P50" i="56"/>
  <c r="Q50" i="56"/>
  <c r="I51" i="56"/>
  <c r="J51" i="56"/>
  <c r="K51" i="56"/>
  <c r="L51" i="56"/>
  <c r="N51" i="56"/>
  <c r="O51" i="56"/>
  <c r="P51" i="56"/>
  <c r="Q51" i="56"/>
  <c r="I52" i="56"/>
  <c r="J52" i="56"/>
  <c r="K52" i="56"/>
  <c r="L52" i="56"/>
  <c r="N52" i="56"/>
  <c r="O52" i="56"/>
  <c r="P52" i="56"/>
  <c r="Q52" i="56"/>
  <c r="I53" i="56"/>
  <c r="J53" i="56"/>
  <c r="K53" i="56"/>
  <c r="L53" i="56"/>
  <c r="N53" i="56"/>
  <c r="O53" i="56"/>
  <c r="P53" i="56"/>
  <c r="Q53" i="56"/>
  <c r="I54" i="56"/>
  <c r="J54" i="56"/>
  <c r="K54" i="56"/>
  <c r="L54" i="56"/>
  <c r="N54" i="56"/>
  <c r="O54" i="56"/>
  <c r="P54" i="56"/>
  <c r="Q54" i="56"/>
  <c r="I55" i="56"/>
  <c r="J55" i="56"/>
  <c r="K55" i="56"/>
  <c r="L55" i="56"/>
  <c r="N55" i="56"/>
  <c r="O55" i="56"/>
  <c r="P55" i="56"/>
  <c r="Q55" i="56"/>
  <c r="I56" i="56"/>
  <c r="J56" i="56"/>
  <c r="K56" i="56"/>
  <c r="L56" i="56"/>
  <c r="M56" i="56"/>
  <c r="N56" i="56"/>
  <c r="O56" i="56"/>
  <c r="P56" i="56"/>
  <c r="Q56" i="56"/>
  <c r="I57" i="56"/>
  <c r="J57" i="56"/>
  <c r="K57" i="56"/>
  <c r="L57" i="56"/>
  <c r="M57" i="56"/>
  <c r="N57" i="56"/>
  <c r="O57" i="56"/>
  <c r="P57" i="56"/>
  <c r="Q57" i="56"/>
  <c r="I58" i="56"/>
  <c r="J58" i="56"/>
  <c r="K58" i="56"/>
  <c r="L58" i="56"/>
  <c r="N58" i="56"/>
  <c r="O58" i="56"/>
  <c r="P58" i="56"/>
  <c r="Q58" i="56"/>
  <c r="N59" i="56"/>
  <c r="O59" i="56"/>
  <c r="P59" i="56"/>
  <c r="Q59" i="56"/>
  <c r="N60" i="56"/>
  <c r="O60" i="56"/>
  <c r="P60" i="56"/>
  <c r="Q60" i="56"/>
  <c r="N61" i="56"/>
  <c r="O61" i="56"/>
  <c r="P61" i="56"/>
  <c r="Q61" i="56"/>
  <c r="B113" i="56"/>
  <c r="B114" i="56" s="1"/>
  <c r="M59" i="56" s="1"/>
  <c r="H2" i="55"/>
  <c r="H4" i="55"/>
  <c r="I4" i="55"/>
  <c r="J4" i="55"/>
  <c r="K4" i="55"/>
  <c r="L4" i="55"/>
  <c r="M4" i="55"/>
  <c r="N4" i="55"/>
  <c r="O4" i="55"/>
  <c r="P4" i="55"/>
  <c r="Q4" i="55"/>
  <c r="X4" i="55"/>
  <c r="H5" i="55"/>
  <c r="I5" i="55"/>
  <c r="J5" i="55"/>
  <c r="K5" i="55"/>
  <c r="L5" i="55"/>
  <c r="M5" i="55"/>
  <c r="N5" i="55"/>
  <c r="O5" i="55"/>
  <c r="P5" i="55"/>
  <c r="Q5" i="55"/>
  <c r="Y5" i="55"/>
  <c r="H6" i="55"/>
  <c r="I6" i="55"/>
  <c r="J6" i="55"/>
  <c r="K6" i="55"/>
  <c r="L6" i="55"/>
  <c r="M6" i="55"/>
  <c r="N6" i="55"/>
  <c r="O6" i="55"/>
  <c r="P6" i="55"/>
  <c r="Q6" i="55"/>
  <c r="X6" i="55"/>
  <c r="H7" i="55"/>
  <c r="I7" i="55"/>
  <c r="J7" i="55"/>
  <c r="K7" i="55"/>
  <c r="L7" i="55"/>
  <c r="M7" i="55"/>
  <c r="N7" i="55"/>
  <c r="O7" i="55"/>
  <c r="P7" i="55"/>
  <c r="Q7" i="55"/>
  <c r="Y7" i="55"/>
  <c r="H8" i="55"/>
  <c r="I8" i="55"/>
  <c r="J8" i="55"/>
  <c r="K8" i="55"/>
  <c r="L8" i="55"/>
  <c r="M8" i="55"/>
  <c r="N8" i="55"/>
  <c r="O8" i="55"/>
  <c r="P8" i="55"/>
  <c r="Q8" i="55"/>
  <c r="X8" i="55"/>
  <c r="H9" i="55"/>
  <c r="I9" i="55"/>
  <c r="J9" i="55"/>
  <c r="K9" i="55"/>
  <c r="L9" i="55"/>
  <c r="M9" i="55"/>
  <c r="N9" i="55"/>
  <c r="O9" i="55"/>
  <c r="P9" i="55"/>
  <c r="Q9" i="55"/>
  <c r="Y9" i="55"/>
  <c r="H10" i="55"/>
  <c r="I10" i="55"/>
  <c r="J10" i="55"/>
  <c r="K10" i="55"/>
  <c r="L10" i="55"/>
  <c r="M10" i="55"/>
  <c r="N10" i="55"/>
  <c r="O10" i="55"/>
  <c r="P10" i="55"/>
  <c r="Q10" i="55"/>
  <c r="X10" i="55"/>
  <c r="H11" i="55"/>
  <c r="I11" i="55"/>
  <c r="J11" i="55"/>
  <c r="K11" i="55"/>
  <c r="L11" i="55"/>
  <c r="M11" i="55"/>
  <c r="N11" i="55"/>
  <c r="O11" i="55"/>
  <c r="P11" i="55"/>
  <c r="Q11" i="55"/>
  <c r="Y11" i="55"/>
  <c r="H12" i="55"/>
  <c r="I12" i="55"/>
  <c r="J12" i="55"/>
  <c r="K12" i="55"/>
  <c r="L12" i="55"/>
  <c r="M12" i="55"/>
  <c r="N12" i="55"/>
  <c r="O12" i="55"/>
  <c r="P12" i="55"/>
  <c r="Q12" i="55"/>
  <c r="X12" i="55"/>
  <c r="H13" i="55"/>
  <c r="I13" i="55"/>
  <c r="J13" i="55"/>
  <c r="K13" i="55"/>
  <c r="L13" i="55"/>
  <c r="M13" i="55"/>
  <c r="N13" i="55"/>
  <c r="O13" i="55"/>
  <c r="P13" i="55"/>
  <c r="Q13" i="55"/>
  <c r="Y13" i="55"/>
  <c r="H14" i="55"/>
  <c r="I14" i="55"/>
  <c r="J14" i="55"/>
  <c r="K14" i="55"/>
  <c r="L14" i="55"/>
  <c r="M14" i="55"/>
  <c r="N14" i="55"/>
  <c r="O14" i="55"/>
  <c r="P14" i="55"/>
  <c r="Q14" i="55"/>
  <c r="X14" i="55"/>
  <c r="H15" i="55"/>
  <c r="I15" i="55"/>
  <c r="J15" i="55"/>
  <c r="K15" i="55"/>
  <c r="L15" i="55"/>
  <c r="M15" i="55"/>
  <c r="N15" i="55"/>
  <c r="O15" i="55"/>
  <c r="P15" i="55"/>
  <c r="Q15" i="55"/>
  <c r="Y15" i="55"/>
  <c r="H16" i="55"/>
  <c r="I16" i="55"/>
  <c r="J16" i="55"/>
  <c r="K16" i="55"/>
  <c r="L16" i="55"/>
  <c r="M16" i="55"/>
  <c r="N16" i="55"/>
  <c r="O16" i="55"/>
  <c r="P16" i="55"/>
  <c r="Q16" i="55"/>
  <c r="X16" i="55"/>
  <c r="H17" i="55"/>
  <c r="I17" i="55"/>
  <c r="J17" i="55"/>
  <c r="K17" i="55"/>
  <c r="L17" i="55"/>
  <c r="M17" i="55"/>
  <c r="N17" i="55"/>
  <c r="O17" i="55"/>
  <c r="P17" i="55"/>
  <c r="Q17" i="55"/>
  <c r="Y17" i="55"/>
  <c r="H18" i="55"/>
  <c r="I18" i="55"/>
  <c r="J18" i="55"/>
  <c r="K18" i="55"/>
  <c r="L18" i="55"/>
  <c r="M18" i="55"/>
  <c r="N18" i="55"/>
  <c r="O18" i="55"/>
  <c r="P18" i="55"/>
  <c r="Q18" i="55"/>
  <c r="X18" i="55"/>
  <c r="H19" i="55"/>
  <c r="I19" i="55"/>
  <c r="J19" i="55"/>
  <c r="K19" i="55"/>
  <c r="L19" i="55"/>
  <c r="M19" i="55"/>
  <c r="N19" i="55"/>
  <c r="O19" i="55"/>
  <c r="P19" i="55"/>
  <c r="Q19" i="55"/>
  <c r="Y19" i="55"/>
  <c r="H20" i="55"/>
  <c r="I20" i="55"/>
  <c r="J20" i="55"/>
  <c r="K20" i="55"/>
  <c r="L20" i="55"/>
  <c r="M20" i="55"/>
  <c r="N20" i="55"/>
  <c r="O20" i="55"/>
  <c r="P20" i="55"/>
  <c r="Q20" i="55"/>
  <c r="X20" i="55"/>
  <c r="H21" i="55"/>
  <c r="I21" i="55"/>
  <c r="J21" i="55"/>
  <c r="K21" i="55"/>
  <c r="L21" i="55"/>
  <c r="M21" i="55"/>
  <c r="N21" i="55"/>
  <c r="O21" i="55"/>
  <c r="P21" i="55"/>
  <c r="Q21" i="55"/>
  <c r="Y21" i="55"/>
  <c r="H22" i="55"/>
  <c r="I22" i="55"/>
  <c r="J22" i="55"/>
  <c r="K22" i="55"/>
  <c r="L22" i="55"/>
  <c r="M22" i="55"/>
  <c r="N22" i="55"/>
  <c r="O22" i="55"/>
  <c r="P22" i="55"/>
  <c r="Q22" i="55"/>
  <c r="X22" i="55"/>
  <c r="H23" i="55"/>
  <c r="I23" i="55"/>
  <c r="J23" i="55"/>
  <c r="K23" i="55"/>
  <c r="L23" i="55"/>
  <c r="M23" i="55"/>
  <c r="N23" i="55"/>
  <c r="O23" i="55"/>
  <c r="P23" i="55"/>
  <c r="Q23" i="55"/>
  <c r="Y23" i="55"/>
  <c r="H24" i="55"/>
  <c r="I24" i="55"/>
  <c r="J24" i="55"/>
  <c r="K24" i="55"/>
  <c r="L24" i="55"/>
  <c r="M24" i="55"/>
  <c r="N24" i="55"/>
  <c r="O24" i="55"/>
  <c r="P24" i="55"/>
  <c r="Q24" i="55"/>
  <c r="X24" i="55"/>
  <c r="H25" i="55"/>
  <c r="I25" i="55"/>
  <c r="J25" i="55"/>
  <c r="K25" i="55"/>
  <c r="L25" i="55"/>
  <c r="M25" i="55"/>
  <c r="N25" i="55"/>
  <c r="O25" i="55"/>
  <c r="P25" i="55"/>
  <c r="Q25" i="55"/>
  <c r="Y25" i="55"/>
  <c r="H26" i="55"/>
  <c r="I26" i="55"/>
  <c r="J26" i="55"/>
  <c r="K26" i="55"/>
  <c r="L26" i="55"/>
  <c r="M26" i="55"/>
  <c r="N26" i="55"/>
  <c r="O26" i="55"/>
  <c r="P26" i="55"/>
  <c r="Q26" i="55"/>
  <c r="X26" i="55"/>
  <c r="H27" i="55"/>
  <c r="I27" i="55"/>
  <c r="J27" i="55"/>
  <c r="K27" i="55"/>
  <c r="L27" i="55"/>
  <c r="M27" i="55"/>
  <c r="N27" i="55"/>
  <c r="O27" i="55"/>
  <c r="P27" i="55"/>
  <c r="Q27" i="55"/>
  <c r="Y27" i="55"/>
  <c r="H28" i="55"/>
  <c r="I28" i="55"/>
  <c r="J28" i="55"/>
  <c r="K28" i="55"/>
  <c r="L28" i="55"/>
  <c r="M28" i="55"/>
  <c r="N28" i="55"/>
  <c r="O28" i="55"/>
  <c r="P28" i="55"/>
  <c r="Q28" i="55"/>
  <c r="X28" i="55"/>
  <c r="H29" i="55"/>
  <c r="I29" i="55"/>
  <c r="J29" i="55"/>
  <c r="K29" i="55"/>
  <c r="L29" i="55"/>
  <c r="M29" i="55"/>
  <c r="N29" i="55"/>
  <c r="O29" i="55"/>
  <c r="P29" i="55"/>
  <c r="Q29" i="55"/>
  <c r="Y29" i="55"/>
  <c r="H30" i="55"/>
  <c r="I30" i="55"/>
  <c r="J30" i="55"/>
  <c r="K30" i="55"/>
  <c r="L30" i="55"/>
  <c r="M30" i="55"/>
  <c r="N30" i="55"/>
  <c r="O30" i="55"/>
  <c r="P30" i="55"/>
  <c r="Q30" i="55"/>
  <c r="X30" i="55"/>
  <c r="H31" i="55"/>
  <c r="I31" i="55"/>
  <c r="J31" i="55"/>
  <c r="K31" i="55"/>
  <c r="L31" i="55"/>
  <c r="M31" i="55"/>
  <c r="N31" i="55"/>
  <c r="O31" i="55"/>
  <c r="P31" i="55"/>
  <c r="Q31" i="55"/>
  <c r="Y31" i="55"/>
  <c r="H32" i="55"/>
  <c r="I32" i="55"/>
  <c r="J32" i="55"/>
  <c r="K32" i="55"/>
  <c r="L32" i="55"/>
  <c r="M32" i="55"/>
  <c r="N32" i="55"/>
  <c r="O32" i="55"/>
  <c r="P32" i="55"/>
  <c r="Q32" i="55"/>
  <c r="X32" i="55"/>
  <c r="H33" i="55"/>
  <c r="I33" i="55"/>
  <c r="J33" i="55"/>
  <c r="K33" i="55"/>
  <c r="L33" i="55"/>
  <c r="M33" i="55"/>
  <c r="N33" i="55"/>
  <c r="O33" i="55"/>
  <c r="P33" i="55"/>
  <c r="Q33" i="55"/>
  <c r="Y33" i="55"/>
  <c r="H34" i="55"/>
  <c r="I34" i="55"/>
  <c r="J34" i="55"/>
  <c r="K34" i="55"/>
  <c r="L34" i="55"/>
  <c r="M34" i="55"/>
  <c r="N34" i="55"/>
  <c r="O34" i="55"/>
  <c r="P34" i="55"/>
  <c r="Q34" i="55"/>
  <c r="X34" i="55"/>
  <c r="H35" i="55"/>
  <c r="I35" i="55"/>
  <c r="J35" i="55"/>
  <c r="K35" i="55"/>
  <c r="L35" i="55"/>
  <c r="M35" i="55"/>
  <c r="N35" i="55"/>
  <c r="O35" i="55"/>
  <c r="P35" i="55"/>
  <c r="Q35" i="55"/>
  <c r="Y35" i="55"/>
  <c r="H36" i="55"/>
  <c r="I36" i="55"/>
  <c r="J36" i="55"/>
  <c r="K36" i="55"/>
  <c r="L36" i="55"/>
  <c r="M36" i="55"/>
  <c r="N36" i="55"/>
  <c r="O36" i="55"/>
  <c r="P36" i="55"/>
  <c r="Q36" i="55"/>
  <c r="X36" i="55"/>
  <c r="H37" i="55"/>
  <c r="I37" i="55"/>
  <c r="J37" i="55"/>
  <c r="K37" i="55"/>
  <c r="L37" i="55"/>
  <c r="M37" i="55"/>
  <c r="N37" i="55"/>
  <c r="O37" i="55"/>
  <c r="P37" i="55"/>
  <c r="Q37" i="55"/>
  <c r="Y37" i="55"/>
  <c r="H38" i="55"/>
  <c r="I38" i="55"/>
  <c r="J38" i="55"/>
  <c r="K38" i="55"/>
  <c r="L38" i="55"/>
  <c r="M38" i="55"/>
  <c r="N38" i="55"/>
  <c r="O38" i="55"/>
  <c r="P38" i="55"/>
  <c r="Q38" i="55"/>
  <c r="X38" i="55"/>
  <c r="H39" i="55"/>
  <c r="I39" i="55"/>
  <c r="J39" i="55"/>
  <c r="K39" i="55"/>
  <c r="L39" i="55"/>
  <c r="M39" i="55"/>
  <c r="N39" i="55"/>
  <c r="O39" i="55"/>
  <c r="P39" i="55"/>
  <c r="Q39" i="55"/>
  <c r="Y39" i="55"/>
  <c r="H40" i="55"/>
  <c r="I40" i="55"/>
  <c r="J40" i="55"/>
  <c r="K40" i="55"/>
  <c r="L40" i="55"/>
  <c r="M40" i="55"/>
  <c r="N40" i="55"/>
  <c r="O40" i="55"/>
  <c r="P40" i="55"/>
  <c r="Q40" i="55"/>
  <c r="X40" i="55"/>
  <c r="H41" i="55"/>
  <c r="I41" i="55"/>
  <c r="J41" i="55"/>
  <c r="K41" i="55"/>
  <c r="L41" i="55"/>
  <c r="M41" i="55"/>
  <c r="N41" i="55"/>
  <c r="O41" i="55"/>
  <c r="P41" i="55"/>
  <c r="Q41" i="55"/>
  <c r="Y41" i="55"/>
  <c r="H42" i="55"/>
  <c r="I42" i="55"/>
  <c r="J42" i="55"/>
  <c r="K42" i="55"/>
  <c r="L42" i="55"/>
  <c r="M42" i="55"/>
  <c r="N42" i="55"/>
  <c r="O42" i="55"/>
  <c r="P42" i="55"/>
  <c r="Q42" i="55"/>
  <c r="X42" i="55"/>
  <c r="H43" i="55"/>
  <c r="I43" i="55"/>
  <c r="J43" i="55"/>
  <c r="K43" i="55"/>
  <c r="L43" i="55"/>
  <c r="M43" i="55"/>
  <c r="N43" i="55"/>
  <c r="O43" i="55"/>
  <c r="P43" i="55"/>
  <c r="Q43" i="55"/>
  <c r="Y43" i="55"/>
  <c r="H44" i="55"/>
  <c r="I44" i="55"/>
  <c r="J44" i="55"/>
  <c r="K44" i="55"/>
  <c r="L44" i="55"/>
  <c r="M44" i="55"/>
  <c r="N44" i="55"/>
  <c r="O44" i="55"/>
  <c r="P44" i="55"/>
  <c r="Q44" i="55"/>
  <c r="X44" i="55"/>
  <c r="H45" i="55"/>
  <c r="I45" i="55"/>
  <c r="J45" i="55"/>
  <c r="K45" i="55"/>
  <c r="L45" i="55"/>
  <c r="M45" i="55"/>
  <c r="N45" i="55"/>
  <c r="O45" i="55"/>
  <c r="P45" i="55"/>
  <c r="Q45" i="55"/>
  <c r="Y45" i="55"/>
  <c r="H46" i="55"/>
  <c r="I46" i="55"/>
  <c r="J46" i="55"/>
  <c r="K46" i="55"/>
  <c r="L46" i="55"/>
  <c r="M46" i="55"/>
  <c r="N46" i="55"/>
  <c r="O46" i="55"/>
  <c r="P46" i="55"/>
  <c r="Q46" i="55"/>
  <c r="X46" i="55"/>
  <c r="H47" i="55"/>
  <c r="I47" i="55"/>
  <c r="J47" i="55"/>
  <c r="K47" i="55"/>
  <c r="L47" i="55"/>
  <c r="Y47" i="55"/>
  <c r="H48" i="55"/>
  <c r="I48" i="55"/>
  <c r="J48" i="55"/>
  <c r="K48" i="55"/>
  <c r="L48" i="55"/>
  <c r="X48" i="55"/>
  <c r="H49" i="55"/>
  <c r="I49" i="55"/>
  <c r="J49" i="55"/>
  <c r="K49" i="55"/>
  <c r="L49" i="55"/>
  <c r="M49" i="55"/>
  <c r="N49" i="55"/>
  <c r="O49" i="55"/>
  <c r="P49" i="55"/>
  <c r="Q49" i="55"/>
  <c r="Y49" i="55"/>
  <c r="H50" i="55"/>
  <c r="I50" i="55"/>
  <c r="J50" i="55"/>
  <c r="K50" i="55"/>
  <c r="L50" i="55"/>
  <c r="M50" i="55"/>
  <c r="N50" i="55"/>
  <c r="O50" i="55"/>
  <c r="P50" i="55"/>
  <c r="Q50" i="55"/>
  <c r="X50" i="55"/>
  <c r="Y51" i="55"/>
  <c r="X52" i="55"/>
  <c r="Y53" i="55"/>
  <c r="X54" i="55"/>
  <c r="Y55" i="55"/>
  <c r="X56" i="55"/>
  <c r="Y57" i="55"/>
  <c r="X58" i="55"/>
  <c r="Y59" i="55"/>
  <c r="X60" i="55"/>
  <c r="Y61" i="55"/>
  <c r="X62" i="55"/>
  <c r="Y63" i="55"/>
  <c r="X64" i="55"/>
  <c r="Y65" i="55"/>
  <c r="X66" i="55"/>
  <c r="Y67" i="55"/>
  <c r="X68" i="55"/>
  <c r="Y69" i="55"/>
  <c r="X70" i="55"/>
  <c r="Y71" i="55"/>
  <c r="X72" i="55"/>
  <c r="Y73" i="55"/>
  <c r="X74" i="55"/>
  <c r="Y75" i="55"/>
  <c r="X76" i="55"/>
  <c r="Y77" i="55"/>
  <c r="X78" i="55"/>
  <c r="Y79" i="55"/>
  <c r="X80" i="55"/>
  <c r="Y81" i="55"/>
  <c r="X82" i="55"/>
  <c r="Y83" i="55"/>
  <c r="X84" i="55"/>
  <c r="Y85" i="55"/>
  <c r="X86" i="55"/>
  <c r="Y87" i="55"/>
  <c r="X88" i="55"/>
  <c r="Y89" i="55"/>
  <c r="X90" i="55"/>
  <c r="Y91" i="55"/>
  <c r="X92" i="55"/>
  <c r="G6" i="54"/>
  <c r="G16" i="54"/>
  <c r="G26" i="54"/>
  <c r="E8" i="53"/>
  <c r="F8" i="53"/>
  <c r="G8" i="53"/>
  <c r="H8" i="53"/>
  <c r="I8" i="53"/>
  <c r="J8" i="53"/>
  <c r="K8" i="53"/>
  <c r="D9" i="53"/>
  <c r="D10" i="53"/>
  <c r="D11" i="53"/>
  <c r="F11" i="53"/>
  <c r="J11" i="53"/>
  <c r="K11" i="53"/>
  <c r="D12" i="53"/>
  <c r="D14" i="53" s="1"/>
  <c r="E12" i="53"/>
  <c r="F12" i="53"/>
  <c r="G12" i="53"/>
  <c r="H12" i="53"/>
  <c r="I12" i="53"/>
  <c r="J12" i="53"/>
  <c r="J14" i="53" s="1"/>
  <c r="K12" i="53"/>
  <c r="D13" i="53"/>
  <c r="F13" i="53"/>
  <c r="J13" i="53"/>
  <c r="K13" i="53"/>
  <c r="F14" i="53"/>
  <c r="K14" i="53"/>
  <c r="D15" i="53"/>
  <c r="F15" i="53"/>
  <c r="D16" i="53"/>
  <c r="E16" i="53"/>
  <c r="I16" i="53"/>
  <c r="J16" i="53"/>
  <c r="D17" i="53"/>
  <c r="E17" i="53"/>
  <c r="F17" i="53"/>
  <c r="K17" i="53"/>
  <c r="D18" i="53"/>
  <c r="D19" i="53"/>
  <c r="D20" i="53"/>
  <c r="D22" i="53"/>
  <c r="F9" i="52"/>
  <c r="F9" i="53" s="1"/>
  <c r="F14" i="52"/>
  <c r="E18" i="52"/>
  <c r="I18" i="52" s="1"/>
  <c r="I10" i="53" s="1"/>
  <c r="J28" i="52"/>
  <c r="K28" i="52"/>
  <c r="N3" i="49"/>
  <c r="O3" i="49"/>
  <c r="N4" i="49"/>
  <c r="O4" i="49"/>
  <c r="F49" i="49"/>
  <c r="F56" i="49"/>
  <c r="F50" i="49"/>
  <c r="F51" i="49"/>
  <c r="F52" i="49"/>
  <c r="F55" i="49"/>
  <c r="F8" i="48"/>
  <c r="F10" i="48" s="1"/>
  <c r="F31" i="48" s="1"/>
  <c r="E16" i="48"/>
  <c r="E25" i="48" s="1"/>
  <c r="H9" i="48"/>
  <c r="H18" i="48" s="1"/>
  <c r="H27" i="48" s="1"/>
  <c r="D12" i="48"/>
  <c r="H12" i="48"/>
  <c r="H21" i="48" s="1"/>
  <c r="H17" i="48"/>
  <c r="H26" i="48" s="1"/>
  <c r="G7" i="47"/>
  <c r="G12" i="47" s="1"/>
  <c r="G14" i="47" s="1"/>
  <c r="G19" i="47" s="1"/>
  <c r="G21" i="47" s="1"/>
  <c r="G26" i="47" s="1"/>
  <c r="G28" i="47" s="1"/>
  <c r="G8" i="47"/>
  <c r="G13" i="47" s="1"/>
  <c r="G15" i="47" s="1"/>
  <c r="G20" i="47" s="1"/>
  <c r="G22" i="47" s="1"/>
  <c r="G27" i="47" s="1"/>
  <c r="G29" i="47" s="1"/>
  <c r="E16" i="46"/>
  <c r="E25" i="46" s="1"/>
  <c r="E34" i="46" s="1"/>
  <c r="D12" i="46"/>
  <c r="G12" i="46" s="1"/>
  <c r="H12" i="46"/>
  <c r="H21" i="46" s="1"/>
  <c r="H30" i="46" s="1"/>
  <c r="H17" i="46"/>
  <c r="H26" i="46" s="1"/>
  <c r="H35" i="46" s="1"/>
  <c r="H18" i="46"/>
  <c r="H27" i="46" s="1"/>
  <c r="H36" i="46" s="1"/>
  <c r="D21" i="46"/>
  <c r="G21" i="46" s="1"/>
  <c r="D30" i="46"/>
  <c r="G30" i="46" s="1"/>
  <c r="D4" i="39"/>
  <c r="E17" i="39"/>
  <c r="F17" i="39"/>
  <c r="G17" i="39"/>
  <c r="H17" i="39"/>
  <c r="I17" i="39"/>
  <c r="J17" i="39"/>
  <c r="K17" i="39"/>
  <c r="L17" i="39"/>
  <c r="C5" i="34"/>
  <c r="D5" i="34"/>
  <c r="E5" i="34"/>
  <c r="F5" i="34"/>
  <c r="I5" i="34" s="1"/>
  <c r="G5" i="34"/>
  <c r="J5" i="34" s="1"/>
  <c r="C6" i="34"/>
  <c r="D6" i="34"/>
  <c r="E6" i="34"/>
  <c r="F6" i="34"/>
  <c r="G6" i="34"/>
  <c r="J6" i="34" s="1"/>
  <c r="C7" i="34"/>
  <c r="D7" i="34"/>
  <c r="E7" i="34"/>
  <c r="F7" i="34"/>
  <c r="G7" i="34"/>
  <c r="J7" i="34" s="1"/>
  <c r="C8" i="34"/>
  <c r="D8" i="34"/>
  <c r="E8" i="34"/>
  <c r="F8" i="34"/>
  <c r="G8" i="34"/>
  <c r="J8" i="34"/>
  <c r="C9" i="34"/>
  <c r="D9" i="34"/>
  <c r="E9" i="34"/>
  <c r="F9" i="34"/>
  <c r="G9" i="34"/>
  <c r="J9" i="34" s="1"/>
  <c r="C10" i="34"/>
  <c r="D10" i="34"/>
  <c r="E10" i="34"/>
  <c r="F10" i="34"/>
  <c r="G10" i="34"/>
  <c r="J10" i="34" s="1"/>
  <c r="C11" i="34"/>
  <c r="D11" i="34"/>
  <c r="E11" i="34"/>
  <c r="F11" i="34"/>
  <c r="G11" i="34"/>
  <c r="J11" i="34" s="1"/>
  <c r="C12" i="34"/>
  <c r="D12" i="34"/>
  <c r="E12" i="34"/>
  <c r="F12" i="34"/>
  <c r="I12" i="34" s="1"/>
  <c r="G12" i="34"/>
  <c r="J12" i="34" s="1"/>
  <c r="C13" i="34"/>
  <c r="D13" i="34"/>
  <c r="E13" i="34"/>
  <c r="F13" i="34"/>
  <c r="I13" i="34" s="1"/>
  <c r="G13" i="34"/>
  <c r="C14" i="34"/>
  <c r="D14" i="34"/>
  <c r="E14" i="34"/>
  <c r="F14" i="34"/>
  <c r="G14" i="34"/>
  <c r="I14" i="34"/>
  <c r="C15" i="34"/>
  <c r="D15" i="34"/>
  <c r="E15" i="34"/>
  <c r="F15" i="34"/>
  <c r="I15" i="34" s="1"/>
  <c r="G15" i="34"/>
  <c r="C16" i="34"/>
  <c r="D16" i="34"/>
  <c r="E16" i="34"/>
  <c r="F16" i="34"/>
  <c r="I16" i="34" s="1"/>
  <c r="G16" i="34"/>
  <c r="C17" i="34"/>
  <c r="D17" i="34"/>
  <c r="E17" i="34"/>
  <c r="F17" i="34"/>
  <c r="I17" i="34" s="1"/>
  <c r="G17" i="34"/>
  <c r="C18" i="34"/>
  <c r="D18" i="34"/>
  <c r="E18" i="34"/>
  <c r="F18" i="34"/>
  <c r="I18" i="34" s="1"/>
  <c r="G18" i="34"/>
  <c r="C19" i="34"/>
  <c r="D19" i="34"/>
  <c r="E19" i="34"/>
  <c r="F19" i="34"/>
  <c r="I19" i="34" s="1"/>
  <c r="G19" i="34"/>
  <c r="J19" i="34" s="1"/>
  <c r="C5" i="33"/>
  <c r="D5" i="33"/>
  <c r="E5" i="33"/>
  <c r="F5" i="33"/>
  <c r="I5" i="33" s="1"/>
  <c r="G5" i="33"/>
  <c r="J5" i="33" s="1"/>
  <c r="C6" i="33"/>
  <c r="D6" i="33"/>
  <c r="E6" i="33"/>
  <c r="F6" i="33"/>
  <c r="G6" i="33"/>
  <c r="J6" i="33"/>
  <c r="C7" i="33"/>
  <c r="D7" i="33"/>
  <c r="E7" i="33"/>
  <c r="F7" i="33"/>
  <c r="G7" i="33"/>
  <c r="J7" i="33" s="1"/>
  <c r="C8" i="33"/>
  <c r="D8" i="33"/>
  <c r="E8" i="33"/>
  <c r="F8" i="33"/>
  <c r="G8" i="33"/>
  <c r="J8" i="33" s="1"/>
  <c r="C9" i="33"/>
  <c r="D9" i="33"/>
  <c r="E9" i="33"/>
  <c r="F9" i="33"/>
  <c r="G9" i="33"/>
  <c r="J9" i="33" s="1"/>
  <c r="C10" i="33"/>
  <c r="D10" i="33"/>
  <c r="E10" i="33"/>
  <c r="F10" i="33"/>
  <c r="G10" i="33"/>
  <c r="J10" i="33"/>
  <c r="C11" i="33"/>
  <c r="D11" i="33"/>
  <c r="E11" i="33"/>
  <c r="F11" i="33"/>
  <c r="G11" i="33"/>
  <c r="J11" i="33" s="1"/>
  <c r="C12" i="33"/>
  <c r="D12" i="33"/>
  <c r="E12" i="33"/>
  <c r="F12" i="33"/>
  <c r="I12" i="33" s="1"/>
  <c r="G12" i="33"/>
  <c r="J12" i="33" s="1"/>
  <c r="C13" i="33"/>
  <c r="D13" i="33"/>
  <c r="E13" i="33"/>
  <c r="F13" i="33"/>
  <c r="I13" i="33" s="1"/>
  <c r="G13" i="33"/>
  <c r="C14" i="33"/>
  <c r="D14" i="33"/>
  <c r="E14" i="33"/>
  <c r="F14" i="33"/>
  <c r="I14" i="33" s="1"/>
  <c r="G14" i="33"/>
  <c r="C15" i="33"/>
  <c r="D15" i="33"/>
  <c r="E15" i="33"/>
  <c r="F15" i="33"/>
  <c r="I15" i="33" s="1"/>
  <c r="G15" i="33"/>
  <c r="C16" i="33"/>
  <c r="D16" i="33"/>
  <c r="E16" i="33"/>
  <c r="F16" i="33"/>
  <c r="I16" i="33" s="1"/>
  <c r="G16" i="33"/>
  <c r="C17" i="33"/>
  <c r="D17" i="33"/>
  <c r="E17" i="33"/>
  <c r="F17" i="33"/>
  <c r="I17" i="33" s="1"/>
  <c r="G17" i="33"/>
  <c r="C18" i="33"/>
  <c r="D18" i="33"/>
  <c r="E18" i="33"/>
  <c r="F18" i="33"/>
  <c r="I18" i="33" s="1"/>
  <c r="G18" i="33"/>
  <c r="C19" i="33"/>
  <c r="D19" i="33"/>
  <c r="E19" i="33"/>
  <c r="F19" i="33"/>
  <c r="I19" i="33" s="1"/>
  <c r="G19" i="33"/>
  <c r="J19" i="33" s="1"/>
  <c r="C5" i="32"/>
  <c r="D5" i="32"/>
  <c r="E5" i="32"/>
  <c r="F5" i="32"/>
  <c r="I5" i="32" s="1"/>
  <c r="G5" i="32"/>
  <c r="C6" i="32"/>
  <c r="D6" i="32"/>
  <c r="E6" i="32"/>
  <c r="F6" i="32"/>
  <c r="I6" i="32" s="1"/>
  <c r="G6" i="32"/>
  <c r="C7" i="32"/>
  <c r="D7" i="32"/>
  <c r="E7" i="32"/>
  <c r="F7" i="32"/>
  <c r="I7" i="32" s="1"/>
  <c r="G7" i="32"/>
  <c r="C8" i="32"/>
  <c r="D8" i="32"/>
  <c r="E8" i="32"/>
  <c r="F8" i="32"/>
  <c r="I8" i="32" s="1"/>
  <c r="G8" i="32"/>
  <c r="C9" i="32"/>
  <c r="D9" i="32"/>
  <c r="E9" i="32"/>
  <c r="F9" i="32"/>
  <c r="G9" i="32"/>
  <c r="J9" i="32" s="1"/>
  <c r="C10" i="32"/>
  <c r="D10" i="32"/>
  <c r="E10" i="32"/>
  <c r="F10" i="32"/>
  <c r="G10" i="32"/>
  <c r="J10" i="32" s="1"/>
  <c r="C11" i="32"/>
  <c r="D11" i="32"/>
  <c r="E11" i="32"/>
  <c r="F11" i="32"/>
  <c r="G11" i="32"/>
  <c r="J11" i="32" s="1"/>
  <c r="C12" i="32"/>
  <c r="D12" i="32"/>
  <c r="E12" i="32"/>
  <c r="F12" i="32"/>
  <c r="G12" i="32"/>
  <c r="J12" i="32" s="1"/>
  <c r="C13" i="32"/>
  <c r="D13" i="32"/>
  <c r="E13" i="32"/>
  <c r="F13" i="32"/>
  <c r="G13" i="32"/>
  <c r="J13" i="32" s="1"/>
  <c r="C14" i="32"/>
  <c r="D14" i="32"/>
  <c r="E14" i="32"/>
  <c r="F14" i="32"/>
  <c r="G14" i="32"/>
  <c r="J14" i="32" s="1"/>
  <c r="C15" i="32"/>
  <c r="D15" i="32"/>
  <c r="E15" i="32"/>
  <c r="F15" i="32"/>
  <c r="G15" i="32"/>
  <c r="J15" i="32" s="1"/>
  <c r="C16" i="32"/>
  <c r="D16" i="32"/>
  <c r="E16" i="32"/>
  <c r="F16" i="32"/>
  <c r="I16" i="32" s="1"/>
  <c r="G16" i="32"/>
  <c r="C17" i="32"/>
  <c r="D17" i="32"/>
  <c r="E17" i="32"/>
  <c r="F17" i="32"/>
  <c r="I17" i="32" s="1"/>
  <c r="G17" i="32"/>
  <c r="C18" i="32"/>
  <c r="D18" i="32"/>
  <c r="E18" i="32"/>
  <c r="F18" i="32"/>
  <c r="G18" i="32"/>
  <c r="I18" i="32"/>
  <c r="C19" i="32"/>
  <c r="D19" i="32"/>
  <c r="E19" i="32"/>
  <c r="F19" i="32"/>
  <c r="I19" i="32" s="1"/>
  <c r="G19" i="32"/>
  <c r="C5" i="31"/>
  <c r="D5" i="31"/>
  <c r="E5" i="31"/>
  <c r="F5" i="31"/>
  <c r="I5" i="31" s="1"/>
  <c r="G5" i="31"/>
  <c r="C6" i="31"/>
  <c r="D6" i="31"/>
  <c r="E6" i="31"/>
  <c r="F6" i="31"/>
  <c r="I6" i="31" s="1"/>
  <c r="G6" i="31"/>
  <c r="C7" i="31"/>
  <c r="D7" i="31"/>
  <c r="E7" i="31"/>
  <c r="F7" i="31"/>
  <c r="I7" i="31" s="1"/>
  <c r="G7" i="31"/>
  <c r="C8" i="31"/>
  <c r="D8" i="31"/>
  <c r="E8" i="31"/>
  <c r="F8" i="31"/>
  <c r="I8" i="31" s="1"/>
  <c r="G8" i="31"/>
  <c r="C9" i="31"/>
  <c r="D9" i="31"/>
  <c r="E9" i="31"/>
  <c r="F9" i="31"/>
  <c r="G9" i="31"/>
  <c r="J9" i="31" s="1"/>
  <c r="C10" i="31"/>
  <c r="D10" i="31"/>
  <c r="E10" i="31"/>
  <c r="F10" i="31"/>
  <c r="G10" i="31"/>
  <c r="J10" i="31" s="1"/>
  <c r="C11" i="31"/>
  <c r="D11" i="31"/>
  <c r="E11" i="31"/>
  <c r="F11" i="31"/>
  <c r="G11" i="31"/>
  <c r="J11" i="31" s="1"/>
  <c r="C12" i="31"/>
  <c r="D12" i="31"/>
  <c r="E12" i="31"/>
  <c r="F12" i="31"/>
  <c r="G12" i="31"/>
  <c r="J12" i="31" s="1"/>
  <c r="C13" i="31"/>
  <c r="D13" i="31"/>
  <c r="E13" i="31"/>
  <c r="F13" i="31"/>
  <c r="G13" i="31"/>
  <c r="J13" i="31" s="1"/>
  <c r="C14" i="31"/>
  <c r="D14" i="31"/>
  <c r="E14" i="31"/>
  <c r="F14" i="31"/>
  <c r="G14" i="31"/>
  <c r="J14" i="31" s="1"/>
  <c r="C15" i="31"/>
  <c r="D15" i="31"/>
  <c r="E15" i="31"/>
  <c r="F15" i="31"/>
  <c r="G15" i="31"/>
  <c r="J15" i="31" s="1"/>
  <c r="C16" i="31"/>
  <c r="D16" i="31"/>
  <c r="E16" i="31"/>
  <c r="F16" i="31"/>
  <c r="I16" i="31" s="1"/>
  <c r="G16" i="31"/>
  <c r="C17" i="31"/>
  <c r="D17" i="31"/>
  <c r="E17" i="31"/>
  <c r="F17" i="31"/>
  <c r="G17" i="31"/>
  <c r="I17" i="31"/>
  <c r="C18" i="31"/>
  <c r="D18" i="31"/>
  <c r="E18" i="31"/>
  <c r="F18" i="31"/>
  <c r="I18" i="31" s="1"/>
  <c r="G18" i="31"/>
  <c r="C19" i="31"/>
  <c r="D19" i="31"/>
  <c r="E19" i="31"/>
  <c r="F19" i="31"/>
  <c r="I19" i="31" s="1"/>
  <c r="G19" i="31"/>
  <c r="C5" i="9"/>
  <c r="F5" i="9" s="1"/>
  <c r="I5" i="9"/>
  <c r="L5" i="9" s="1"/>
  <c r="O5" i="9"/>
  <c r="R5" i="9" s="1"/>
  <c r="AA5" i="9"/>
  <c r="AD5" i="9" s="1"/>
  <c r="AM5" i="9"/>
  <c r="AS5" i="9" s="1"/>
  <c r="AU5" i="9" s="1"/>
  <c r="AY5" i="9"/>
  <c r="BE5" i="9" s="1"/>
  <c r="BH5" i="9" s="1"/>
  <c r="BK5" i="9"/>
  <c r="BQ5" i="9" s="1"/>
  <c r="BT5" i="9" s="1"/>
  <c r="BW5" i="9"/>
  <c r="BZ5" i="9" s="1"/>
  <c r="C6" i="9"/>
  <c r="F6" i="9" s="1"/>
  <c r="I6" i="9"/>
  <c r="L6" i="9"/>
  <c r="O6" i="9"/>
  <c r="U6" i="9"/>
  <c r="AA6" i="9"/>
  <c r="AC6" i="9" s="1"/>
  <c r="AM6" i="9"/>
  <c r="AS6" i="9" s="1"/>
  <c r="AU6" i="9" s="1"/>
  <c r="AY6" i="9"/>
  <c r="BB6" i="9"/>
  <c r="BK6" i="9"/>
  <c r="BN6" i="9" s="1"/>
  <c r="BQ6" i="9"/>
  <c r="BT6" i="9" s="1"/>
  <c r="BW6" i="9"/>
  <c r="BY6" i="9" s="1"/>
  <c r="C7" i="9"/>
  <c r="F7" i="9"/>
  <c r="I7" i="9"/>
  <c r="L7" i="9" s="1"/>
  <c r="O7" i="9"/>
  <c r="R7" i="9" s="1"/>
  <c r="AA7" i="9"/>
  <c r="AC7" i="9" s="1"/>
  <c r="AM7" i="9"/>
  <c r="AY7" i="9"/>
  <c r="BK7" i="9"/>
  <c r="BW7" i="9"/>
  <c r="BY7" i="9" s="1"/>
  <c r="C8" i="9"/>
  <c r="F8" i="9" s="1"/>
  <c r="I8" i="9"/>
  <c r="L8" i="9" s="1"/>
  <c r="O8" i="9"/>
  <c r="R8" i="9" s="1"/>
  <c r="AA8" i="9"/>
  <c r="AC8" i="9" s="1"/>
  <c r="AM8" i="9"/>
  <c r="AP8" i="9" s="1"/>
  <c r="AY8" i="9"/>
  <c r="BE8" i="9" s="1"/>
  <c r="BH8" i="9" s="1"/>
  <c r="BK8" i="9"/>
  <c r="BQ8" i="9" s="1"/>
  <c r="BS8" i="9" s="1"/>
  <c r="BW8" i="9"/>
  <c r="CC8" i="9" s="1"/>
  <c r="CE8" i="9" s="1"/>
  <c r="C9" i="9"/>
  <c r="F9" i="9" s="1"/>
  <c r="I9" i="9"/>
  <c r="L9" i="9" s="1"/>
  <c r="O9" i="9"/>
  <c r="Q9" i="9"/>
  <c r="AA9" i="9"/>
  <c r="AM9" i="9"/>
  <c r="AS9" i="9" s="1"/>
  <c r="AV9" i="9" s="1"/>
  <c r="AY9" i="9"/>
  <c r="BB9" i="9"/>
  <c r="BK9" i="9"/>
  <c r="BM9" i="9" s="1"/>
  <c r="BQ9" i="9"/>
  <c r="BS9" i="9" s="1"/>
  <c r="BW9" i="9"/>
  <c r="BZ9" i="9" s="1"/>
  <c r="C10" i="9"/>
  <c r="F10" i="9" s="1"/>
  <c r="I10" i="9"/>
  <c r="L10" i="9" s="1"/>
  <c r="O10" i="9"/>
  <c r="Q10" i="9" s="1"/>
  <c r="AA10" i="9"/>
  <c r="AG10" i="9" s="1"/>
  <c r="AI10" i="9" s="1"/>
  <c r="AM10" i="9"/>
  <c r="AS10" i="9" s="1"/>
  <c r="AV10" i="9" s="1"/>
  <c r="AY10" i="9"/>
  <c r="BK10" i="9"/>
  <c r="BN10" i="9" s="1"/>
  <c r="BW10" i="9"/>
  <c r="BZ10" i="9" s="1"/>
  <c r="CC10" i="9"/>
  <c r="CF10" i="9" s="1"/>
  <c r="C11" i="9"/>
  <c r="F11" i="9" s="1"/>
  <c r="I11" i="9"/>
  <c r="L11" i="9" s="1"/>
  <c r="O11" i="9"/>
  <c r="Q11" i="9" s="1"/>
  <c r="AA11" i="9"/>
  <c r="AC11" i="9" s="1"/>
  <c r="AM11" i="9"/>
  <c r="AP11" i="9" s="1"/>
  <c r="AY11" i="9"/>
  <c r="BA11" i="9" s="1"/>
  <c r="BK11" i="9"/>
  <c r="BW11" i="9"/>
  <c r="C12" i="9"/>
  <c r="F12" i="9" s="1"/>
  <c r="I12" i="9"/>
  <c r="L12" i="9" s="1"/>
  <c r="O12" i="9"/>
  <c r="U12" i="9" s="1"/>
  <c r="W12" i="9" s="1"/>
  <c r="AA12" i="9"/>
  <c r="AG12" i="9" s="1"/>
  <c r="AJ12" i="9" s="1"/>
  <c r="AC12" i="9"/>
  <c r="AM12" i="9"/>
  <c r="AO12" i="9" s="1"/>
  <c r="AS12" i="9"/>
  <c r="AU12" i="9" s="1"/>
  <c r="AY12" i="9"/>
  <c r="BA12" i="9" s="1"/>
  <c r="BK12" i="9"/>
  <c r="BN12" i="9" s="1"/>
  <c r="BQ12" i="9"/>
  <c r="BT12" i="9" s="1"/>
  <c r="BW12" i="9"/>
  <c r="BY12" i="9" s="1"/>
  <c r="C13" i="9"/>
  <c r="I13" i="9"/>
  <c r="L13" i="9" s="1"/>
  <c r="O13" i="9"/>
  <c r="Q13" i="9" s="1"/>
  <c r="AA13" i="9"/>
  <c r="AD13" i="9" s="1"/>
  <c r="AG13" i="9"/>
  <c r="AJ13" i="9" s="1"/>
  <c r="AM13" i="9"/>
  <c r="AO13" i="9" s="1"/>
  <c r="AY13" i="9"/>
  <c r="BA13" i="9" s="1"/>
  <c r="BE13" i="9"/>
  <c r="BG13" i="9" s="1"/>
  <c r="BK13" i="9"/>
  <c r="BN13" i="9" s="1"/>
  <c r="BW13" i="9"/>
  <c r="BY13" i="9" s="1"/>
  <c r="C14" i="9"/>
  <c r="F14" i="9" s="1"/>
  <c r="I14" i="9"/>
  <c r="L14" i="9"/>
  <c r="O14" i="9"/>
  <c r="Q14" i="9" s="1"/>
  <c r="AA14" i="9"/>
  <c r="AM14" i="9"/>
  <c r="AS14" i="9" s="1"/>
  <c r="AY14" i="9"/>
  <c r="BA14" i="9" s="1"/>
  <c r="BK14" i="9"/>
  <c r="BM14" i="9" s="1"/>
  <c r="BW14" i="9"/>
  <c r="BY14" i="9" s="1"/>
  <c r="C15" i="9"/>
  <c r="I15" i="9"/>
  <c r="L15" i="9" s="1"/>
  <c r="O15" i="9"/>
  <c r="Q15" i="9" s="1"/>
  <c r="AA15" i="9"/>
  <c r="AD15" i="9" s="1"/>
  <c r="AG15" i="9"/>
  <c r="AJ15" i="9"/>
  <c r="AM15" i="9"/>
  <c r="AO15" i="9" s="1"/>
  <c r="AY15" i="9"/>
  <c r="BK15" i="9"/>
  <c r="BQ15" i="9" s="1"/>
  <c r="BS15" i="9" s="1"/>
  <c r="BW15" i="9"/>
  <c r="C16" i="9"/>
  <c r="F16" i="9" s="1"/>
  <c r="I16" i="9"/>
  <c r="L16" i="9"/>
  <c r="O16" i="9"/>
  <c r="AA16" i="9"/>
  <c r="AG16" i="9" s="1"/>
  <c r="AJ16" i="9" s="1"/>
  <c r="AM16" i="9"/>
  <c r="AS16" i="9" s="1"/>
  <c r="AY16" i="9"/>
  <c r="BK16" i="9"/>
  <c r="BW16" i="9"/>
  <c r="C17" i="9"/>
  <c r="F17" i="9" s="1"/>
  <c r="I17" i="9"/>
  <c r="O17" i="9"/>
  <c r="O50" i="9" s="1"/>
  <c r="AA17" i="9"/>
  <c r="AD17" i="9" s="1"/>
  <c r="AG17" i="9"/>
  <c r="AJ17" i="9" s="1"/>
  <c r="AM17" i="9"/>
  <c r="AY17" i="9"/>
  <c r="BE17" i="9"/>
  <c r="BH17" i="9" s="1"/>
  <c r="BB17" i="9"/>
  <c r="BK17" i="9"/>
  <c r="BQ17" i="9" s="1"/>
  <c r="BS17" i="9" s="1"/>
  <c r="BM17" i="9"/>
  <c r="BW17" i="9"/>
  <c r="CC17" i="9" s="1"/>
  <c r="CF17" i="9" s="1"/>
  <c r="BZ17" i="9"/>
  <c r="C18" i="9"/>
  <c r="I18" i="9"/>
  <c r="L18" i="9" s="1"/>
  <c r="O18" i="9"/>
  <c r="U18" i="9" s="1"/>
  <c r="AA18" i="9"/>
  <c r="AM18" i="9"/>
  <c r="AS18" i="9" s="1"/>
  <c r="AP18" i="9"/>
  <c r="AY18" i="9"/>
  <c r="BK18" i="9"/>
  <c r="BW18" i="9"/>
  <c r="C19" i="9"/>
  <c r="F19" i="9" s="1"/>
  <c r="I19" i="9"/>
  <c r="L19" i="9" s="1"/>
  <c r="O19" i="9"/>
  <c r="AA19" i="9"/>
  <c r="AD19" i="9"/>
  <c r="AM19" i="9"/>
  <c r="AY19" i="9"/>
  <c r="BK19" i="9"/>
  <c r="BN19" i="9" s="1"/>
  <c r="BW19" i="9"/>
  <c r="BY19" i="9" s="1"/>
  <c r="BZ19" i="9"/>
  <c r="C20" i="9"/>
  <c r="F20" i="9"/>
  <c r="I20" i="9"/>
  <c r="L20" i="9" s="1"/>
  <c r="O20" i="9"/>
  <c r="U20" i="9" s="1"/>
  <c r="X20" i="9" s="1"/>
  <c r="R20" i="9"/>
  <c r="AA20" i="9"/>
  <c r="AM20" i="9"/>
  <c r="AS20" i="9" s="1"/>
  <c r="AV20" i="9" s="1"/>
  <c r="AY20" i="9"/>
  <c r="BK20" i="9"/>
  <c r="BN20" i="9" s="1"/>
  <c r="BW20" i="9"/>
  <c r="C21" i="9"/>
  <c r="F21" i="9" s="1"/>
  <c r="I21" i="9"/>
  <c r="L21" i="9" s="1"/>
  <c r="O21" i="9"/>
  <c r="U21" i="9" s="1"/>
  <c r="X21" i="9" s="1"/>
  <c r="AA21" i="9"/>
  <c r="AG21" i="9" s="1"/>
  <c r="AI21" i="9" s="1"/>
  <c r="AC21" i="9"/>
  <c r="AM21" i="9"/>
  <c r="AS21" i="9" s="1"/>
  <c r="AV21" i="9" s="1"/>
  <c r="AY21" i="9"/>
  <c r="BK21" i="9"/>
  <c r="BQ21" i="9" s="1"/>
  <c r="BS21" i="9" s="1"/>
  <c r="BW21" i="9"/>
  <c r="BY21" i="9" s="1"/>
  <c r="C22" i="9"/>
  <c r="F22" i="9" s="1"/>
  <c r="I22" i="9"/>
  <c r="O22" i="9"/>
  <c r="O55" i="9" s="1"/>
  <c r="AA22" i="9"/>
  <c r="AM22" i="9"/>
  <c r="AM55" i="9" s="1"/>
  <c r="AY22" i="9"/>
  <c r="BE22" i="9" s="1"/>
  <c r="BG22" i="9" s="1"/>
  <c r="BK22" i="9"/>
  <c r="BW22" i="9"/>
  <c r="BY22" i="9" s="1"/>
  <c r="CC22" i="9"/>
  <c r="CE22" i="9" s="1"/>
  <c r="C23" i="9"/>
  <c r="I23" i="9"/>
  <c r="L23" i="9" s="1"/>
  <c r="O23" i="9"/>
  <c r="U23" i="9" s="1"/>
  <c r="W23" i="9" s="1"/>
  <c r="Q23" i="9"/>
  <c r="AA23" i="9"/>
  <c r="AC23" i="9" s="1"/>
  <c r="AM23" i="9"/>
  <c r="AO23" i="9" s="1"/>
  <c r="AS23" i="9"/>
  <c r="AY23" i="9"/>
  <c r="BK23" i="9"/>
  <c r="BW23" i="9"/>
  <c r="BZ23" i="9" s="1"/>
  <c r="C24" i="9"/>
  <c r="F24" i="9" s="1"/>
  <c r="I24" i="9"/>
  <c r="L24" i="9" s="1"/>
  <c r="O24" i="9"/>
  <c r="U24" i="9" s="1"/>
  <c r="W24" i="9" s="1"/>
  <c r="AA24" i="9"/>
  <c r="AM24" i="9"/>
  <c r="AO24" i="9" s="1"/>
  <c r="AY24" i="9"/>
  <c r="BK24" i="9"/>
  <c r="BM24" i="9" s="1"/>
  <c r="BW24" i="9"/>
  <c r="C25" i="9"/>
  <c r="I25" i="9"/>
  <c r="O25" i="9"/>
  <c r="Q25" i="9" s="1"/>
  <c r="AA25" i="9"/>
  <c r="AC25" i="9" s="1"/>
  <c r="AM25" i="9"/>
  <c r="AO25" i="9" s="1"/>
  <c r="AY25" i="9"/>
  <c r="BB25" i="9" s="1"/>
  <c r="BK25" i="9"/>
  <c r="BN25" i="9" s="1"/>
  <c r="BW25" i="9"/>
  <c r="BZ25" i="9" s="1"/>
  <c r="C26" i="9"/>
  <c r="F26" i="9" s="1"/>
  <c r="I26" i="9"/>
  <c r="L26" i="9" s="1"/>
  <c r="O26" i="9"/>
  <c r="AA26" i="9"/>
  <c r="AD26" i="9" s="1"/>
  <c r="AM26" i="9"/>
  <c r="AO26" i="9" s="1"/>
  <c r="AY26" i="9"/>
  <c r="BE26" i="9" s="1"/>
  <c r="BH26" i="9" s="1"/>
  <c r="BK26" i="9"/>
  <c r="BW26" i="9"/>
  <c r="C27" i="9"/>
  <c r="F27" i="9" s="1"/>
  <c r="I27" i="9"/>
  <c r="L27" i="9" s="1"/>
  <c r="O27" i="9"/>
  <c r="U27" i="9"/>
  <c r="W27" i="9" s="1"/>
  <c r="Q27" i="9"/>
  <c r="AA27" i="9"/>
  <c r="AG27" i="9" s="1"/>
  <c r="AJ27" i="9" s="1"/>
  <c r="AM27" i="9"/>
  <c r="AY27" i="9"/>
  <c r="BB27" i="9" s="1"/>
  <c r="BE27" i="9"/>
  <c r="BH27" i="9" s="1"/>
  <c r="BK27" i="9"/>
  <c r="BQ27" i="9" s="1"/>
  <c r="BT27" i="9" s="1"/>
  <c r="BN27" i="9"/>
  <c r="BW27" i="9"/>
  <c r="CC27" i="9"/>
  <c r="CE27" i="9" s="1"/>
  <c r="C28" i="9"/>
  <c r="F28" i="9" s="1"/>
  <c r="I28" i="9"/>
  <c r="L28" i="9" s="1"/>
  <c r="O28" i="9"/>
  <c r="U28" i="9" s="1"/>
  <c r="W28" i="9" s="1"/>
  <c r="Q28" i="9"/>
  <c r="AA28" i="9"/>
  <c r="AG28" i="9" s="1"/>
  <c r="AJ28" i="9" s="1"/>
  <c r="AM28" i="9"/>
  <c r="AS28" i="9" s="1"/>
  <c r="AP28" i="9"/>
  <c r="AY28" i="9"/>
  <c r="BE28" i="9" s="1"/>
  <c r="BH28" i="9" s="1"/>
  <c r="BB28" i="9"/>
  <c r="BK28" i="9"/>
  <c r="BW28" i="9"/>
  <c r="CC28" i="9" s="1"/>
  <c r="CE28" i="9" s="1"/>
  <c r="C29" i="9"/>
  <c r="F29" i="9" s="1"/>
  <c r="I29" i="9"/>
  <c r="L29" i="9" s="1"/>
  <c r="O29" i="9"/>
  <c r="AA29" i="9"/>
  <c r="AD29" i="9" s="1"/>
  <c r="AM29" i="9"/>
  <c r="AS29" i="9"/>
  <c r="AV29" i="9" s="1"/>
  <c r="AP29" i="9"/>
  <c r="AY29" i="9"/>
  <c r="BE29" i="9" s="1"/>
  <c r="BG29" i="9" s="1"/>
  <c r="BK29" i="9"/>
  <c r="BK62" i="9" s="1"/>
  <c r="BM62" i="9" s="1"/>
  <c r="BW29" i="9"/>
  <c r="C30" i="9"/>
  <c r="F30" i="9"/>
  <c r="I30" i="9"/>
  <c r="L30" i="9" s="1"/>
  <c r="O30" i="9"/>
  <c r="U30" i="9" s="1"/>
  <c r="R30" i="9"/>
  <c r="AA30" i="9"/>
  <c r="AM30" i="9"/>
  <c r="AP30" i="9" s="1"/>
  <c r="AY30" i="9"/>
  <c r="BE30" i="9"/>
  <c r="BG30" i="9" s="1"/>
  <c r="BA30" i="9"/>
  <c r="BK30" i="9"/>
  <c r="BQ30" i="9" s="1"/>
  <c r="BS30" i="9" s="1"/>
  <c r="BW30" i="9"/>
  <c r="BW63" i="9" s="1"/>
  <c r="C31" i="9"/>
  <c r="I31" i="9"/>
  <c r="L31" i="9" s="1"/>
  <c r="O31" i="9"/>
  <c r="U31" i="9" s="1"/>
  <c r="AA31" i="9"/>
  <c r="AG31" i="9" s="1"/>
  <c r="AJ31" i="9" s="1"/>
  <c r="AM31" i="9"/>
  <c r="AM64" i="9" s="1"/>
  <c r="AP64" i="9" s="1"/>
  <c r="AY31" i="9"/>
  <c r="BK31" i="9"/>
  <c r="BQ31" i="9"/>
  <c r="BS31" i="9" s="1"/>
  <c r="BM31" i="9"/>
  <c r="BW31" i="9"/>
  <c r="CC31" i="9" s="1"/>
  <c r="CF31" i="9" s="1"/>
  <c r="C32" i="9"/>
  <c r="I32" i="9"/>
  <c r="L32" i="9" s="1"/>
  <c r="O32" i="9"/>
  <c r="R32" i="9" s="1"/>
  <c r="AA32" i="9"/>
  <c r="AD32" i="9" s="1"/>
  <c r="AG32" i="9"/>
  <c r="AJ32" i="9" s="1"/>
  <c r="AM32" i="9"/>
  <c r="AO32" i="9" s="1"/>
  <c r="AY32" i="9"/>
  <c r="BA32" i="9" s="1"/>
  <c r="BE32" i="9"/>
  <c r="BG32" i="9" s="1"/>
  <c r="BK32" i="9"/>
  <c r="BN32" i="9" s="1"/>
  <c r="BW32" i="9"/>
  <c r="BZ32" i="9" s="1"/>
  <c r="C33" i="9"/>
  <c r="F33" i="9" s="1"/>
  <c r="I33" i="9"/>
  <c r="L33" i="9" s="1"/>
  <c r="O33" i="9"/>
  <c r="U33" i="9" s="1"/>
  <c r="AA33" i="9"/>
  <c r="AC33" i="9"/>
  <c r="AG33" i="9"/>
  <c r="AM33" i="9"/>
  <c r="AY33" i="9"/>
  <c r="BK33" i="9"/>
  <c r="BK66" i="9" s="1"/>
  <c r="BW33" i="9"/>
  <c r="CC33" i="9" s="1"/>
  <c r="CE33" i="9" s="1"/>
  <c r="C38" i="9"/>
  <c r="F38" i="9" s="1"/>
  <c r="I38" i="9"/>
  <c r="L38" i="9" s="1"/>
  <c r="O38" i="9"/>
  <c r="AA38" i="9"/>
  <c r="AD38" i="9" s="1"/>
  <c r="AM38" i="9"/>
  <c r="AO38" i="9" s="1"/>
  <c r="AS38" i="9"/>
  <c r="AU38" i="9" s="1"/>
  <c r="AY38" i="9"/>
  <c r="BE38" i="9" s="1"/>
  <c r="BH38" i="9" s="1"/>
  <c r="BK38" i="9"/>
  <c r="BQ38" i="9" s="1"/>
  <c r="BT38" i="9" s="1"/>
  <c r="BV38" i="9"/>
  <c r="BW38" i="9"/>
  <c r="C39" i="9"/>
  <c r="I39" i="9"/>
  <c r="AA39" i="9"/>
  <c r="AC39" i="9"/>
  <c r="AY39" i="9"/>
  <c r="BB39" i="9" s="1"/>
  <c r="BK39" i="9"/>
  <c r="BN39" i="9" s="1"/>
  <c r="BV39" i="9"/>
  <c r="BW39" i="9"/>
  <c r="CC39" i="9" s="1"/>
  <c r="CE39" i="9" s="1"/>
  <c r="C40" i="9"/>
  <c r="I40" i="9"/>
  <c r="O40" i="9"/>
  <c r="AA40" i="9"/>
  <c r="AC40" i="9" s="1"/>
  <c r="BV40" i="9"/>
  <c r="BW40" i="9"/>
  <c r="I41" i="9"/>
  <c r="L41" i="9" s="1"/>
  <c r="O41" i="9"/>
  <c r="R41" i="9" s="1"/>
  <c r="AA41" i="9"/>
  <c r="AA74" i="9" s="1"/>
  <c r="AM41" i="9"/>
  <c r="AP41" i="9" s="1"/>
  <c r="AY41" i="9"/>
  <c r="BB41" i="9" s="1"/>
  <c r="BK41" i="9"/>
  <c r="BM41" i="9" s="1"/>
  <c r="BV41" i="9"/>
  <c r="BW41" i="9"/>
  <c r="BY41" i="9" s="1"/>
  <c r="C42" i="9"/>
  <c r="F42" i="9" s="1"/>
  <c r="I42" i="9"/>
  <c r="L42" i="9"/>
  <c r="AM42" i="9"/>
  <c r="AS42" i="9"/>
  <c r="AY42" i="9"/>
  <c r="AY75" i="9" s="1"/>
  <c r="BE75" i="9" s="1"/>
  <c r="BH75" i="9" s="1"/>
  <c r="BK42" i="9"/>
  <c r="BM42" i="9" s="1"/>
  <c r="BQ42" i="9"/>
  <c r="BS42" i="9" s="1"/>
  <c r="BV42" i="9"/>
  <c r="BW42" i="9"/>
  <c r="BZ42" i="9"/>
  <c r="C43" i="9"/>
  <c r="F43" i="9" s="1"/>
  <c r="I43" i="9"/>
  <c r="L43" i="9"/>
  <c r="O43" i="9"/>
  <c r="Q43" i="9" s="1"/>
  <c r="AA43" i="9"/>
  <c r="AC43" i="9" s="1"/>
  <c r="BW43" i="9"/>
  <c r="BZ43" i="9" s="1"/>
  <c r="C44" i="9"/>
  <c r="F44" i="9"/>
  <c r="I44" i="9"/>
  <c r="L44" i="9" s="1"/>
  <c r="O44" i="9"/>
  <c r="Q44" i="9"/>
  <c r="AA44" i="9"/>
  <c r="AM44" i="9"/>
  <c r="AP44" i="9" s="1"/>
  <c r="AY44" i="9"/>
  <c r="BA44" i="9"/>
  <c r="C45" i="9"/>
  <c r="I45" i="9"/>
  <c r="L45" i="9" s="1"/>
  <c r="U45" i="9"/>
  <c r="W45" i="9" s="1"/>
  <c r="AA45" i="9"/>
  <c r="AG45" i="9" s="1"/>
  <c r="AM45" i="9"/>
  <c r="AO45" i="9" s="1"/>
  <c r="AS45" i="9"/>
  <c r="AU45" i="9" s="1"/>
  <c r="AY45" i="9"/>
  <c r="BA45" i="9"/>
  <c r="BE45" i="9"/>
  <c r="BG45" i="9" s="1"/>
  <c r="BK45" i="9"/>
  <c r="BN45" i="9"/>
  <c r="BQ45" i="9"/>
  <c r="BT45" i="9" s="1"/>
  <c r="BW45" i="9"/>
  <c r="I46" i="9"/>
  <c r="O46" i="9"/>
  <c r="AA46" i="9"/>
  <c r="AD46" i="9" s="1"/>
  <c r="AM46" i="9"/>
  <c r="AO46" i="9" s="1"/>
  <c r="AY46" i="9"/>
  <c r="BA46" i="9" s="1"/>
  <c r="BK46" i="9"/>
  <c r="BN46" i="9" s="1"/>
  <c r="C47" i="9"/>
  <c r="F47" i="9" s="1"/>
  <c r="I47" i="9"/>
  <c r="L47" i="9"/>
  <c r="O47" i="9"/>
  <c r="Q47" i="9" s="1"/>
  <c r="AY47" i="9"/>
  <c r="AY80" i="9" s="1"/>
  <c r="BA80" i="9" s="1"/>
  <c r="BK47" i="9"/>
  <c r="BW47" i="9"/>
  <c r="BY47" i="9" s="1"/>
  <c r="I48" i="9"/>
  <c r="L48" i="9" s="1"/>
  <c r="AA48" i="9"/>
  <c r="AD48" i="9"/>
  <c r="AM48" i="9"/>
  <c r="AO48" i="9" s="1"/>
  <c r="C49" i="9"/>
  <c r="F49" i="9" s="1"/>
  <c r="I49" i="9"/>
  <c r="O49" i="9"/>
  <c r="AA49" i="9"/>
  <c r="AD49" i="9" s="1"/>
  <c r="AM49" i="9"/>
  <c r="AO49" i="9"/>
  <c r="AY49" i="9"/>
  <c r="BB49" i="9"/>
  <c r="BK49" i="9"/>
  <c r="BM49" i="9" s="1"/>
  <c r="BW49" i="9"/>
  <c r="BZ49" i="9"/>
  <c r="C50" i="9"/>
  <c r="F50" i="9" s="1"/>
  <c r="AA50" i="9"/>
  <c r="AD50" i="9" s="1"/>
  <c r="AM50" i="9"/>
  <c r="AP50" i="9" s="1"/>
  <c r="AY50" i="9"/>
  <c r="BB50" i="9" s="1"/>
  <c r="BK50" i="9"/>
  <c r="BM50" i="9" s="1"/>
  <c r="BW50" i="9"/>
  <c r="BZ50" i="9" s="1"/>
  <c r="O51" i="9"/>
  <c r="R51" i="9"/>
  <c r="AM51" i="9"/>
  <c r="AM84" i="9" s="1"/>
  <c r="AP84" i="9" s="1"/>
  <c r="AP51" i="9"/>
  <c r="AY51" i="9"/>
  <c r="BB51" i="9"/>
  <c r="BK51" i="9"/>
  <c r="BN51" i="9" s="1"/>
  <c r="BW51" i="9"/>
  <c r="BZ51" i="9" s="1"/>
  <c r="C52" i="9"/>
  <c r="F52" i="9" s="1"/>
  <c r="I52" i="9"/>
  <c r="L52" i="9"/>
  <c r="O52" i="9"/>
  <c r="R52" i="9" s="1"/>
  <c r="AM52" i="9"/>
  <c r="AM85" i="9" s="1"/>
  <c r="AP85" i="9" s="1"/>
  <c r="AY52" i="9"/>
  <c r="BB52" i="9" s="1"/>
  <c r="BA52" i="9"/>
  <c r="BW52" i="9"/>
  <c r="CC52" i="9" s="1"/>
  <c r="C53" i="9"/>
  <c r="F53" i="9" s="1"/>
  <c r="I53" i="9"/>
  <c r="L53" i="9" s="1"/>
  <c r="O53" i="9"/>
  <c r="R53" i="9" s="1"/>
  <c r="U53" i="9"/>
  <c r="X53" i="9" s="1"/>
  <c r="AA53" i="9"/>
  <c r="AC53" i="9" s="1"/>
  <c r="AM53" i="9"/>
  <c r="AS53" i="9"/>
  <c r="AY53" i="9"/>
  <c r="I54" i="9"/>
  <c r="L54" i="9" s="1"/>
  <c r="O54" i="9"/>
  <c r="R54" i="9" s="1"/>
  <c r="U54" i="9"/>
  <c r="X54" i="9" s="1"/>
  <c r="AA54" i="9"/>
  <c r="AG54" i="9" s="1"/>
  <c r="AI54" i="9" s="1"/>
  <c r="AM54" i="9"/>
  <c r="AP54" i="9"/>
  <c r="AS54" i="9"/>
  <c r="BK54" i="9"/>
  <c r="BW54" i="9"/>
  <c r="CC54" i="9" s="1"/>
  <c r="CE54" i="9" s="1"/>
  <c r="BY54" i="9"/>
  <c r="C55" i="9"/>
  <c r="C88" i="9" s="1"/>
  <c r="F88" i="9" s="1"/>
  <c r="F55" i="9"/>
  <c r="AY55" i="9"/>
  <c r="BA55" i="9"/>
  <c r="BE55" i="9"/>
  <c r="BG55" i="9" s="1"/>
  <c r="BK55" i="9"/>
  <c r="BM55" i="9"/>
  <c r="BQ55" i="9"/>
  <c r="BS55" i="9" s="1"/>
  <c r="BW55" i="9"/>
  <c r="I56" i="9"/>
  <c r="L56" i="9" s="1"/>
  <c r="O56" i="9"/>
  <c r="O89" i="9" s="1"/>
  <c r="Q89" i="9" s="1"/>
  <c r="U56" i="9"/>
  <c r="W56" i="9" s="1"/>
  <c r="AA56" i="9"/>
  <c r="AG56" i="9" s="1"/>
  <c r="AI56" i="9" s="1"/>
  <c r="AC56" i="9"/>
  <c r="AM56" i="9"/>
  <c r="BW56" i="9"/>
  <c r="BZ56" i="9" s="1"/>
  <c r="I57" i="9"/>
  <c r="L57" i="9" s="1"/>
  <c r="O57" i="9"/>
  <c r="Q57" i="9"/>
  <c r="U57" i="9"/>
  <c r="W57" i="9" s="1"/>
  <c r="AM57" i="9"/>
  <c r="AY57" i="9"/>
  <c r="BK57" i="9"/>
  <c r="BQ57" i="9" s="1"/>
  <c r="BS57" i="9" s="1"/>
  <c r="BW57" i="9"/>
  <c r="BZ57" i="9" s="1"/>
  <c r="CC57" i="9"/>
  <c r="CF57" i="9" s="1"/>
  <c r="O58" i="9"/>
  <c r="Q58" i="9" s="1"/>
  <c r="AM58" i="9"/>
  <c r="AO58" i="9"/>
  <c r="AY58" i="9"/>
  <c r="BB58" i="9" s="1"/>
  <c r="BK58" i="9"/>
  <c r="BK91" i="9" s="1"/>
  <c r="BQ91" i="9" s="1"/>
  <c r="BT91" i="9" s="1"/>
  <c r="BW58" i="9"/>
  <c r="CC58" i="9" s="1"/>
  <c r="CF58" i="9" s="1"/>
  <c r="C59" i="9"/>
  <c r="F59" i="9" s="1"/>
  <c r="I59" i="9"/>
  <c r="L59" i="9" s="1"/>
  <c r="AA59" i="9"/>
  <c r="AD59" i="9" s="1"/>
  <c r="AM59" i="9"/>
  <c r="AO59" i="9"/>
  <c r="BW59" i="9"/>
  <c r="BW92" i="9" s="1"/>
  <c r="BZ92" i="9" s="1"/>
  <c r="C60" i="9"/>
  <c r="I60" i="9"/>
  <c r="O60" i="9"/>
  <c r="Q60" i="9" s="1"/>
  <c r="AA60" i="9"/>
  <c r="AD60" i="9" s="1"/>
  <c r="AY60" i="9"/>
  <c r="BB60" i="9" s="1"/>
  <c r="BK60" i="9"/>
  <c r="BN60" i="9" s="1"/>
  <c r="I61" i="9"/>
  <c r="L61" i="9" s="1"/>
  <c r="O61" i="9"/>
  <c r="Q61" i="9" s="1"/>
  <c r="U61" i="9"/>
  <c r="W61" i="9" s="1"/>
  <c r="AA61" i="9"/>
  <c r="AD61" i="9" s="1"/>
  <c r="AM61" i="9"/>
  <c r="AY61" i="9"/>
  <c r="BK61" i="9"/>
  <c r="C62" i="9"/>
  <c r="F62" i="9" s="1"/>
  <c r="I62" i="9"/>
  <c r="L62" i="9" s="1"/>
  <c r="O62" i="9"/>
  <c r="Q62" i="9" s="1"/>
  <c r="AM62" i="9"/>
  <c r="AP62" i="9" s="1"/>
  <c r="AS62" i="9"/>
  <c r="AV62" i="9"/>
  <c r="AY62" i="9"/>
  <c r="BA62" i="9" s="1"/>
  <c r="C63" i="9"/>
  <c r="F63" i="9" s="1"/>
  <c r="I63" i="9"/>
  <c r="O63" i="9"/>
  <c r="AA63" i="9"/>
  <c r="AM63" i="9"/>
  <c r="AP63" i="9" s="1"/>
  <c r="AY63" i="9"/>
  <c r="BA63" i="9" s="1"/>
  <c r="BK63" i="9"/>
  <c r="BM63" i="9" s="1"/>
  <c r="I64" i="9"/>
  <c r="L64" i="9" s="1"/>
  <c r="AA64" i="9"/>
  <c r="AD64" i="9" s="1"/>
  <c r="BK64" i="9"/>
  <c r="BM64" i="9" s="1"/>
  <c r="BW64" i="9"/>
  <c r="BZ64" i="9" s="1"/>
  <c r="I65" i="9"/>
  <c r="O65" i="9"/>
  <c r="AA65" i="9"/>
  <c r="AD65" i="9" s="1"/>
  <c r="AM65" i="9"/>
  <c r="AY65" i="9"/>
  <c r="BA65" i="9" s="1"/>
  <c r="BK65" i="9"/>
  <c r="BN65" i="9" s="1"/>
  <c r="BW65" i="9"/>
  <c r="BZ65" i="9" s="1"/>
  <c r="C66" i="9"/>
  <c r="F66" i="9" s="1"/>
  <c r="I66" i="9"/>
  <c r="L66" i="9" s="1"/>
  <c r="O66" i="9"/>
  <c r="R66" i="9" s="1"/>
  <c r="AM66" i="9"/>
  <c r="AO66" i="9"/>
  <c r="AY66" i="9"/>
  <c r="AY99" i="9" s="1"/>
  <c r="BW66" i="9"/>
  <c r="BW99" i="9" s="1"/>
  <c r="CC99" i="9" s="1"/>
  <c r="CF99" i="9" s="1"/>
  <c r="C71" i="9"/>
  <c r="F71" i="9" s="1"/>
  <c r="I71" i="9"/>
  <c r="L71" i="9" s="1"/>
  <c r="AA71" i="9"/>
  <c r="AC71" i="9" s="1"/>
  <c r="AM71" i="9"/>
  <c r="AO71" i="9" s="1"/>
  <c r="AS71" i="9"/>
  <c r="AU71" i="9" s="1"/>
  <c r="AY71" i="9"/>
  <c r="BK71" i="9"/>
  <c r="AA72" i="9"/>
  <c r="AC72" i="9" s="1"/>
  <c r="AY72" i="9"/>
  <c r="BB72" i="9" s="1"/>
  <c r="BP72" i="9"/>
  <c r="BW72" i="9"/>
  <c r="CC72" i="9" s="1"/>
  <c r="CE72" i="9" s="1"/>
  <c r="AA73" i="9"/>
  <c r="AG73" i="9" s="1"/>
  <c r="AI73" i="9" s="1"/>
  <c r="BP73" i="9"/>
  <c r="BW73" i="9"/>
  <c r="I74" i="9"/>
  <c r="L74" i="9" s="1"/>
  <c r="O74" i="9"/>
  <c r="R74" i="9" s="1"/>
  <c r="AM74" i="9"/>
  <c r="AP74" i="9" s="1"/>
  <c r="BK74" i="9"/>
  <c r="BP74" i="9"/>
  <c r="BW74" i="9"/>
  <c r="CC74" i="9" s="1"/>
  <c r="CE74" i="9" s="1"/>
  <c r="C75" i="9"/>
  <c r="F75" i="9" s="1"/>
  <c r="I75" i="9"/>
  <c r="L75" i="9" s="1"/>
  <c r="BK75" i="9"/>
  <c r="BQ75" i="9" s="1"/>
  <c r="BS75" i="9" s="1"/>
  <c r="BP75" i="9"/>
  <c r="BW75" i="9"/>
  <c r="CC75" i="9" s="1"/>
  <c r="CF75" i="9" s="1"/>
  <c r="C76" i="9"/>
  <c r="F76" i="9" s="1"/>
  <c r="I76" i="9"/>
  <c r="L76" i="9" s="1"/>
  <c r="O76" i="9"/>
  <c r="Q76" i="9" s="1"/>
  <c r="AA76" i="9"/>
  <c r="AG76" i="9" s="1"/>
  <c r="AI76" i="9" s="1"/>
  <c r="AC76" i="9"/>
  <c r="C77" i="9"/>
  <c r="F77" i="9" s="1"/>
  <c r="I77" i="9"/>
  <c r="L77" i="9" s="1"/>
  <c r="O77" i="9"/>
  <c r="Q77" i="9" s="1"/>
  <c r="AM77" i="9"/>
  <c r="AP77" i="9" s="1"/>
  <c r="AY77" i="9"/>
  <c r="BE77" i="9" s="1"/>
  <c r="BG77" i="9" s="1"/>
  <c r="AA78" i="9"/>
  <c r="AD78" i="9" s="1"/>
  <c r="AM78" i="9"/>
  <c r="AO78" i="9" s="1"/>
  <c r="AS78" i="9"/>
  <c r="AU78" i="9" s="1"/>
  <c r="AY78" i="9"/>
  <c r="BK78" i="9"/>
  <c r="BW78" i="9"/>
  <c r="AA79" i="9"/>
  <c r="AD79" i="9" s="1"/>
  <c r="AM79" i="9"/>
  <c r="AO79" i="9" s="1"/>
  <c r="AY79" i="9"/>
  <c r="BA79" i="9" s="1"/>
  <c r="BK79" i="9"/>
  <c r="BN79" i="9" s="1"/>
  <c r="C80" i="9"/>
  <c r="F80" i="9" s="1"/>
  <c r="I80" i="9"/>
  <c r="L80" i="9" s="1"/>
  <c r="O80" i="9"/>
  <c r="Q80" i="9" s="1"/>
  <c r="BW80" i="9"/>
  <c r="BY80" i="9" s="1"/>
  <c r="AA81" i="9"/>
  <c r="AM81" i="9"/>
  <c r="AO81" i="9" s="1"/>
  <c r="C82" i="9"/>
  <c r="F82" i="9" s="1"/>
  <c r="AM82" i="9"/>
  <c r="AO82" i="9" s="1"/>
  <c r="AY82" i="9"/>
  <c r="BB82" i="9" s="1"/>
  <c r="BE82" i="9"/>
  <c r="BH82" i="9" s="1"/>
  <c r="BK82" i="9"/>
  <c r="BW82" i="9"/>
  <c r="C83" i="9"/>
  <c r="F83" i="9" s="1"/>
  <c r="AM83" i="9"/>
  <c r="AP83" i="9" s="1"/>
  <c r="AY83" i="9"/>
  <c r="BB83" i="9" s="1"/>
  <c r="BE83" i="9"/>
  <c r="BH83" i="9" s="1"/>
  <c r="BK83" i="9"/>
  <c r="BM83" i="9" s="1"/>
  <c r="BQ83" i="9"/>
  <c r="BS83" i="9" s="1"/>
  <c r="BW83" i="9"/>
  <c r="BZ83" i="9" s="1"/>
  <c r="O84" i="9"/>
  <c r="R84" i="9" s="1"/>
  <c r="AY84" i="9"/>
  <c r="BB84" i="9" s="1"/>
  <c r="BK84" i="9"/>
  <c r="BN84" i="9" s="1"/>
  <c r="BW84" i="9"/>
  <c r="BZ84" i="9" s="1"/>
  <c r="C85" i="9"/>
  <c r="F85" i="9" s="1"/>
  <c r="I85" i="9"/>
  <c r="L85" i="9" s="1"/>
  <c r="O85" i="9"/>
  <c r="R85" i="9"/>
  <c r="AY85" i="9"/>
  <c r="BB85" i="9" s="1"/>
  <c r="BW85" i="9"/>
  <c r="I86" i="9"/>
  <c r="L86" i="9" s="1"/>
  <c r="O86" i="9"/>
  <c r="R86" i="9" s="1"/>
  <c r="U86" i="9"/>
  <c r="X86" i="9" s="1"/>
  <c r="AA86" i="9"/>
  <c r="AG86" i="9" s="1"/>
  <c r="AI86" i="9" s="1"/>
  <c r="I87" i="9"/>
  <c r="L87" i="9" s="1"/>
  <c r="U87" i="9"/>
  <c r="X87" i="9" s="1"/>
  <c r="AA87" i="9"/>
  <c r="AG87" i="9" s="1"/>
  <c r="AI87" i="9" s="1"/>
  <c r="AM87" i="9"/>
  <c r="AP87" i="9" s="1"/>
  <c r="BK87" i="9"/>
  <c r="BQ87" i="9" s="1"/>
  <c r="BS87" i="9" s="1"/>
  <c r="BW87" i="9"/>
  <c r="CC87" i="9" s="1"/>
  <c r="CE87" i="9" s="1"/>
  <c r="AY88" i="9"/>
  <c r="BE88" i="9" s="1"/>
  <c r="BG88" i="9" s="1"/>
  <c r="BK88" i="9"/>
  <c r="BQ88" i="9" s="1"/>
  <c r="BS88" i="9" s="1"/>
  <c r="I89" i="9"/>
  <c r="L89" i="9" s="1"/>
  <c r="AA89" i="9"/>
  <c r="AG89" i="9" s="1"/>
  <c r="AI89" i="9" s="1"/>
  <c r="BW89" i="9"/>
  <c r="CC89" i="9" s="1"/>
  <c r="CF89" i="9" s="1"/>
  <c r="I90" i="9"/>
  <c r="L90" i="9" s="1"/>
  <c r="O90" i="9"/>
  <c r="Q90" i="9" s="1"/>
  <c r="BK90" i="9"/>
  <c r="BQ90" i="9" s="1"/>
  <c r="BS90" i="9" s="1"/>
  <c r="BW90" i="9"/>
  <c r="CC90" i="9" s="1"/>
  <c r="CF90" i="9" s="1"/>
  <c r="O91" i="9"/>
  <c r="Q91" i="9" s="1"/>
  <c r="AM91" i="9"/>
  <c r="AO91" i="9" s="1"/>
  <c r="BW91" i="9"/>
  <c r="CC91" i="9" s="1"/>
  <c r="CF91" i="9" s="1"/>
  <c r="C92" i="9"/>
  <c r="F92" i="9" s="1"/>
  <c r="I92" i="9"/>
  <c r="L92" i="9" s="1"/>
  <c r="AA92" i="9"/>
  <c r="AM92" i="9"/>
  <c r="AO92" i="9" s="1"/>
  <c r="AA93" i="9"/>
  <c r="AD93" i="9" s="1"/>
  <c r="AY93" i="9"/>
  <c r="BB93" i="9" s="1"/>
  <c r="BK93" i="9"/>
  <c r="BN93" i="9" s="1"/>
  <c r="I94" i="9"/>
  <c r="L94" i="9"/>
  <c r="O94" i="9"/>
  <c r="Q94" i="9" s="1"/>
  <c r="U94" i="9"/>
  <c r="W94" i="9" s="1"/>
  <c r="AA94" i="9"/>
  <c r="AD94" i="9" s="1"/>
  <c r="I95" i="9"/>
  <c r="L95" i="9" s="1"/>
  <c r="O95" i="9"/>
  <c r="Q95" i="9" s="1"/>
  <c r="AM95" i="9"/>
  <c r="AP95" i="9" s="1"/>
  <c r="AS95" i="9"/>
  <c r="AV95" i="9"/>
  <c r="AY95" i="9"/>
  <c r="BA95" i="9" s="1"/>
  <c r="BK95" i="9"/>
  <c r="BM95" i="9" s="1"/>
  <c r="C96" i="9"/>
  <c r="F96" i="9" s="1"/>
  <c r="AM96" i="9"/>
  <c r="AP96" i="9" s="1"/>
  <c r="BK96" i="9"/>
  <c r="BM96" i="9" s="1"/>
  <c r="I97" i="9"/>
  <c r="L97" i="9"/>
  <c r="AA97" i="9"/>
  <c r="AD97" i="9" s="1"/>
  <c r="AM97" i="9"/>
  <c r="AP97" i="9" s="1"/>
  <c r="BK97" i="9"/>
  <c r="BM97" i="9" s="1"/>
  <c r="BW97" i="9"/>
  <c r="BZ97" i="9" s="1"/>
  <c r="AA98" i="9"/>
  <c r="AY98" i="9"/>
  <c r="BK98" i="9"/>
  <c r="BW98" i="9"/>
  <c r="C99" i="9"/>
  <c r="F99" i="9"/>
  <c r="I99" i="9"/>
  <c r="L99" i="9" s="1"/>
  <c r="O99" i="9"/>
  <c r="R99" i="9"/>
  <c r="AM99" i="9"/>
  <c r="AO99" i="9" s="1"/>
  <c r="BK99" i="9"/>
  <c r="BQ99" i="9" s="1"/>
  <c r="BT99" i="9" s="1"/>
  <c r="B5" i="6"/>
  <c r="B5" i="7" s="1"/>
  <c r="AD4" i="4"/>
  <c r="AC32" i="4" s="1"/>
  <c r="AD8" i="4" a="1"/>
  <c r="AD12" i="4" s="1"/>
  <c r="AF8" i="4" a="1"/>
  <c r="AF8" i="4" s="1"/>
  <c r="AJ8" i="4" a="1"/>
  <c r="AJ12" i="4" s="1"/>
  <c r="AK12" i="4" s="1"/>
  <c r="AN8" i="4" a="1"/>
  <c r="AR8" i="4" a="1"/>
  <c r="AV8" i="4" a="1"/>
  <c r="AV8" i="4" s="1"/>
  <c r="AZ8" i="4" a="1"/>
  <c r="AZ22" i="4" s="1"/>
  <c r="AF9" i="4"/>
  <c r="AG9" i="4" s="1"/>
  <c r="AF12" i="4"/>
  <c r="AH12" i="4" s="1"/>
  <c r="AZ12" i="4"/>
  <c r="BA12" i="4" s="1"/>
  <c r="AR14" i="4"/>
  <c r="AS14" i="4" s="1"/>
  <c r="AZ16" i="4"/>
  <c r="BB16" i="4" s="1"/>
  <c r="AV17" i="4"/>
  <c r="AW17" i="4" s="1"/>
  <c r="AF18" i="4"/>
  <c r="AI18" i="4" s="1"/>
  <c r="AJ18" i="4"/>
  <c r="AK18" i="4" s="1"/>
  <c r="AF19" i="4"/>
  <c r="AI19" i="4" s="1"/>
  <c r="AH19" i="4"/>
  <c r="AJ19" i="4"/>
  <c r="AL19" i="4" s="1"/>
  <c r="AF20" i="4"/>
  <c r="AH20" i="4" s="1"/>
  <c r="AJ20" i="4"/>
  <c r="AL20" i="4" s="1"/>
  <c r="AZ20" i="4"/>
  <c r="BB20" i="4" s="1"/>
  <c r="AF21" i="4"/>
  <c r="AH21" i="4" s="1"/>
  <c r="AF22" i="4"/>
  <c r="AH22" i="4" s="1"/>
  <c r="AJ24" i="4"/>
  <c r="AL24" i="4" s="1"/>
  <c r="AR24" i="4"/>
  <c r="AT24" i="4" s="1"/>
  <c r="AF25" i="4"/>
  <c r="AH25" i="4" s="1"/>
  <c r="AV25" i="4"/>
  <c r="AX25" i="4" s="1"/>
  <c r="AF26" i="4"/>
  <c r="AH26" i="4" s="1"/>
  <c r="AG26" i="4"/>
  <c r="AJ26" i="4"/>
  <c r="AZ26" i="4"/>
  <c r="BB26" i="4" s="1"/>
  <c r="AV27" i="4"/>
  <c r="AW27" i="4" s="1"/>
  <c r="AD28" i="4"/>
  <c r="AF28" i="4"/>
  <c r="AJ28" i="4"/>
  <c r="AL28" i="4" s="1"/>
  <c r="AN28" i="4"/>
  <c r="AO28" i="4" s="1"/>
  <c r="AV28" i="4"/>
  <c r="AX28" i="4" s="1"/>
  <c r="AF29" i="4"/>
  <c r="AG29" i="4" s="1"/>
  <c r="AJ29" i="4"/>
  <c r="AL29" i="4" s="1"/>
  <c r="AR29" i="4"/>
  <c r="AV29" i="4"/>
  <c r="AW29" i="4" s="1"/>
  <c r="AD31" i="4"/>
  <c r="AV31" i="4"/>
  <c r="AX31" i="4" s="1"/>
  <c r="AD38" i="4" a="1"/>
  <c r="AD38" i="4" s="1"/>
  <c r="AF38" i="4" a="1"/>
  <c r="AF49" i="4" s="1"/>
  <c r="AI49" i="4" s="1"/>
  <c r="AJ38" i="4" a="1"/>
  <c r="AJ57" i="4" s="1"/>
  <c r="AN38" i="4" a="1"/>
  <c r="AN50" i="4" s="1"/>
  <c r="AR38" i="4" a="1"/>
  <c r="AR42" i="4" s="1"/>
  <c r="AV38" i="4" a="1"/>
  <c r="AV41" i="4" s="1"/>
  <c r="AZ38" i="4" a="1"/>
  <c r="AJ39" i="4"/>
  <c r="AL39" i="4" s="1"/>
  <c r="AF40" i="4"/>
  <c r="AH40" i="4" s="1"/>
  <c r="AD41" i="4"/>
  <c r="AR41" i="4"/>
  <c r="AU41" i="4" s="1"/>
  <c r="AN42" i="4"/>
  <c r="AO42" i="4" s="1"/>
  <c r="AZ43" i="4"/>
  <c r="BB43" i="4" s="1"/>
  <c r="AR44" i="4"/>
  <c r="AT44" i="4" s="1"/>
  <c r="AJ45" i="4"/>
  <c r="AR45" i="4"/>
  <c r="AS45" i="4" s="1"/>
  <c r="AT45" i="4"/>
  <c r="AN46" i="4"/>
  <c r="AP46" i="4" s="1"/>
  <c r="AR48" i="4"/>
  <c r="AT48" i="4" s="1"/>
  <c r="AD49" i="4"/>
  <c r="AJ49" i="4"/>
  <c r="AK49" i="4" s="1"/>
  <c r="AR49" i="4"/>
  <c r="AS49" i="4" s="1"/>
  <c r="AV51" i="4"/>
  <c r="AY51" i="4" s="1"/>
  <c r="AZ51" i="4"/>
  <c r="AD52" i="4"/>
  <c r="AJ53" i="4"/>
  <c r="AR53" i="4"/>
  <c r="AT53" i="4" s="1"/>
  <c r="AD54" i="4"/>
  <c r="AN54" i="4"/>
  <c r="AP54" i="4" s="1"/>
  <c r="AJ55" i="4"/>
  <c r="AD56" i="4"/>
  <c r="AR56" i="4"/>
  <c r="AT56" i="4" s="1"/>
  <c r="AR57" i="4"/>
  <c r="AS57" i="4" s="1"/>
  <c r="AD58" i="4"/>
  <c r="AN58" i="4"/>
  <c r="AP58" i="4" s="1"/>
  <c r="AR59" i="4"/>
  <c r="AZ59" i="4"/>
  <c r="AD60" i="4"/>
  <c r="AJ60" i="4"/>
  <c r="AM60" i="4" s="1"/>
  <c r="AD61" i="4"/>
  <c r="AJ61" i="4"/>
  <c r="AR61" i="4"/>
  <c r="AS61" i="4" s="1"/>
  <c r="AD68" i="4" a="1"/>
  <c r="AD68" i="4" s="1"/>
  <c r="AF68" i="4" a="1"/>
  <c r="AF85" i="4" s="1"/>
  <c r="AJ68" i="4" a="1"/>
  <c r="AN68" i="4" a="1"/>
  <c r="AN77" i="4" s="1"/>
  <c r="AR68" i="4" a="1"/>
  <c r="AR83" i="4" s="1"/>
  <c r="AU83" i="4" s="1"/>
  <c r="AV68" i="4" a="1"/>
  <c r="AV81" i="4" s="1"/>
  <c r="AW81" i="4" s="1"/>
  <c r="AZ68" i="4" a="1"/>
  <c r="AZ71" i="4"/>
  <c r="AJ69" i="4"/>
  <c r="AL69" i="4" s="1"/>
  <c r="AN71" i="4"/>
  <c r="AV73" i="4"/>
  <c r="AF74" i="4"/>
  <c r="AI74" i="4" s="1"/>
  <c r="AJ76" i="4"/>
  <c r="AN76" i="4"/>
  <c r="AP76" i="4" s="1"/>
  <c r="AR76" i="4"/>
  <c r="AD78" i="4"/>
  <c r="AF79" i="4"/>
  <c r="AV79" i="4"/>
  <c r="AD81" i="4"/>
  <c r="AD82" i="4"/>
  <c r="AF82" i="4"/>
  <c r="AI82" i="4" s="1"/>
  <c r="AV83" i="4"/>
  <c r="AV85" i="4"/>
  <c r="AX85" i="4" s="1"/>
  <c r="AY85" i="4"/>
  <c r="AR86" i="4"/>
  <c r="AS86" i="4" s="1"/>
  <c r="AV86" i="4"/>
  <c r="AY86" i="4" s="1"/>
  <c r="AZ86" i="4"/>
  <c r="AN87" i="4"/>
  <c r="AD89" i="4"/>
  <c r="AN89" i="4"/>
  <c r="AD90" i="4"/>
  <c r="AV90" i="4"/>
  <c r="AF91" i="4"/>
  <c r="AV91" i="4"/>
  <c r="AY91" i="4" s="1"/>
  <c r="AD98" i="4" a="1"/>
  <c r="AD120" i="4" s="1"/>
  <c r="AF98" i="4" a="1"/>
  <c r="AF121" i="4" s="1"/>
  <c r="AH121" i="4" s="1"/>
  <c r="AJ98" i="4" a="1"/>
  <c r="AN98" i="4" a="1"/>
  <c r="AN101" i="4" s="1"/>
  <c r="AN98" i="4"/>
  <c r="AR98" i="4" a="1"/>
  <c r="AR101" i="4" s="1"/>
  <c r="AT101" i="4" s="1"/>
  <c r="AR98" i="4"/>
  <c r="AU98" i="4" s="1"/>
  <c r="AV98" i="4" a="1"/>
  <c r="AV98" i="4" s="1"/>
  <c r="AX98" i="4" s="1"/>
  <c r="AZ98" i="4" a="1"/>
  <c r="AZ98" i="4" s="1"/>
  <c r="BC98" i="4" s="1"/>
  <c r="AN99" i="4"/>
  <c r="AN100" i="4"/>
  <c r="AQ100" i="4" s="1"/>
  <c r="AR100" i="4"/>
  <c r="AU100" i="4" s="1"/>
  <c r="AZ100" i="4"/>
  <c r="AN102" i="4"/>
  <c r="AR102" i="4"/>
  <c r="AT102" i="4" s="1"/>
  <c r="AV102" i="4"/>
  <c r="AY102" i="4" s="1"/>
  <c r="AN103" i="4"/>
  <c r="AO103" i="4" s="1"/>
  <c r="AV103" i="4"/>
  <c r="AY103" i="4" s="1"/>
  <c r="AN104" i="4"/>
  <c r="AR104" i="4"/>
  <c r="AS104" i="4" s="1"/>
  <c r="AN105" i="4"/>
  <c r="AP105" i="4" s="1"/>
  <c r="AR105" i="4"/>
  <c r="AZ105" i="4"/>
  <c r="BC105" i="4" s="1"/>
  <c r="AN106" i="4"/>
  <c r="AO106" i="4" s="1"/>
  <c r="AN107" i="4"/>
  <c r="AP107" i="4" s="1"/>
  <c r="AR107" i="4"/>
  <c r="AT107" i="4" s="1"/>
  <c r="AV107" i="4"/>
  <c r="AX107" i="4" s="1"/>
  <c r="AZ107" i="4"/>
  <c r="AN108" i="4"/>
  <c r="AQ108" i="4" s="1"/>
  <c r="AV108" i="4"/>
  <c r="AW108" i="4" s="1"/>
  <c r="AN109" i="4"/>
  <c r="AP109" i="4" s="1"/>
  <c r="AR109" i="4"/>
  <c r="AT109" i="4" s="1"/>
  <c r="AV109" i="4"/>
  <c r="AY109" i="4" s="1"/>
  <c r="AN110" i="4"/>
  <c r="AP110" i="4" s="1"/>
  <c r="AV110" i="4"/>
  <c r="AX110" i="4" s="1"/>
  <c r="AZ110" i="4"/>
  <c r="BB110" i="4" s="1"/>
  <c r="AN111" i="4"/>
  <c r="AQ111" i="4" s="1"/>
  <c r="AZ111" i="4"/>
  <c r="AN112" i="4"/>
  <c r="AN113" i="4"/>
  <c r="AO113" i="4" s="1"/>
  <c r="AR113" i="4"/>
  <c r="AT113" i="4" s="1"/>
  <c r="AN114" i="4"/>
  <c r="AP114" i="4" s="1"/>
  <c r="AO114" i="4"/>
  <c r="AR114" i="4"/>
  <c r="AU114" i="4" s="1"/>
  <c r="AZ114" i="4"/>
  <c r="BB114" i="4" s="1"/>
  <c r="AN115" i="4"/>
  <c r="AP115" i="4" s="1"/>
  <c r="AR115" i="4"/>
  <c r="AV115" i="4"/>
  <c r="AX115" i="4" s="1"/>
  <c r="AZ115" i="4"/>
  <c r="AN116" i="4"/>
  <c r="AP116" i="4" s="1"/>
  <c r="AR116" i="4"/>
  <c r="AZ116" i="4"/>
  <c r="BC116" i="4" s="1"/>
  <c r="AJ117" i="4"/>
  <c r="AN117" i="4"/>
  <c r="AP117" i="4" s="1"/>
  <c r="AV117" i="4"/>
  <c r="AY117" i="4" s="1"/>
  <c r="AZ117" i="4"/>
  <c r="BC117" i="4" s="1"/>
  <c r="AN118" i="4"/>
  <c r="AO118" i="4" s="1"/>
  <c r="AZ118" i="4"/>
  <c r="BB118" i="4" s="1"/>
  <c r="AN119" i="4"/>
  <c r="AQ119" i="4" s="1"/>
  <c r="AZ119" i="4"/>
  <c r="BA119" i="4" s="1"/>
  <c r="AN120" i="4"/>
  <c r="AP120" i="4" s="1"/>
  <c r="AV120" i="4"/>
  <c r="AY120" i="4" s="1"/>
  <c r="AD121" i="4"/>
  <c r="AN121" i="4"/>
  <c r="AR121" i="4"/>
  <c r="AT121" i="4" s="1"/>
  <c r="AZ121" i="4"/>
  <c r="BB121" i="4" s="1"/>
  <c r="AD128" i="4" a="1"/>
  <c r="AD132" i="4" s="1"/>
  <c r="AF128" i="4" a="1"/>
  <c r="AF128" i="4" s="1"/>
  <c r="AH128" i="4" s="1"/>
  <c r="AG128" i="4"/>
  <c r="AJ128" i="4" a="1"/>
  <c r="AJ147" i="4" s="1"/>
  <c r="AM147" i="4" s="1"/>
  <c r="AN128" i="4" a="1"/>
  <c r="AN128" i="4" s="1"/>
  <c r="AR128" i="4" a="1"/>
  <c r="AR133" i="4" s="1"/>
  <c r="AU133" i="4" s="1"/>
  <c r="AV128" i="4" a="1"/>
  <c r="AV151" i="4" s="1"/>
  <c r="AZ128" i="4" a="1"/>
  <c r="AD130" i="4"/>
  <c r="AN132" i="4"/>
  <c r="AF133" i="4"/>
  <c r="AG133" i="4" s="1"/>
  <c r="AN134" i="4"/>
  <c r="AP134" i="4" s="1"/>
  <c r="AF135" i="4"/>
  <c r="AI135" i="4" s="1"/>
  <c r="AH135" i="4"/>
  <c r="AR135" i="4"/>
  <c r="AN136" i="4"/>
  <c r="AP136" i="4" s="1"/>
  <c r="AV136" i="4"/>
  <c r="AX136" i="4" s="1"/>
  <c r="AF137" i="4"/>
  <c r="AH137" i="4" s="1"/>
  <c r="AN137" i="4"/>
  <c r="AP137" i="4" s="1"/>
  <c r="AN140" i="4"/>
  <c r="AP140" i="4" s="1"/>
  <c r="AN141" i="4"/>
  <c r="AR141" i="4"/>
  <c r="AU141" i="4" s="1"/>
  <c r="AD142" i="4"/>
  <c r="AN142" i="4"/>
  <c r="AQ142" i="4" s="1"/>
  <c r="AD143" i="4"/>
  <c r="AF143" i="4"/>
  <c r="AR143" i="4"/>
  <c r="AZ143" i="4"/>
  <c r="BB143" i="4" s="1"/>
  <c r="AD145" i="4"/>
  <c r="AF145" i="4"/>
  <c r="AH145" i="4" s="1"/>
  <c r="AN145" i="4"/>
  <c r="AO145" i="4" s="1"/>
  <c r="AR145" i="4"/>
  <c r="AU145" i="4" s="1"/>
  <c r="AD146" i="4"/>
  <c r="AN146" i="4"/>
  <c r="AP146" i="4" s="1"/>
  <c r="AV146" i="4"/>
  <c r="AF147" i="4"/>
  <c r="AR147" i="4"/>
  <c r="AZ149" i="4"/>
  <c r="AF150" i="4"/>
  <c r="AJ150" i="4"/>
  <c r="AN150" i="4"/>
  <c r="AQ150" i="4" s="1"/>
  <c r="AF151" i="4"/>
  <c r="AH151" i="4" s="1"/>
  <c r="AR151" i="4"/>
  <c r="AT151" i="4" s="1"/>
  <c r="AD158" i="4" a="1"/>
  <c r="AF158" i="4" a="1"/>
  <c r="AF175" i="4" s="1"/>
  <c r="AJ158" i="4" a="1"/>
  <c r="AJ166" i="4" s="1"/>
  <c r="AN158" i="4" a="1"/>
  <c r="AN159" i="4" s="1"/>
  <c r="AR158" i="4" a="1"/>
  <c r="AR181" i="4" s="1"/>
  <c r="AT181" i="4" s="1"/>
  <c r="AV158" i="4" a="1"/>
  <c r="AV171" i="4" s="1"/>
  <c r="AZ158" i="4" a="1"/>
  <c r="AZ170" i="4" s="1"/>
  <c r="AZ166" i="4"/>
  <c r="AN169" i="4"/>
  <c r="AF171" i="4"/>
  <c r="AZ178" i="4"/>
  <c r="AD188" i="4" a="1"/>
  <c r="AD209" i="4" s="1"/>
  <c r="AF188" i="4" a="1"/>
  <c r="AJ188" i="4"/>
  <c r="AK188" i="4" s="1"/>
  <c r="AJ188" i="4" a="1"/>
  <c r="AJ189" i="4" s="1"/>
  <c r="AN188" i="4" a="1"/>
  <c r="AN189" i="4" s="1"/>
  <c r="AR188" i="4" a="1"/>
  <c r="AR203" i="4" s="1"/>
  <c r="AV188" i="4" a="1"/>
  <c r="AV190" i="4" s="1"/>
  <c r="AZ188" i="4" a="1"/>
  <c r="AZ196" i="4" s="1"/>
  <c r="AR189" i="4"/>
  <c r="AT189" i="4" s="1"/>
  <c r="AV189" i="4"/>
  <c r="AW189" i="4" s="1"/>
  <c r="AJ190" i="4"/>
  <c r="AL190" i="4" s="1"/>
  <c r="AZ190" i="4"/>
  <c r="BC190" i="4" s="1"/>
  <c r="AJ191" i="4"/>
  <c r="AR192" i="4"/>
  <c r="AU192" i="4" s="1"/>
  <c r="AJ193" i="4"/>
  <c r="AR193" i="4"/>
  <c r="AT193" i="4" s="1"/>
  <c r="AU193" i="4"/>
  <c r="AJ194" i="4"/>
  <c r="AL194" i="4" s="1"/>
  <c r="AK194" i="4"/>
  <c r="AV194" i="4"/>
  <c r="AJ195" i="4"/>
  <c r="AK195" i="4" s="1"/>
  <c r="AR195" i="4"/>
  <c r="AN196" i="4"/>
  <c r="AV196" i="4"/>
  <c r="AJ197" i="4"/>
  <c r="AJ198" i="4"/>
  <c r="AR198" i="4"/>
  <c r="AT198" i="4" s="1"/>
  <c r="AS198" i="4"/>
  <c r="AV198" i="4"/>
  <c r="AJ199" i="4"/>
  <c r="AL199" i="4" s="1"/>
  <c r="AR199" i="4"/>
  <c r="AV199" i="4"/>
  <c r="AY199" i="4" s="1"/>
  <c r="AJ200" i="4"/>
  <c r="AL200" i="4" s="1"/>
  <c r="AN200" i="4"/>
  <c r="AJ201" i="4"/>
  <c r="AR201" i="4"/>
  <c r="AT201" i="4" s="1"/>
  <c r="AU201" i="4"/>
  <c r="AV201" i="4"/>
  <c r="AJ202" i="4"/>
  <c r="AM202" i="4" s="1"/>
  <c r="AJ203" i="4"/>
  <c r="AM203" i="4" s="1"/>
  <c r="AV203" i="4"/>
  <c r="AJ204" i="4"/>
  <c r="AL204" i="4" s="1"/>
  <c r="AR204" i="4"/>
  <c r="AT204" i="4" s="1"/>
  <c r="AV204" i="4"/>
  <c r="AY204" i="4" s="1"/>
  <c r="AJ205" i="4"/>
  <c r="AM205" i="4" s="1"/>
  <c r="AR205" i="4"/>
  <c r="AT205" i="4" s="1"/>
  <c r="AU205" i="4"/>
  <c r="AJ206" i="4"/>
  <c r="AR206" i="4"/>
  <c r="AS206" i="4" s="1"/>
  <c r="AJ207" i="4"/>
  <c r="AN207" i="4"/>
  <c r="AR207" i="4"/>
  <c r="AT207" i="4" s="1"/>
  <c r="AV207" i="4"/>
  <c r="AY207" i="4" s="1"/>
  <c r="AJ208" i="4"/>
  <c r="AL208" i="4" s="1"/>
  <c r="AN208" i="4"/>
  <c r="AR208" i="4"/>
  <c r="AT208" i="4"/>
  <c r="AZ208" i="4"/>
  <c r="BC208" i="4" s="1"/>
  <c r="BB208" i="4"/>
  <c r="AJ209" i="4"/>
  <c r="AN209" i="4"/>
  <c r="AP209" i="4" s="1"/>
  <c r="AR209" i="4"/>
  <c r="AT209" i="4" s="1"/>
  <c r="AS209" i="4"/>
  <c r="AZ209" i="4"/>
  <c r="BB209" i="4" s="1"/>
  <c r="AJ210" i="4"/>
  <c r="AM210" i="4" s="1"/>
  <c r="AN210" i="4"/>
  <c r="AP210" i="4" s="1"/>
  <c r="AR210" i="4"/>
  <c r="AS210" i="4" s="1"/>
  <c r="AV210" i="4"/>
  <c r="AW210" i="4" s="1"/>
  <c r="AZ210" i="4"/>
  <c r="BB210" i="4" s="1"/>
  <c r="AJ211" i="4"/>
  <c r="AM211" i="4" s="1"/>
  <c r="AN211" i="4"/>
  <c r="AP211" i="4" s="1"/>
  <c r="AR211" i="4"/>
  <c r="AT211" i="4" s="1"/>
  <c r="AV211" i="4"/>
  <c r="AD218" i="4" a="1"/>
  <c r="AD218" i="4" s="1"/>
  <c r="AF218" i="4" a="1"/>
  <c r="AF221" i="4" s="1"/>
  <c r="AJ218" i="4" a="1"/>
  <c r="AJ220" i="4" s="1"/>
  <c r="AN218" i="4" a="1"/>
  <c r="AN219" i="4" s="1"/>
  <c r="AR218" i="4" a="1"/>
  <c r="AV218" i="4" a="1"/>
  <c r="AV219" i="4" s="1"/>
  <c r="AY219" i="4" s="1"/>
  <c r="AZ218" i="4" a="1"/>
  <c r="AD220" i="4"/>
  <c r="AD222" i="4"/>
  <c r="AD224" i="4"/>
  <c r="AN225" i="4"/>
  <c r="AP225" i="4" s="1"/>
  <c r="AD226" i="4"/>
  <c r="AJ226" i="4"/>
  <c r="AL226" i="4" s="1"/>
  <c r="AF227" i="4"/>
  <c r="AI227" i="4" s="1"/>
  <c r="AD229" i="4"/>
  <c r="AD230" i="4"/>
  <c r="AJ230" i="4"/>
  <c r="AM230" i="4" s="1"/>
  <c r="AD231" i="4"/>
  <c r="AF231" i="4"/>
  <c r="AI231" i="4" s="1"/>
  <c r="AD233" i="4"/>
  <c r="AN233" i="4"/>
  <c r="AP233" i="4" s="1"/>
  <c r="AD234" i="4"/>
  <c r="AD236" i="4"/>
  <c r="AD237" i="4"/>
  <c r="AN237" i="4"/>
  <c r="AP237" i="4" s="1"/>
  <c r="AJ238" i="4"/>
  <c r="AM238" i="4" s="1"/>
  <c r="AF239" i="4"/>
  <c r="AH239" i="4" s="1"/>
  <c r="AD240" i="4"/>
  <c r="AD241" i="4"/>
  <c r="AD248" i="4" a="1"/>
  <c r="AD261" i="4" s="1"/>
  <c r="AF248" i="4" a="1"/>
  <c r="AF249" i="4" s="1"/>
  <c r="AG249" i="4" s="1"/>
  <c r="AJ248" i="4" a="1"/>
  <c r="AN248" i="4" a="1"/>
  <c r="AN249" i="4" s="1"/>
  <c r="AR248" i="4" a="1"/>
  <c r="AV248" i="4" a="1"/>
  <c r="AV266" i="4" s="1"/>
  <c r="AY266" i="4" s="1"/>
  <c r="AZ248" i="4" a="1"/>
  <c r="AZ252" i="4" s="1"/>
  <c r="BA252" i="4" s="1"/>
  <c r="AN252" i="4"/>
  <c r="AP252" i="4" s="1"/>
  <c r="AF254" i="4"/>
  <c r="AI254" i="4" s="1"/>
  <c r="AV255" i="4"/>
  <c r="AW255" i="4" s="1"/>
  <c r="AV257" i="4"/>
  <c r="AW257" i="4" s="1"/>
  <c r="AZ257" i="4"/>
  <c r="BB257" i="4" s="1"/>
  <c r="AZ258" i="4"/>
  <c r="BA258" i="4" s="1"/>
  <c r="AF261" i="4"/>
  <c r="AH261" i="4" s="1"/>
  <c r="AN261" i="4"/>
  <c r="AP261" i="4" s="1"/>
  <c r="AJ262" i="4"/>
  <c r="AL262" i="4" s="1"/>
  <c r="AZ264" i="4"/>
  <c r="BA264" i="4" s="1"/>
  <c r="AF265" i="4"/>
  <c r="AH265" i="4" s="1"/>
  <c r="AF267" i="4"/>
  <c r="AG267" i="4" s="1"/>
  <c r="AH267" i="4"/>
  <c r="AN268" i="4"/>
  <c r="AP268" i="4" s="1"/>
  <c r="AF269" i="4"/>
  <c r="AG269" i="4" s="1"/>
  <c r="AN269" i="4"/>
  <c r="AP269" i="4" s="1"/>
  <c r="AZ269" i="4"/>
  <c r="BB269" i="4" s="1"/>
  <c r="AD270" i="4"/>
  <c r="AF270" i="4"/>
  <c r="AH270" i="4" s="1"/>
  <c r="AJ270" i="4"/>
  <c r="AF271" i="4"/>
  <c r="AD278" i="4" a="1"/>
  <c r="AD280" i="4" s="1"/>
  <c r="AF278" i="4" a="1"/>
  <c r="AF283" i="4" s="1"/>
  <c r="AH283" i="4" s="1"/>
  <c r="AJ278" i="4" a="1"/>
  <c r="AN278" i="4" a="1"/>
  <c r="AR278" i="4" a="1"/>
  <c r="AR296" i="4" s="1"/>
  <c r="AV278" i="4" a="1"/>
  <c r="AV285" i="4" s="1"/>
  <c r="AZ278" i="4" a="1"/>
  <c r="AZ279" i="4" s="1"/>
  <c r="BB279" i="4" s="1"/>
  <c r="AJ281" i="4"/>
  <c r="AZ283" i="4"/>
  <c r="BA283" i="4" s="1"/>
  <c r="AY285" i="4"/>
  <c r="AJ286" i="4"/>
  <c r="AZ286" i="4"/>
  <c r="BB286" i="4" s="1"/>
  <c r="AV294" i="4"/>
  <c r="AN295" i="4"/>
  <c r="AV298" i="4"/>
  <c r="AN299" i="4"/>
  <c r="AJ300" i="4"/>
  <c r="AZ300" i="4"/>
  <c r="BB300" i="4" s="1"/>
  <c r="AZ301" i="4"/>
  <c r="AD308" i="4" a="1"/>
  <c r="AD311" i="4" s="1"/>
  <c r="AF308" i="4" a="1"/>
  <c r="AF320" i="4" s="1"/>
  <c r="AI320" i="4" s="1"/>
  <c r="AJ308" i="4" a="1"/>
  <c r="AJ331" i="4" s="1"/>
  <c r="AM331" i="4" s="1"/>
  <c r="AN308" i="4" a="1"/>
  <c r="AN309" i="4" s="1"/>
  <c r="AP309" i="4" s="1"/>
  <c r="AN308" i="4"/>
  <c r="AQ308" i="4" s="1"/>
  <c r="AR308" i="4" a="1"/>
  <c r="AR310" i="4" s="1"/>
  <c r="AU310" i="4" s="1"/>
  <c r="AV308" i="4" a="1"/>
  <c r="AV312" i="4" s="1"/>
  <c r="AZ308" i="4" a="1"/>
  <c r="AZ323" i="4" s="1"/>
  <c r="AR309" i="4"/>
  <c r="AN310" i="4"/>
  <c r="AN311" i="4"/>
  <c r="AN313" i="4"/>
  <c r="AF314" i="4"/>
  <c r="AH314" i="4" s="1"/>
  <c r="AN314" i="4"/>
  <c r="AP314" i="4" s="1"/>
  <c r="AF315" i="4"/>
  <c r="AH315" i="4" s="1"/>
  <c r="AN315" i="4"/>
  <c r="AF316" i="4"/>
  <c r="AH316" i="4" s="1"/>
  <c r="AF317" i="4"/>
  <c r="AH317" i="4" s="1"/>
  <c r="AJ318" i="4"/>
  <c r="AN318" i="4"/>
  <c r="AR318" i="4"/>
  <c r="AS318" i="4" s="1"/>
  <c r="AN319" i="4"/>
  <c r="AP319" i="4" s="1"/>
  <c r="AN320" i="4"/>
  <c r="AP320" i="4" s="1"/>
  <c r="AN321" i="4"/>
  <c r="AN322" i="4"/>
  <c r="AQ322" i="4" s="1"/>
  <c r="AR322" i="4"/>
  <c r="AN323" i="4"/>
  <c r="AP323" i="4" s="1"/>
  <c r="AF324" i="4"/>
  <c r="AI324" i="4" s="1"/>
  <c r="AN324" i="4"/>
  <c r="AO324" i="4" s="1"/>
  <c r="AF325" i="4"/>
  <c r="AH325" i="4" s="1"/>
  <c r="AR325" i="4"/>
  <c r="AT325" i="4" s="1"/>
  <c r="AN326" i="4"/>
  <c r="AP326" i="4" s="1"/>
  <c r="AN327" i="4"/>
  <c r="AO327" i="4" s="1"/>
  <c r="AN328" i="4"/>
  <c r="AO328" i="4" s="1"/>
  <c r="AR328" i="4"/>
  <c r="AS328" i="4" s="1"/>
  <c r="AJ330" i="4"/>
  <c r="AM330" i="4" s="1"/>
  <c r="AD338" i="4" a="1"/>
  <c r="AF338" i="4" a="1"/>
  <c r="AJ338" i="4" a="1"/>
  <c r="AJ353" i="4" s="1"/>
  <c r="AN338" i="4" a="1"/>
  <c r="AR338" i="4" a="1"/>
  <c r="AR342" i="4" s="1"/>
  <c r="AU342" i="4" s="1"/>
  <c r="AV338" i="4" a="1"/>
  <c r="AV353" i="4" s="1"/>
  <c r="AZ338" i="4" a="1"/>
  <c r="AZ338" i="4" s="1"/>
  <c r="BC338" i="4" s="1"/>
  <c r="AZ340" i="4"/>
  <c r="AZ341" i="4"/>
  <c r="BA341" i="4" s="1"/>
  <c r="AD342" i="4"/>
  <c r="AJ342" i="4"/>
  <c r="AK342" i="4" s="1"/>
  <c r="AZ342" i="4"/>
  <c r="BB342" i="4" s="1"/>
  <c r="AJ343" i="4"/>
  <c r="AK343" i="4" s="1"/>
  <c r="AD344" i="4"/>
  <c r="AD347" i="4"/>
  <c r="AF348" i="4"/>
  <c r="AH348" i="4" s="1"/>
  <c r="AV348" i="4"/>
  <c r="AY348" i="4" s="1"/>
  <c r="AD349" i="4"/>
  <c r="AZ349" i="4"/>
  <c r="BB349" i="4" s="1"/>
  <c r="AR350" i="4"/>
  <c r="AU350" i="4" s="1"/>
  <c r="AV350" i="4"/>
  <c r="AY350" i="4" s="1"/>
  <c r="AV352" i="4"/>
  <c r="AX352" i="4" s="1"/>
  <c r="AD353" i="4"/>
  <c r="AZ353" i="4"/>
  <c r="BA353" i="4" s="1"/>
  <c r="BB353" i="4"/>
  <c r="AZ354" i="4"/>
  <c r="BA354" i="4" s="1"/>
  <c r="AD355" i="4"/>
  <c r="AZ355" i="4"/>
  <c r="AR356" i="4"/>
  <c r="AS356" i="4" s="1"/>
  <c r="AZ356" i="4"/>
  <c r="BB356" i="4" s="1"/>
  <c r="BC356" i="4"/>
  <c r="AD357" i="4"/>
  <c r="AV357" i="4"/>
  <c r="AW357" i="4" s="1"/>
  <c r="AV358" i="4"/>
  <c r="AZ358" i="4"/>
  <c r="BB358" i="4" s="1"/>
  <c r="AZ359" i="4"/>
  <c r="BB359" i="4" s="1"/>
  <c r="BA359" i="4"/>
  <c r="AR360" i="4"/>
  <c r="AS360" i="4" s="1"/>
  <c r="AZ360" i="4"/>
  <c r="AD361" i="4"/>
  <c r="AD368" i="4" a="1"/>
  <c r="AD372" i="4" s="1"/>
  <c r="AF368" i="4" a="1"/>
  <c r="AF372" i="4" s="1"/>
  <c r="AJ368" i="4" a="1"/>
  <c r="AJ373" i="4" s="1"/>
  <c r="AK373" i="4" s="1"/>
  <c r="AN368" i="4"/>
  <c r="AP368" i="4" s="1"/>
  <c r="AN368" i="4" a="1"/>
  <c r="AN369" i="4" s="1"/>
  <c r="AQ369" i="4" s="1"/>
  <c r="AR368" i="4" a="1"/>
  <c r="AR368" i="4" s="1"/>
  <c r="AV368" i="4" a="1"/>
  <c r="AV372" i="4" s="1"/>
  <c r="AZ368" i="4" a="1"/>
  <c r="AZ371" i="4" s="1"/>
  <c r="AF371" i="4"/>
  <c r="AH371" i="4" s="1"/>
  <c r="AJ372" i="4"/>
  <c r="AZ372" i="4"/>
  <c r="BA372" i="4" s="1"/>
  <c r="AZ373" i="4"/>
  <c r="BA373" i="4" s="1"/>
  <c r="AF374" i="4"/>
  <c r="AH374" i="4" s="1"/>
  <c r="AR374" i="4"/>
  <c r="AS374" i="4" s="1"/>
  <c r="AF376" i="4"/>
  <c r="AH376" i="4" s="1"/>
  <c r="AN377" i="4"/>
  <c r="AQ377" i="4" s="1"/>
  <c r="AV377" i="4"/>
  <c r="AW377" i="4" s="1"/>
  <c r="AZ377" i="4"/>
  <c r="BA377" i="4" s="1"/>
  <c r="AZ378" i="4"/>
  <c r="BB378" i="4" s="1"/>
  <c r="AN380" i="4"/>
  <c r="AP380" i="4" s="1"/>
  <c r="AZ381" i="4"/>
  <c r="BB381" i="4" s="1"/>
  <c r="AD382" i="4"/>
  <c r="AJ382" i="4"/>
  <c r="AM382" i="4" s="1"/>
  <c r="AV382" i="4"/>
  <c r="AW382" i="4" s="1"/>
  <c r="AZ382" i="4"/>
  <c r="BC382" i="4" s="1"/>
  <c r="AF383" i="4"/>
  <c r="AI383" i="4" s="1"/>
  <c r="AZ384" i="4"/>
  <c r="BB384" i="4" s="1"/>
  <c r="AN385" i="4"/>
  <c r="AP385" i="4" s="1"/>
  <c r="AZ385" i="4"/>
  <c r="BA385" i="4" s="1"/>
  <c r="AN386" i="4"/>
  <c r="AP386" i="4" s="1"/>
  <c r="AR386" i="4"/>
  <c r="AT386" i="4" s="1"/>
  <c r="AZ386" i="4"/>
  <c r="BC386" i="4" s="1"/>
  <c r="AZ388" i="4"/>
  <c r="BC388" i="4" s="1"/>
  <c r="AJ389" i="4"/>
  <c r="AL389" i="4" s="1"/>
  <c r="AN389" i="4"/>
  <c r="AQ389" i="4" s="1"/>
  <c r="AZ389" i="4"/>
  <c r="BA389" i="4" s="1"/>
  <c r="AZ390" i="4"/>
  <c r="BB390" i="4" s="1"/>
  <c r="AD398" i="4" a="1"/>
  <c r="AD398" i="4" s="1"/>
  <c r="AF398" i="4" a="1"/>
  <c r="AF398" i="4" s="1"/>
  <c r="AJ398" i="4"/>
  <c r="AJ398" i="4" a="1"/>
  <c r="AJ400" i="4" s="1"/>
  <c r="AK400" i="4" s="1"/>
  <c r="AN398" i="4" a="1"/>
  <c r="AR398" i="4" a="1"/>
  <c r="AR401" i="4" s="1"/>
  <c r="AV398" i="4" a="1"/>
  <c r="AZ398" i="4" a="1"/>
  <c r="AZ410" i="4" s="1"/>
  <c r="AF399" i="4"/>
  <c r="AH399" i="4" s="1"/>
  <c r="AJ399" i="4"/>
  <c r="AL399" i="4" s="1"/>
  <c r="AK399" i="4"/>
  <c r="AF400" i="4"/>
  <c r="AF401" i="4"/>
  <c r="AG401" i="4" s="1"/>
  <c r="AF402" i="4"/>
  <c r="AH402" i="4" s="1"/>
  <c r="AJ402" i="4"/>
  <c r="AL402" i="4" s="1"/>
  <c r="AF403" i="4"/>
  <c r="AH403" i="4" s="1"/>
  <c r="AG403" i="4"/>
  <c r="AF404" i="4"/>
  <c r="AF405" i="4"/>
  <c r="AH405" i="4" s="1"/>
  <c r="AV405" i="4"/>
  <c r="AW405" i="4" s="1"/>
  <c r="AZ405" i="4"/>
  <c r="BC405" i="4" s="1"/>
  <c r="AF406" i="4"/>
  <c r="AI406" i="4" s="1"/>
  <c r="AJ407" i="4"/>
  <c r="AJ409" i="4"/>
  <c r="AL409" i="4" s="1"/>
  <c r="AF410" i="4"/>
  <c r="AI410" i="4" s="1"/>
  <c r="AF411" i="4"/>
  <c r="AI411" i="4" s="1"/>
  <c r="AF412" i="4"/>
  <c r="AJ413" i="4"/>
  <c r="AM413" i="4" s="1"/>
  <c r="AF414" i="4"/>
  <c r="AI414" i="4" s="1"/>
  <c r="AJ414" i="4"/>
  <c r="AF415" i="4"/>
  <c r="AI415" i="4" s="1"/>
  <c r="AJ415" i="4"/>
  <c r="AF416" i="4"/>
  <c r="AH416" i="4" s="1"/>
  <c r="AJ416" i="4"/>
  <c r="AL416" i="4" s="1"/>
  <c r="AF417" i="4"/>
  <c r="AG417" i="4" s="1"/>
  <c r="AJ417" i="4"/>
  <c r="AM417" i="4" s="1"/>
  <c r="AF418" i="4"/>
  <c r="AH418" i="4" s="1"/>
  <c r="AJ418" i="4"/>
  <c r="AM418" i="4" s="1"/>
  <c r="AF419" i="4"/>
  <c r="AJ420" i="4"/>
  <c r="AL420" i="4" s="1"/>
  <c r="AD421" i="4"/>
  <c r="AF421" i="4"/>
  <c r="AG421" i="4" s="1"/>
  <c r="AJ421" i="4"/>
  <c r="AM421" i="4" s="1"/>
  <c r="AD428" i="4" a="1"/>
  <c r="AD432" i="4" s="1"/>
  <c r="AF428" i="4" a="1"/>
  <c r="AF433" i="4" s="1"/>
  <c r="AH433" i="4" s="1"/>
  <c r="AF431" i="4"/>
  <c r="AJ428" i="4" a="1"/>
  <c r="AJ432" i="4" s="1"/>
  <c r="AL432" i="4" s="1"/>
  <c r="AN428" i="4" a="1"/>
  <c r="AN435" i="4" s="1"/>
  <c r="AP435" i="4" s="1"/>
  <c r="AR428" i="4" a="1"/>
  <c r="AR434" i="4" s="1"/>
  <c r="AT434" i="4" s="1"/>
  <c r="AV428" i="4" a="1"/>
  <c r="AV441" i="4" s="1"/>
  <c r="AY441" i="4" s="1"/>
  <c r="AZ428" i="4" a="1"/>
  <c r="AF429" i="4"/>
  <c r="AH429" i="4"/>
  <c r="AF437" i="4"/>
  <c r="AI437" i="4" s="1"/>
  <c r="AR438" i="4"/>
  <c r="AT438" i="4" s="1"/>
  <c r="AN439" i="4"/>
  <c r="AQ439" i="4" s="1"/>
  <c r="AF441" i="4"/>
  <c r="AI441" i="4" s="1"/>
  <c r="AN443" i="4"/>
  <c r="AP443" i="4" s="1"/>
  <c r="AF445" i="4"/>
  <c r="AI445" i="4"/>
  <c r="AD458" i="4" a="1"/>
  <c r="AD460" i="4" s="1"/>
  <c r="AF458" i="4" a="1"/>
  <c r="AF480" i="4" s="1"/>
  <c r="AH480" i="4" s="1"/>
  <c r="AJ458" i="4" a="1"/>
  <c r="AN458" i="4" a="1"/>
  <c r="AR458" i="4" a="1"/>
  <c r="AR477" i="4" s="1"/>
  <c r="AT477" i="4" s="1"/>
  <c r="AV458" i="4" a="1"/>
  <c r="AZ458" i="4" a="1"/>
  <c r="AJ466" i="4"/>
  <c r="AK466" i="4" s="1"/>
  <c r="AD467" i="4"/>
  <c r="AD470" i="4"/>
  <c r="AD471" i="4"/>
  <c r="AD476" i="4"/>
  <c r="AF476" i="4"/>
  <c r="AH476" i="4" s="1"/>
  <c r="AN477" i="4"/>
  <c r="AO477" i="4" s="1"/>
  <c r="AD478" i="4"/>
  <c r="AJ478" i="4"/>
  <c r="AL478" i="4" s="1"/>
  <c r="AD488" i="4" a="1"/>
  <c r="AD494" i="4" s="1"/>
  <c r="AF488" i="4" a="1"/>
  <c r="AF491" i="4" s="1"/>
  <c r="AJ488" i="4" a="1"/>
  <c r="AJ502" i="4" s="1"/>
  <c r="AN488" i="4" a="1"/>
  <c r="AN492" i="4" s="1"/>
  <c r="AO492" i="4" s="1"/>
  <c r="AR488" i="4" a="1"/>
  <c r="AV488" i="4" a="1"/>
  <c r="AV491" i="4" s="1"/>
  <c r="AZ488" i="4" a="1"/>
  <c r="AF489" i="4"/>
  <c r="AJ495" i="4"/>
  <c r="AV495" i="4"/>
  <c r="AF496" i="4"/>
  <c r="AH496" i="4" s="1"/>
  <c r="AF499" i="4"/>
  <c r="AJ500" i="4"/>
  <c r="AF501" i="4"/>
  <c r="AJ501" i="4"/>
  <c r="AL501" i="4" s="1"/>
  <c r="AF504" i="4"/>
  <c r="AI504" i="4" s="1"/>
  <c r="AJ505" i="4"/>
  <c r="AL505" i="4" s="1"/>
  <c r="AV505" i="4"/>
  <c r="AY505" i="4" s="1"/>
  <c r="AX505" i="4"/>
  <c r="AD506" i="4"/>
  <c r="AF508" i="4"/>
  <c r="AG508" i="4" s="1"/>
  <c r="AJ509" i="4"/>
  <c r="AL509" i="4" s="1"/>
  <c r="AD510" i="4"/>
  <c r="AF510" i="4"/>
  <c r="AG510" i="4" s="1"/>
  <c r="AN510" i="4"/>
  <c r="AD518" i="4" a="1"/>
  <c r="AD541" i="4" s="1"/>
  <c r="AF518" i="4" a="1"/>
  <c r="AF521" i="4" s="1"/>
  <c r="AJ518" i="4" a="1"/>
  <c r="AJ521" i="4" s="1"/>
  <c r="AL521" i="4" s="1"/>
  <c r="AJ518" i="4"/>
  <c r="AK518" i="4" s="1"/>
  <c r="AN518" i="4" a="1"/>
  <c r="AR518" i="4" a="1"/>
  <c r="AR519" i="4" s="1"/>
  <c r="AU519" i="4" s="1"/>
  <c r="AV518" i="4" a="1"/>
  <c r="AZ518" i="4" a="1"/>
  <c r="AF525" i="4"/>
  <c r="AV525" i="4"/>
  <c r="AW525" i="4" s="1"/>
  <c r="AJ526" i="4"/>
  <c r="AL526" i="4" s="1"/>
  <c r="AD529" i="4"/>
  <c r="AJ529" i="4"/>
  <c r="AL529" i="4" s="1"/>
  <c r="AJ530" i="4"/>
  <c r="AJ531" i="4"/>
  <c r="AL531" i="4" s="1"/>
  <c r="AM531" i="4"/>
  <c r="AJ535" i="4"/>
  <c r="AJ538" i="4"/>
  <c r="AM538" i="4" s="1"/>
  <c r="AJ539" i="4"/>
  <c r="AM539" i="4" s="1"/>
  <c r="AL539" i="4"/>
  <c r="AD540" i="4"/>
  <c r="AF540" i="4"/>
  <c r="AH540" i="4" s="1"/>
  <c r="AG540" i="4"/>
  <c r="AJ540" i="4"/>
  <c r="AD548" i="4" a="1"/>
  <c r="AD549" i="4" s="1"/>
  <c r="AF548" i="4" a="1"/>
  <c r="AF549" i="4" s="1"/>
  <c r="AH549" i="4" s="1"/>
  <c r="AJ548" i="4" a="1"/>
  <c r="AJ556" i="4" s="1"/>
  <c r="AL556" i="4" s="1"/>
  <c r="AN548" i="4" a="1"/>
  <c r="AN560" i="4" s="1"/>
  <c r="AR548" i="4" a="1"/>
  <c r="AV548" i="4" a="1"/>
  <c r="AZ548" i="4" a="1"/>
  <c r="AZ559" i="4" s="1"/>
  <c r="AZ551" i="4"/>
  <c r="BA551" i="4" s="1"/>
  <c r="AN552" i="4"/>
  <c r="AO552" i="4" s="1"/>
  <c r="AZ552" i="4"/>
  <c r="AD553" i="4"/>
  <c r="AD556" i="4"/>
  <c r="AF557" i="4"/>
  <c r="AH557" i="4" s="1"/>
  <c r="AZ557" i="4"/>
  <c r="BA557" i="4"/>
  <c r="AF558" i="4"/>
  <c r="AH558" i="4" s="1"/>
  <c r="AF559" i="4"/>
  <c r="AI559" i="4" s="1"/>
  <c r="AH559" i="4"/>
  <c r="AZ560" i="4"/>
  <c r="BB560" i="4" s="1"/>
  <c r="AF562" i="4"/>
  <c r="AH562" i="4" s="1"/>
  <c r="AZ562" i="4"/>
  <c r="BB562" i="4" s="1"/>
  <c r="AF563" i="4"/>
  <c r="AD564" i="4"/>
  <c r="AF564" i="4"/>
  <c r="AF565" i="4"/>
  <c r="AH565" i="4" s="1"/>
  <c r="AZ565" i="4"/>
  <c r="BA565" i="4"/>
  <c r="AF566" i="4"/>
  <c r="AG566" i="4" s="1"/>
  <c r="AN566" i="4"/>
  <c r="AR566" i="4"/>
  <c r="AS566" i="4" s="1"/>
  <c r="AZ566" i="4"/>
  <c r="AF568" i="4"/>
  <c r="AD569" i="4"/>
  <c r="AF569" i="4"/>
  <c r="AG569" i="4" s="1"/>
  <c r="AN569" i="4"/>
  <c r="AZ569" i="4"/>
  <c r="BA569" i="4" s="1"/>
  <c r="AF571" i="4"/>
  <c r="AD578" i="4" a="1"/>
  <c r="AD579" i="4" s="1"/>
  <c r="AF578" i="4" a="1"/>
  <c r="AJ578" i="4" a="1"/>
  <c r="AN578" i="4"/>
  <c r="AN578" i="4" a="1"/>
  <c r="AN581" i="4" s="1"/>
  <c r="AP581" i="4" s="1"/>
  <c r="AR578" i="4" a="1"/>
  <c r="AR579" i="4" s="1"/>
  <c r="AV578" i="4" a="1"/>
  <c r="AV578" i="4" s="1"/>
  <c r="AX578" i="4" s="1"/>
  <c r="AZ578" i="4" a="1"/>
  <c r="AZ581" i="4" s="1"/>
  <c r="AN579" i="4"/>
  <c r="AP579" i="4" s="1"/>
  <c r="AV579" i="4"/>
  <c r="AW579" i="4" s="1"/>
  <c r="AD580" i="4"/>
  <c r="AN580" i="4"/>
  <c r="AQ580" i="4" s="1"/>
  <c r="AV580" i="4"/>
  <c r="AW580" i="4" s="1"/>
  <c r="AZ580" i="4"/>
  <c r="BB580" i="4" s="1"/>
  <c r="AR581" i="4"/>
  <c r="AT581" i="4" s="1"/>
  <c r="AZ582" i="4"/>
  <c r="AN583" i="4"/>
  <c r="AO583" i="4" s="1"/>
  <c r="AR583" i="4"/>
  <c r="AV583" i="4"/>
  <c r="AD584" i="4"/>
  <c r="AJ584" i="4"/>
  <c r="AK584" i="4" s="1"/>
  <c r="AV584" i="4"/>
  <c r="AX584" i="4" s="1"/>
  <c r="AN585" i="4"/>
  <c r="AO585" i="4" s="1"/>
  <c r="AV585" i="4"/>
  <c r="AW585" i="4" s="1"/>
  <c r="AR586" i="4"/>
  <c r="AS586" i="4" s="1"/>
  <c r="AV586" i="4"/>
  <c r="AN587" i="4"/>
  <c r="AP587" i="4" s="1"/>
  <c r="AV587" i="4"/>
  <c r="AD588" i="4"/>
  <c r="AN588" i="4"/>
  <c r="AV588" i="4"/>
  <c r="AW588" i="4" s="1"/>
  <c r="AZ588" i="4"/>
  <c r="BA588" i="4" s="1"/>
  <c r="AN590" i="4"/>
  <c r="AP590" i="4" s="1"/>
  <c r="AV590" i="4"/>
  <c r="AZ590" i="4"/>
  <c r="BC590" i="4" s="1"/>
  <c r="AN591" i="4"/>
  <c r="AP591" i="4" s="1"/>
  <c r="AV591" i="4"/>
  <c r="AZ591" i="4"/>
  <c r="BB591" i="4" s="1"/>
  <c r="AD592" i="4"/>
  <c r="AR592" i="4"/>
  <c r="AV592" i="4"/>
  <c r="AW592" i="4" s="1"/>
  <c r="AN594" i="4"/>
  <c r="AO594" i="4" s="1"/>
  <c r="AR594" i="4"/>
  <c r="AT594" i="4" s="1"/>
  <c r="AV594" i="4"/>
  <c r="AW594" i="4" s="1"/>
  <c r="AZ594" i="4"/>
  <c r="AD595" i="4"/>
  <c r="AJ595" i="4"/>
  <c r="AL595" i="4" s="1"/>
  <c r="AN595" i="4"/>
  <c r="AO595" i="4" s="1"/>
  <c r="AV595" i="4"/>
  <c r="AD596" i="4"/>
  <c r="AV596" i="4"/>
  <c r="AX596" i="4" s="1"/>
  <c r="AZ596" i="4"/>
  <c r="BB596" i="4" s="1"/>
  <c r="AN597" i="4"/>
  <c r="AP597" i="4" s="1"/>
  <c r="AV597" i="4"/>
  <c r="AW597" i="4" s="1"/>
  <c r="AN598" i="4"/>
  <c r="AO598" i="4"/>
  <c r="AR598" i="4"/>
  <c r="AS598" i="4" s="1"/>
  <c r="AV598" i="4"/>
  <c r="AX598" i="4" s="1"/>
  <c r="AD599" i="4"/>
  <c r="AN599" i="4"/>
  <c r="AP599" i="4"/>
  <c r="AR599" i="4"/>
  <c r="AV599" i="4"/>
  <c r="AZ599" i="4"/>
  <c r="BA599" i="4" s="1"/>
  <c r="AR600" i="4"/>
  <c r="AV600" i="4"/>
  <c r="AW600" i="4" s="1"/>
  <c r="AN601" i="4"/>
  <c r="AP601" i="4" s="1"/>
  <c r="AQ601" i="4"/>
  <c r="AV601" i="4"/>
  <c r="AX601" i="4"/>
  <c r="AZ601" i="4"/>
  <c r="AD608" i="4" a="1"/>
  <c r="AF608" i="4" a="1"/>
  <c r="AF610" i="4" s="1"/>
  <c r="AF608" i="4"/>
  <c r="AJ608" i="4" a="1"/>
  <c r="AN608" i="4" a="1"/>
  <c r="AN613" i="4" s="1"/>
  <c r="AO613" i="4" s="1"/>
  <c r="AR608" i="4" a="1"/>
  <c r="AV608" i="4" a="1"/>
  <c r="AV608" i="4"/>
  <c r="AZ608" i="4" a="1"/>
  <c r="AZ611" i="4" s="1"/>
  <c r="BA611" i="4" s="1"/>
  <c r="AF609" i="4"/>
  <c r="AN609" i="4"/>
  <c r="AP609" i="4" s="1"/>
  <c r="AR609" i="4"/>
  <c r="AT609" i="4" s="1"/>
  <c r="AV609" i="4"/>
  <c r="AW609" i="4" s="1"/>
  <c r="AY609" i="4"/>
  <c r="AD610" i="4"/>
  <c r="AJ610" i="4"/>
  <c r="AK610" i="4" s="1"/>
  <c r="AN610" i="4"/>
  <c r="AP610" i="4" s="1"/>
  <c r="AZ610" i="4"/>
  <c r="BB610" i="4" s="1"/>
  <c r="AJ611" i="4"/>
  <c r="AK611" i="4" s="1"/>
  <c r="AV611" i="4"/>
  <c r="AW611" i="4" s="1"/>
  <c r="AF612" i="4"/>
  <c r="AG612" i="4" s="1"/>
  <c r="AJ612" i="4"/>
  <c r="AL612" i="4" s="1"/>
  <c r="AV612" i="4"/>
  <c r="AW612" i="4" s="1"/>
  <c r="AJ613" i="4"/>
  <c r="AV613" i="4"/>
  <c r="AY613" i="4" s="1"/>
  <c r="AN614" i="4"/>
  <c r="AO614" i="4" s="1"/>
  <c r="AD615" i="4"/>
  <c r="AN615" i="4"/>
  <c r="AV615" i="4"/>
  <c r="AW615" i="4"/>
  <c r="AV616" i="4"/>
  <c r="AW616" i="4" s="1"/>
  <c r="AV617" i="4"/>
  <c r="AW617" i="4" s="1"/>
  <c r="AJ618" i="4"/>
  <c r="AK618" i="4" s="1"/>
  <c r="AN618" i="4"/>
  <c r="AP618" i="4" s="1"/>
  <c r="AZ618" i="4"/>
  <c r="BA618" i="4" s="1"/>
  <c r="AJ619" i="4"/>
  <c r="AK619" i="4" s="1"/>
  <c r="AN619" i="4"/>
  <c r="AV619" i="4"/>
  <c r="AX619" i="4" s="1"/>
  <c r="AF620" i="4"/>
  <c r="AH620" i="4" s="1"/>
  <c r="AN620" i="4"/>
  <c r="AQ620" i="4" s="1"/>
  <c r="AV620" i="4"/>
  <c r="AX620" i="4" s="1"/>
  <c r="AJ621" i="4"/>
  <c r="AV621" i="4"/>
  <c r="AY621" i="4" s="1"/>
  <c r="AW621" i="4"/>
  <c r="AF622" i="4"/>
  <c r="AI622" i="4" s="1"/>
  <c r="AN622" i="4"/>
  <c r="AP622" i="4" s="1"/>
  <c r="AF623" i="4"/>
  <c r="AH623" i="4" s="1"/>
  <c r="AN623" i="4"/>
  <c r="AV623" i="4"/>
  <c r="AW623" i="4"/>
  <c r="AN624" i="4"/>
  <c r="AV624" i="4"/>
  <c r="AW624" i="4" s="1"/>
  <c r="AN625" i="4"/>
  <c r="AO625" i="4" s="1"/>
  <c r="AV625" i="4"/>
  <c r="AN626" i="4"/>
  <c r="AO626" i="4" s="1"/>
  <c r="AV626" i="4"/>
  <c r="AX626" i="4" s="1"/>
  <c r="AY626" i="4"/>
  <c r="AZ626" i="4"/>
  <c r="BB626" i="4" s="1"/>
  <c r="AF627" i="4"/>
  <c r="AG627" i="4" s="1"/>
  <c r="AN627" i="4"/>
  <c r="AP627" i="4" s="1"/>
  <c r="AO627" i="4"/>
  <c r="AV627" i="4"/>
  <c r="AW627" i="4" s="1"/>
  <c r="AJ628" i="4"/>
  <c r="AN628" i="4"/>
  <c r="AP628" i="4" s="1"/>
  <c r="AV628" i="4"/>
  <c r="AW628" i="4" s="1"/>
  <c r="AF629" i="4"/>
  <c r="AJ629" i="4"/>
  <c r="AN629" i="4"/>
  <c r="AP629" i="4" s="1"/>
  <c r="AV629" i="4"/>
  <c r="AX629" i="4" s="1"/>
  <c r="AN630" i="4"/>
  <c r="AP630" i="4" s="1"/>
  <c r="AV630" i="4"/>
  <c r="AZ630" i="4"/>
  <c r="BA630" i="4"/>
  <c r="AJ631" i="4"/>
  <c r="AL631" i="4" s="1"/>
  <c r="AN631" i="4"/>
  <c r="AV631" i="4"/>
  <c r="AX631" i="4" s="1"/>
  <c r="AD638" i="4" a="1"/>
  <c r="AD652" i="4" s="1"/>
  <c r="AF638" i="4" a="1"/>
  <c r="AF642" i="4" s="1"/>
  <c r="AJ638" i="4" a="1"/>
  <c r="AN638" i="4" a="1"/>
  <c r="AN640" i="4" s="1"/>
  <c r="AR638" i="4" a="1"/>
  <c r="AR639" i="4" s="1"/>
  <c r="AV638" i="4" a="1"/>
  <c r="AV651" i="4" s="1"/>
  <c r="AZ638" i="4" a="1"/>
  <c r="AZ641" i="4" s="1"/>
  <c r="AR640" i="4"/>
  <c r="AT640" i="4" s="1"/>
  <c r="AZ642" i="4"/>
  <c r="BA642" i="4" s="1"/>
  <c r="AR644" i="4"/>
  <c r="AS644" i="4" s="1"/>
  <c r="AZ646" i="4"/>
  <c r="BB646" i="4" s="1"/>
  <c r="AN649" i="4"/>
  <c r="AP649" i="4" s="1"/>
  <c r="AZ650" i="4"/>
  <c r="BB650" i="4" s="1"/>
  <c r="AN653" i="4"/>
  <c r="AO653" i="4" s="1"/>
  <c r="AZ654" i="4"/>
  <c r="BA654" i="4" s="1"/>
  <c r="AZ658" i="4"/>
  <c r="BB658" i="4" s="1"/>
  <c r="AN661" i="4"/>
  <c r="AP661" i="4" s="1"/>
  <c r="AD668" i="4" a="1"/>
  <c r="AF668" i="4" a="1"/>
  <c r="AF672" i="4" s="1"/>
  <c r="AJ668" i="4" a="1"/>
  <c r="AN668" i="4" a="1"/>
  <c r="AN670" i="4" s="1"/>
  <c r="AR668" i="4" a="1"/>
  <c r="AV668" i="4" a="1"/>
  <c r="AV672" i="4" s="1"/>
  <c r="AW672" i="4" s="1"/>
  <c r="AZ668" i="4" a="1"/>
  <c r="AZ671" i="4" s="1"/>
  <c r="AF669" i="4"/>
  <c r="AG669" i="4" s="1"/>
  <c r="AJ669" i="4"/>
  <c r="AK669" i="4" s="1"/>
  <c r="AV669" i="4"/>
  <c r="AW669" i="4" s="1"/>
  <c r="AF670" i="4"/>
  <c r="AG670" i="4" s="1"/>
  <c r="AV670" i="4"/>
  <c r="AW670" i="4" s="1"/>
  <c r="AN671" i="4"/>
  <c r="AO671" i="4" s="1"/>
  <c r="AY672" i="4"/>
  <c r="AZ672" i="4"/>
  <c r="BA672" i="4" s="1"/>
  <c r="AZ676" i="4"/>
  <c r="BB676" i="4" s="1"/>
  <c r="AF677" i="4"/>
  <c r="AH677" i="4" s="1"/>
  <c r="AF678" i="4"/>
  <c r="AN680" i="4"/>
  <c r="AZ680" i="4"/>
  <c r="BB680" i="4" s="1"/>
  <c r="AF681" i="4"/>
  <c r="AH681" i="4" s="1"/>
  <c r="AV681" i="4"/>
  <c r="AW681" i="4" s="1"/>
  <c r="AZ681" i="4"/>
  <c r="AF682" i="4"/>
  <c r="AN683" i="4"/>
  <c r="AO683" i="4"/>
  <c r="AV685" i="4"/>
  <c r="AX685" i="4" s="1"/>
  <c r="AF686" i="4"/>
  <c r="AV686" i="4"/>
  <c r="AF687" i="4"/>
  <c r="AG687" i="4" s="1"/>
  <c r="AZ688" i="4"/>
  <c r="BB688" i="4" s="1"/>
  <c r="AF689" i="4"/>
  <c r="AG689" i="4" s="1"/>
  <c r="AV689" i="4"/>
  <c r="AW689" i="4" s="1"/>
  <c r="AZ689" i="4"/>
  <c r="AF690" i="4"/>
  <c r="AV690" i="4"/>
  <c r="AD698" i="4" a="1"/>
  <c r="AD708" i="4" s="1"/>
  <c r="AF698" i="4" a="1"/>
  <c r="AF698" i="4" s="1"/>
  <c r="AG698" i="4" s="1"/>
  <c r="AJ698" i="4" a="1"/>
  <c r="AJ698" i="4" s="1"/>
  <c r="AN698" i="4" a="1"/>
  <c r="AN698" i="4" s="1"/>
  <c r="AR698" i="4" a="1"/>
  <c r="AV698" i="4" a="1"/>
  <c r="AV702" i="4"/>
  <c r="AZ698" i="4" a="1"/>
  <c r="AZ698" i="4" s="1"/>
  <c r="AZ701" i="4"/>
  <c r="AF699" i="4"/>
  <c r="AN699" i="4"/>
  <c r="AV699" i="4"/>
  <c r="AW699" i="4" s="1"/>
  <c r="AN700" i="4"/>
  <c r="AQ700" i="4" s="1"/>
  <c r="AF702" i="4"/>
  <c r="AH702" i="4" s="1"/>
  <c r="AJ702" i="4"/>
  <c r="AK702" i="4" s="1"/>
  <c r="AN702" i="4"/>
  <c r="AP702" i="4" s="1"/>
  <c r="AJ703" i="4"/>
  <c r="AK703" i="4" s="1"/>
  <c r="AV703" i="4"/>
  <c r="AZ703" i="4"/>
  <c r="BA703" i="4" s="1"/>
  <c r="AJ704" i="4"/>
  <c r="AN704" i="4"/>
  <c r="AO704" i="4" s="1"/>
  <c r="AV704" i="4"/>
  <c r="AX704" i="4" s="1"/>
  <c r="AJ705" i="4"/>
  <c r="AK705" i="4" s="1"/>
  <c r="AV705" i="4"/>
  <c r="AJ706" i="4"/>
  <c r="AN706" i="4"/>
  <c r="AO706" i="4" s="1"/>
  <c r="AZ706" i="4"/>
  <c r="BB706" i="4"/>
  <c r="BC706" i="4"/>
  <c r="AJ707" i="4"/>
  <c r="AK707" i="4" s="1"/>
  <c r="AV707" i="4"/>
  <c r="AX707" i="4" s="1"/>
  <c r="AF708" i="4"/>
  <c r="AH708" i="4" s="1"/>
  <c r="AJ708" i="4"/>
  <c r="AV708" i="4"/>
  <c r="AW708" i="4" s="1"/>
  <c r="AZ708" i="4"/>
  <c r="AJ709" i="4"/>
  <c r="AK709" i="4" s="1"/>
  <c r="AL709" i="4"/>
  <c r="AV709" i="4"/>
  <c r="AF710" i="4"/>
  <c r="AJ710" i="4"/>
  <c r="AL710" i="4" s="1"/>
  <c r="AV710" i="4"/>
  <c r="AX710" i="4" s="1"/>
  <c r="AF711" i="4"/>
  <c r="AJ711" i="4"/>
  <c r="AL711" i="4"/>
  <c r="AN711" i="4"/>
  <c r="AQ711" i="4" s="1"/>
  <c r="AZ711" i="4"/>
  <c r="BB711" i="4" s="1"/>
  <c r="AF712" i="4"/>
  <c r="AH712" i="4" s="1"/>
  <c r="AJ712" i="4"/>
  <c r="AR712" i="4"/>
  <c r="AU712" i="4" s="1"/>
  <c r="AZ712" i="4"/>
  <c r="BB712" i="4" s="1"/>
  <c r="AJ713" i="4"/>
  <c r="AL713" i="4" s="1"/>
  <c r="AN713" i="4"/>
  <c r="AV713" i="4"/>
  <c r="AX713" i="4" s="1"/>
  <c r="AF714" i="4"/>
  <c r="AH714" i="4" s="1"/>
  <c r="AJ714" i="4"/>
  <c r="AL714" i="4"/>
  <c r="AM714" i="4"/>
  <c r="AN714" i="4"/>
  <c r="AV714" i="4"/>
  <c r="AZ714" i="4"/>
  <c r="BB714" i="4" s="1"/>
  <c r="AJ715" i="4"/>
  <c r="AN715" i="4"/>
  <c r="AV715" i="4"/>
  <c r="AY715" i="4" s="1"/>
  <c r="AZ715" i="4"/>
  <c r="AF716" i="4"/>
  <c r="AJ716" i="4"/>
  <c r="AM716" i="4" s="1"/>
  <c r="AV716" i="4"/>
  <c r="AZ716" i="4"/>
  <c r="BC716" i="4" s="1"/>
  <c r="AJ717" i="4"/>
  <c r="AM717" i="4" s="1"/>
  <c r="AL717" i="4"/>
  <c r="AN717" i="4"/>
  <c r="AO717" i="4" s="1"/>
  <c r="AV717" i="4"/>
  <c r="AZ717" i="4"/>
  <c r="AF718" i="4"/>
  <c r="AG718" i="4" s="1"/>
  <c r="AJ718" i="4"/>
  <c r="AL718" i="4" s="1"/>
  <c r="AV718" i="4"/>
  <c r="AX718" i="4" s="1"/>
  <c r="AZ718" i="4"/>
  <c r="BB718" i="4" s="1"/>
  <c r="AJ719" i="4"/>
  <c r="AN719" i="4"/>
  <c r="AQ719" i="4" s="1"/>
  <c r="AV719" i="4"/>
  <c r="AX719" i="4" s="1"/>
  <c r="AZ719" i="4"/>
  <c r="AF720" i="4"/>
  <c r="AJ720" i="4"/>
  <c r="AN720" i="4"/>
  <c r="AP720" i="4" s="1"/>
  <c r="AV720" i="4"/>
  <c r="AZ720" i="4"/>
  <c r="AJ721" i="4"/>
  <c r="AL721" i="4" s="1"/>
  <c r="AV721" i="4"/>
  <c r="AY721" i="4" s="1"/>
  <c r="AD728" i="4" a="1"/>
  <c r="AD735" i="4" s="1"/>
  <c r="AF728" i="4" a="1"/>
  <c r="AF739" i="4" s="1"/>
  <c r="AH739" i="4" s="1"/>
  <c r="AF728" i="4"/>
  <c r="AG728" i="4" s="1"/>
  <c r="AJ728" i="4" a="1"/>
  <c r="AJ728" i="4" s="1"/>
  <c r="AK728" i="4" s="1"/>
  <c r="AN728" i="4" a="1"/>
  <c r="AR728" i="4" a="1"/>
  <c r="AR741" i="4" s="1"/>
  <c r="AV728" i="4" a="1"/>
  <c r="AV749" i="4" s="1"/>
  <c r="AW749" i="4" s="1"/>
  <c r="AZ728" i="4" a="1"/>
  <c r="AZ742" i="4" s="1"/>
  <c r="BB742" i="4" s="1"/>
  <c r="AF729" i="4"/>
  <c r="AG729" i="4" s="1"/>
  <c r="AF734" i="4"/>
  <c r="AI734" i="4" s="1"/>
  <c r="AJ734" i="4"/>
  <c r="AK734" i="4" s="1"/>
  <c r="AF735" i="4"/>
  <c r="AH735" i="4" s="1"/>
  <c r="AF736" i="4"/>
  <c r="AI736" i="4" s="1"/>
  <c r="AJ736" i="4"/>
  <c r="AL736" i="4" s="1"/>
  <c r="AF737" i="4"/>
  <c r="AI737" i="4" s="1"/>
  <c r="AF738" i="4"/>
  <c r="AJ738" i="4"/>
  <c r="AK738" i="4" s="1"/>
  <c r="AJ740" i="4"/>
  <c r="AL740" i="4" s="1"/>
  <c r="AF741" i="4"/>
  <c r="AH741" i="4" s="1"/>
  <c r="AJ741" i="4"/>
  <c r="AM741" i="4" s="1"/>
  <c r="AV741" i="4"/>
  <c r="AY741" i="4" s="1"/>
  <c r="AF742" i="4"/>
  <c r="AI742" i="4" s="1"/>
  <c r="AH742" i="4"/>
  <c r="AJ742" i="4"/>
  <c r="AF743" i="4"/>
  <c r="AI743" i="4" s="1"/>
  <c r="AJ743" i="4"/>
  <c r="AL743" i="4" s="1"/>
  <c r="AF745" i="4"/>
  <c r="AH745" i="4" s="1"/>
  <c r="AJ745" i="4"/>
  <c r="AF746" i="4"/>
  <c r="AG746" i="4" s="1"/>
  <c r="AJ746" i="4"/>
  <c r="AM746" i="4" s="1"/>
  <c r="AZ746" i="4"/>
  <c r="BB746" i="4" s="1"/>
  <c r="AF747" i="4"/>
  <c r="AH747" i="4" s="1"/>
  <c r="AJ747" i="4"/>
  <c r="AL747" i="4" s="1"/>
  <c r="AF748" i="4"/>
  <c r="AG748" i="4" s="1"/>
  <c r="AJ748" i="4"/>
  <c r="AL748" i="4" s="1"/>
  <c r="AF750" i="4"/>
  <c r="AH750" i="4" s="1"/>
  <c r="AJ750" i="4"/>
  <c r="AL750" i="4" s="1"/>
  <c r="AF751" i="4"/>
  <c r="AG751" i="4" s="1"/>
  <c r="AJ751" i="4"/>
  <c r="AL751" i="4" s="1"/>
  <c r="AZ751" i="4"/>
  <c r="BA751" i="4" s="1"/>
  <c r="AD758" i="4" a="1"/>
  <c r="AD774" i="4" s="1"/>
  <c r="AF758" i="4" a="1"/>
  <c r="AJ758" i="4" a="1"/>
  <c r="AJ761" i="4" s="1"/>
  <c r="AK761" i="4" s="1"/>
  <c r="AN758" i="4" a="1"/>
  <c r="AN777" i="4" s="1"/>
  <c r="AO777" i="4" s="1"/>
  <c r="AR758" i="4" a="1"/>
  <c r="AV758" i="4" a="1"/>
  <c r="AV759" i="4" s="1"/>
  <c r="AW759" i="4" s="1"/>
  <c r="AZ758" i="4" a="1"/>
  <c r="AZ761" i="4" s="1"/>
  <c r="AZ762" i="4"/>
  <c r="BA762" i="4" s="1"/>
  <c r="AV763" i="4"/>
  <c r="AX763" i="4" s="1"/>
  <c r="AZ766" i="4"/>
  <c r="BB766" i="4" s="1"/>
  <c r="AF767" i="4"/>
  <c r="AH767" i="4" s="1"/>
  <c r="AZ770" i="4"/>
  <c r="BB770" i="4" s="1"/>
  <c r="AD771" i="4"/>
  <c r="AV775" i="4"/>
  <c r="AX775" i="4" s="1"/>
  <c r="AV779" i="4"/>
  <c r="AW779" i="4" s="1"/>
  <c r="AD780" i="4"/>
  <c r="AD788" i="4" a="1"/>
  <c r="AF788" i="4" a="1"/>
  <c r="AJ788" i="4" a="1"/>
  <c r="AJ797" i="4" s="1"/>
  <c r="AN788" i="4" a="1"/>
  <c r="AR788" i="4" a="1"/>
  <c r="AV788" i="4" a="1"/>
  <c r="AV798" i="4" s="1"/>
  <c r="AZ788" i="4" a="1"/>
  <c r="AZ791" i="4" s="1"/>
  <c r="AF793" i="4"/>
  <c r="AG793" i="4" s="1"/>
  <c r="AJ793" i="4"/>
  <c r="AK793" i="4" s="1"/>
  <c r="AN793" i="4"/>
  <c r="AP793" i="4" s="1"/>
  <c r="AV793" i="4"/>
  <c r="AX793" i="4" s="1"/>
  <c r="AF794" i="4"/>
  <c r="AH794" i="4" s="1"/>
  <c r="AJ794" i="4"/>
  <c r="AK794" i="4" s="1"/>
  <c r="AV794" i="4"/>
  <c r="AX794" i="4" s="1"/>
  <c r="AJ795" i="4"/>
  <c r="AL795" i="4" s="1"/>
  <c r="AN797" i="4"/>
  <c r="AQ797" i="4" s="1"/>
  <c r="AV797" i="4"/>
  <c r="AW797" i="4"/>
  <c r="AF798" i="4"/>
  <c r="AH798" i="4" s="1"/>
  <c r="AR798" i="4"/>
  <c r="AS798" i="4" s="1"/>
  <c r="AF799" i="4"/>
  <c r="AI799" i="4" s="1"/>
  <c r="AJ799" i="4"/>
  <c r="AL799" i="4" s="1"/>
  <c r="AD801" i="4"/>
  <c r="AJ801" i="4"/>
  <c r="AL801" i="4" s="1"/>
  <c r="AN801" i="4"/>
  <c r="AQ801" i="4" s="1"/>
  <c r="AN802" i="4"/>
  <c r="AQ802" i="4" s="1"/>
  <c r="AF805" i="4"/>
  <c r="AH805" i="4" s="1"/>
  <c r="AN805" i="4"/>
  <c r="AO805" i="4" s="1"/>
  <c r="AV805" i="4"/>
  <c r="AX805" i="4" s="1"/>
  <c r="AZ805" i="4"/>
  <c r="BA805" i="4" s="1"/>
  <c r="AJ806" i="4"/>
  <c r="AM806" i="4" s="1"/>
  <c r="AN806" i="4"/>
  <c r="AO806" i="4" s="1"/>
  <c r="AV807" i="4"/>
  <c r="AY807" i="4" s="1"/>
  <c r="AW807" i="4"/>
  <c r="AN808" i="4"/>
  <c r="AO808" i="4" s="1"/>
  <c r="AR808" i="4"/>
  <c r="AS808" i="4" s="1"/>
  <c r="AD809" i="4"/>
  <c r="AJ809" i="4"/>
  <c r="AL809" i="4" s="1"/>
  <c r="AN809" i="4"/>
  <c r="AJ810" i="4"/>
  <c r="AN810" i="4"/>
  <c r="AQ810" i="4" s="1"/>
  <c r="AR810" i="4"/>
  <c r="AS810" i="4" s="1"/>
  <c r="AF811" i="4"/>
  <c r="AG811" i="4" s="1"/>
  <c r="AD818" i="4" a="1"/>
  <c r="AD828" i="4" s="1"/>
  <c r="AF818" i="4" a="1"/>
  <c r="AF818" i="4" s="1"/>
  <c r="AG818" i="4" s="1"/>
  <c r="AJ818" i="4" a="1"/>
  <c r="AJ824" i="4" s="1"/>
  <c r="AN818" i="4" a="1"/>
  <c r="AN830" i="4" s="1"/>
  <c r="AR818" i="4" a="1"/>
  <c r="AR819" i="4"/>
  <c r="AU819" i="4" s="1"/>
  <c r="AV818" i="4" a="1"/>
  <c r="AV841" i="4" s="1"/>
  <c r="AZ818" i="4" a="1"/>
  <c r="AZ821" i="4" s="1"/>
  <c r="AF819" i="4"/>
  <c r="AF821" i="4"/>
  <c r="AG821" i="4" s="1"/>
  <c r="AF822" i="4"/>
  <c r="AF823" i="4"/>
  <c r="AF824" i="4"/>
  <c r="AH824" i="4" s="1"/>
  <c r="AN824" i="4"/>
  <c r="AF825" i="4"/>
  <c r="AH825" i="4" s="1"/>
  <c r="AF827" i="4"/>
  <c r="AH827" i="4" s="1"/>
  <c r="AI827" i="4"/>
  <c r="AV827" i="4"/>
  <c r="AF828" i="4"/>
  <c r="AH828" i="4" s="1"/>
  <c r="AV828" i="4"/>
  <c r="AW828" i="4" s="1"/>
  <c r="AF829" i="4"/>
  <c r="AH829" i="4" s="1"/>
  <c r="AR829" i="4"/>
  <c r="AS829" i="4" s="1"/>
  <c r="AV829" i="4"/>
  <c r="AX829" i="4" s="1"/>
  <c r="AF831" i="4"/>
  <c r="AH831" i="4" s="1"/>
  <c r="AV831" i="4"/>
  <c r="AW831" i="4" s="1"/>
  <c r="AF832" i="4"/>
  <c r="AH832" i="4" s="1"/>
  <c r="AR832" i="4"/>
  <c r="AU832" i="4" s="1"/>
  <c r="AT832" i="4"/>
  <c r="AV832" i="4"/>
  <c r="AW832" i="4" s="1"/>
  <c r="AF833" i="4"/>
  <c r="AH833" i="4" s="1"/>
  <c r="AV833" i="4"/>
  <c r="AW833" i="4" s="1"/>
  <c r="AN835" i="4"/>
  <c r="AO835" i="4" s="1"/>
  <c r="AR835" i="4"/>
  <c r="AT835" i="4" s="1"/>
  <c r="AR836" i="4"/>
  <c r="AS836" i="4" s="1"/>
  <c r="AF837" i="4"/>
  <c r="AG837" i="4"/>
  <c r="AZ837" i="4"/>
  <c r="BC837" i="4" s="1"/>
  <c r="AF838" i="4"/>
  <c r="AG838" i="4" s="1"/>
  <c r="AV839" i="4"/>
  <c r="AW839" i="4" s="1"/>
  <c r="AX839" i="4"/>
  <c r="AF840" i="4"/>
  <c r="AG840" i="4" s="1"/>
  <c r="AV840" i="4"/>
  <c r="AW840" i="4" s="1"/>
  <c r="AF841" i="4"/>
  <c r="AG841" i="4" s="1"/>
  <c r="AR841" i="4"/>
  <c r="AS841" i="4" s="1"/>
  <c r="AD848" i="4" a="1"/>
  <c r="AD850" i="4" s="1"/>
  <c r="AF848" i="4" a="1"/>
  <c r="AF854" i="4" s="1"/>
  <c r="AI854" i="4" s="1"/>
  <c r="AJ848" i="4" a="1"/>
  <c r="AJ851" i="4" s="1"/>
  <c r="AN848" i="4" a="1"/>
  <c r="AN850" i="4" s="1"/>
  <c r="AR848" i="4" a="1"/>
  <c r="AR852" i="4" s="1"/>
  <c r="AV848" i="4" a="1"/>
  <c r="AV868" i="4" s="1"/>
  <c r="AZ848" i="4" a="1"/>
  <c r="AZ856" i="4" s="1"/>
  <c r="BB856" i="4" s="1"/>
  <c r="AF851" i="4"/>
  <c r="AG851" i="4" s="1"/>
  <c r="AV852" i="4"/>
  <c r="AW852" i="4" s="1"/>
  <c r="AD854" i="4"/>
  <c r="AH854" i="4"/>
  <c r="AN854" i="4"/>
  <c r="AO854" i="4" s="1"/>
  <c r="AN855" i="4"/>
  <c r="AO855" i="4" s="1"/>
  <c r="BC856" i="4"/>
  <c r="AF858" i="4"/>
  <c r="AI858" i="4" s="1"/>
  <c r="AN858" i="4"/>
  <c r="AP858" i="4" s="1"/>
  <c r="AR858" i="4"/>
  <c r="AS858" i="4" s="1"/>
  <c r="AN859" i="4"/>
  <c r="AP859" i="4" s="1"/>
  <c r="AQ859" i="4"/>
  <c r="AJ860" i="4"/>
  <c r="AL860" i="4" s="1"/>
  <c r="AM860" i="4"/>
  <c r="AR860" i="4"/>
  <c r="AT860" i="4" s="1"/>
  <c r="AV860" i="4"/>
  <c r="AX860" i="4" s="1"/>
  <c r="AF861" i="4"/>
  <c r="AI861" i="4" s="1"/>
  <c r="AD862" i="4"/>
  <c r="AN862" i="4"/>
  <c r="AP862" i="4" s="1"/>
  <c r="AF863" i="4"/>
  <c r="AH863" i="4" s="1"/>
  <c r="AN863" i="4"/>
  <c r="AP863" i="4" s="1"/>
  <c r="AO863" i="4"/>
  <c r="AV863" i="4"/>
  <c r="AW863" i="4" s="1"/>
  <c r="AZ863" i="4"/>
  <c r="BB863" i="4" s="1"/>
  <c r="BA863" i="4"/>
  <c r="AD864" i="4"/>
  <c r="AN864" i="4"/>
  <c r="AP864" i="4" s="1"/>
  <c r="AV864" i="4"/>
  <c r="AW864" i="4" s="1"/>
  <c r="AF865" i="4"/>
  <c r="AH865" i="4" s="1"/>
  <c r="AN865" i="4"/>
  <c r="AO865" i="4" s="1"/>
  <c r="AF866" i="4"/>
  <c r="AH866" i="4" s="1"/>
  <c r="AZ866" i="4"/>
  <c r="BB866" i="4" s="1"/>
  <c r="AD867" i="4"/>
  <c r="AF867" i="4"/>
  <c r="AG867" i="4" s="1"/>
  <c r="AN867" i="4"/>
  <c r="AP867" i="4" s="1"/>
  <c r="AZ867" i="4"/>
  <c r="BC867" i="4" s="1"/>
  <c r="AF868" i="4"/>
  <c r="AG868" i="4" s="1"/>
  <c r="AN868" i="4"/>
  <c r="AP868" i="4" s="1"/>
  <c r="AR868" i="4"/>
  <c r="AS868" i="4" s="1"/>
  <c r="AJ869" i="4"/>
  <c r="AL869" i="4" s="1"/>
  <c r="AN869" i="4"/>
  <c r="AP869" i="4" s="1"/>
  <c r="AV869" i="4"/>
  <c r="AX869" i="4" s="1"/>
  <c r="AD870" i="4"/>
  <c r="AN870" i="4"/>
  <c r="AP870" i="4" s="1"/>
  <c r="AZ870" i="4"/>
  <c r="BA870" i="4" s="1"/>
  <c r="AD871" i="4"/>
  <c r="AN871" i="4"/>
  <c r="AQ871" i="4" s="1"/>
  <c r="AZ871" i="4"/>
  <c r="BA871" i="4" s="1"/>
  <c r="AD6" i="3"/>
  <c r="AE6" i="3" s="1"/>
  <c r="AD7" i="3" s="1"/>
  <c r="AE7" i="3" s="1"/>
  <c r="AD8" i="3" s="1"/>
  <c r="AE8" i="3" s="1"/>
  <c r="AD9" i="3" s="1"/>
  <c r="AE9" i="3" s="1"/>
  <c r="AD10" i="3" s="1"/>
  <c r="AE10" i="3" s="1"/>
  <c r="AD11" i="3" s="1"/>
  <c r="AE11" i="3" s="1"/>
  <c r="AD12" i="3" s="1"/>
  <c r="AE12" i="3" s="1"/>
  <c r="AD13" i="3" s="1"/>
  <c r="AE13" i="3" s="1"/>
  <c r="AD14" i="3" s="1"/>
  <c r="AE14" i="3" s="1"/>
  <c r="AD15" i="3" s="1"/>
  <c r="AE15" i="3" s="1"/>
  <c r="AD16" i="3" s="1"/>
  <c r="AE16" i="3" s="1"/>
  <c r="AD17" i="3" s="1"/>
  <c r="AE17" i="3" s="1"/>
  <c r="AD18" i="3" s="1"/>
  <c r="AE18" i="3" s="1"/>
  <c r="AD19" i="3" s="1"/>
  <c r="AE19" i="3" s="1"/>
  <c r="U6" i="2"/>
  <c r="U7" i="2"/>
  <c r="V7" i="2"/>
  <c r="U8" i="2"/>
  <c r="V8" i="2"/>
  <c r="V10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R12" i="2"/>
  <c r="U12" i="2"/>
  <c r="R13" i="2"/>
  <c r="U13" i="2"/>
  <c r="R14" i="2"/>
  <c r="U14" i="2"/>
  <c r="R15" i="2"/>
  <c r="U15" i="2"/>
  <c r="R16" i="2"/>
  <c r="U16" i="2"/>
  <c r="R17" i="2"/>
  <c r="U17" i="2"/>
  <c r="R18" i="2"/>
  <c r="U18" i="2"/>
  <c r="R19" i="2"/>
  <c r="U19" i="2"/>
  <c r="R20" i="2"/>
  <c r="U20" i="2"/>
  <c r="R21" i="2"/>
  <c r="U21" i="2"/>
  <c r="R22" i="2"/>
  <c r="U22" i="2"/>
  <c r="R23" i="2"/>
  <c r="U23" i="2"/>
  <c r="R24" i="2"/>
  <c r="U24" i="2"/>
  <c r="R25" i="2"/>
  <c r="U25" i="2"/>
  <c r="R26" i="2"/>
  <c r="U26" i="2"/>
  <c r="R27" i="2"/>
  <c r="U27" i="2"/>
  <c r="R28" i="2"/>
  <c r="U28" i="2"/>
  <c r="R29" i="2"/>
  <c r="U29" i="2"/>
  <c r="R30" i="2"/>
  <c r="U30" i="2"/>
  <c r="R31" i="2"/>
  <c r="U31" i="2"/>
  <c r="R32" i="2"/>
  <c r="U32" i="2"/>
  <c r="R33" i="2"/>
  <c r="U33" i="2"/>
  <c r="R34" i="2"/>
  <c r="U34" i="2"/>
  <c r="R35" i="2"/>
  <c r="U35" i="2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G5" i="48"/>
  <c r="J8" i="48" s="1"/>
  <c r="B13" i="2"/>
  <c r="B16" i="2"/>
  <c r="B19" i="2"/>
  <c r="B23" i="2"/>
  <c r="G5" i="46"/>
  <c r="J8" i="46" s="1"/>
  <c r="D22" i="46"/>
  <c r="F8" i="46"/>
  <c r="B24" i="2"/>
  <c r="B20" i="2"/>
  <c r="BA761" i="4"/>
  <c r="BB761" i="4"/>
  <c r="AZ728" i="4"/>
  <c r="AZ729" i="4"/>
  <c r="AZ733" i="4"/>
  <c r="AZ737" i="4"/>
  <c r="AZ741" i="4"/>
  <c r="BB741" i="4" s="1"/>
  <c r="AZ745" i="4"/>
  <c r="AW705" i="4"/>
  <c r="AY705" i="4"/>
  <c r="AW690" i="4"/>
  <c r="AY690" i="4"/>
  <c r="BA689" i="4"/>
  <c r="BB689" i="4"/>
  <c r="BB681" i="4"/>
  <c r="BC681" i="4"/>
  <c r="AP640" i="4"/>
  <c r="AQ640" i="4"/>
  <c r="BB581" i="4"/>
  <c r="BA581" i="4"/>
  <c r="AT868" i="4"/>
  <c r="AX863" i="4"/>
  <c r="AD856" i="4"/>
  <c r="AD852" i="4"/>
  <c r="AT841" i="4"/>
  <c r="AD833" i="4"/>
  <c r="AX832" i="4"/>
  <c r="AI832" i="4"/>
  <c r="AZ829" i="4"/>
  <c r="AT829" i="4"/>
  <c r="AD829" i="4"/>
  <c r="AI828" i="4"/>
  <c r="AD821" i="4"/>
  <c r="AT810" i="4"/>
  <c r="AI805" i="4"/>
  <c r="AT798" i="4"/>
  <c r="AX797" i="4"/>
  <c r="AZ794" i="4"/>
  <c r="AH793" i="4"/>
  <c r="AV791" i="4"/>
  <c r="AZ790" i="4"/>
  <c r="BC790" i="4" s="1"/>
  <c r="AR781" i="4"/>
  <c r="AV780" i="4"/>
  <c r="AF780" i="4"/>
  <c r="AZ779" i="4"/>
  <c r="AN778" i="4"/>
  <c r="AR777" i="4"/>
  <c r="AV776" i="4"/>
  <c r="AF776" i="4"/>
  <c r="AZ775" i="4"/>
  <c r="AR773" i="4"/>
  <c r="AU773" i="4" s="1"/>
  <c r="AV772" i="4"/>
  <c r="AF772" i="4"/>
  <c r="AZ771" i="4"/>
  <c r="AN770" i="4"/>
  <c r="AR769" i="4"/>
  <c r="AV768" i="4"/>
  <c r="AF768" i="4"/>
  <c r="AZ767" i="4"/>
  <c r="AD767" i="4"/>
  <c r="AN766" i="4"/>
  <c r="AR765" i="4"/>
  <c r="AV764" i="4"/>
  <c r="AF764" i="4"/>
  <c r="AZ763" i="4"/>
  <c r="BB763" i="4" s="1"/>
  <c r="AD763" i="4"/>
  <c r="AN762" i="4"/>
  <c r="AR761" i="4"/>
  <c r="AV760" i="4"/>
  <c r="AF760" i="4"/>
  <c r="AZ759" i="4"/>
  <c r="AD759" i="4"/>
  <c r="AZ758" i="4"/>
  <c r="AV758" i="4"/>
  <c r="AR758" i="4"/>
  <c r="AN758" i="4"/>
  <c r="AF758" i="4"/>
  <c r="AD742" i="4"/>
  <c r="AZ739" i="4"/>
  <c r="AZ736" i="4"/>
  <c r="AZ734" i="4"/>
  <c r="AZ731" i="4"/>
  <c r="BA719" i="4"/>
  <c r="BB719" i="4"/>
  <c r="AL719" i="4"/>
  <c r="AM719" i="4"/>
  <c r="AX716" i="4"/>
  <c r="AY716" i="4"/>
  <c r="AG716" i="4"/>
  <c r="AH716" i="4"/>
  <c r="AL712" i="4"/>
  <c r="AM712" i="4"/>
  <c r="AP699" i="4"/>
  <c r="AQ699" i="4"/>
  <c r="AH678" i="4"/>
  <c r="AI678" i="4"/>
  <c r="BA671" i="4"/>
  <c r="BB671" i="4"/>
  <c r="BA641" i="4"/>
  <c r="BB641" i="4"/>
  <c r="AY608" i="4"/>
  <c r="AX608" i="4"/>
  <c r="AH608" i="4"/>
  <c r="AG608" i="4"/>
  <c r="AD869" i="4"/>
  <c r="AV866" i="4"/>
  <c r="AX866" i="4" s="1"/>
  <c r="AZ865" i="4"/>
  <c r="AD865" i="4"/>
  <c r="AY864" i="4"/>
  <c r="AV862" i="4"/>
  <c r="AW862" i="4" s="1"/>
  <c r="AQ862" i="4"/>
  <c r="AZ861" i="4"/>
  <c r="AD861" i="4"/>
  <c r="AY860" i="4"/>
  <c r="AV858" i="4"/>
  <c r="AQ858" i="4"/>
  <c r="AD857" i="4"/>
  <c r="AN856" i="4"/>
  <c r="AV854" i="4"/>
  <c r="AD853" i="4"/>
  <c r="AY852" i="4"/>
  <c r="AN852" i="4"/>
  <c r="AR851" i="4"/>
  <c r="AV850" i="4"/>
  <c r="AZ849" i="4"/>
  <c r="AJ849" i="4"/>
  <c r="AD838" i="4"/>
  <c r="AH837" i="4"/>
  <c r="AP835" i="4"/>
  <c r="AD834" i="4"/>
  <c r="AX833" i="4"/>
  <c r="AI833" i="4"/>
  <c r="AD830" i="4"/>
  <c r="AY829" i="4"/>
  <c r="AD826" i="4"/>
  <c r="AD822" i="4"/>
  <c r="AH821" i="4"/>
  <c r="AZ811" i="4"/>
  <c r="AM809" i="4"/>
  <c r="AP808" i="4"/>
  <c r="AZ807" i="4"/>
  <c r="AV804" i="4"/>
  <c r="AR801" i="4"/>
  <c r="AM801" i="4"/>
  <c r="AV800" i="4"/>
  <c r="AX800" i="4" s="1"/>
  <c r="AZ799" i="4"/>
  <c r="AI798" i="4"/>
  <c r="AR797" i="4"/>
  <c r="AS797" i="4" s="1"/>
  <c r="AV796" i="4"/>
  <c r="AZ795" i="4"/>
  <c r="AD795" i="4"/>
  <c r="AN794" i="4"/>
  <c r="AR793" i="4"/>
  <c r="AL793" i="4"/>
  <c r="AD791" i="4"/>
  <c r="AV781" i="4"/>
  <c r="AF781" i="4"/>
  <c r="AG781" i="4" s="1"/>
  <c r="AZ780" i="4"/>
  <c r="AX779" i="4"/>
  <c r="AN779" i="4"/>
  <c r="AR778" i="4"/>
  <c r="AV777" i="4"/>
  <c r="AP777" i="4"/>
  <c r="AF777" i="4"/>
  <c r="AZ776" i="4"/>
  <c r="AY775" i="4"/>
  <c r="AN775" i="4"/>
  <c r="AR774" i="4"/>
  <c r="AV773" i="4"/>
  <c r="AW773" i="4" s="1"/>
  <c r="AF773" i="4"/>
  <c r="AZ772" i="4"/>
  <c r="AN771" i="4"/>
  <c r="BC770" i="4"/>
  <c r="AR770" i="4"/>
  <c r="AV769" i="4"/>
  <c r="AF769" i="4"/>
  <c r="AZ768" i="4"/>
  <c r="AN767" i="4"/>
  <c r="AI767" i="4"/>
  <c r="BC766" i="4"/>
  <c r="AR766" i="4"/>
  <c r="AT766" i="4" s="1"/>
  <c r="AV765" i="4"/>
  <c r="AF765" i="4"/>
  <c r="AZ764" i="4"/>
  <c r="AY763" i="4"/>
  <c r="BB762" i="4"/>
  <c r="AR762" i="4"/>
  <c r="AV761" i="4"/>
  <c r="AF761" i="4"/>
  <c r="AZ760" i="4"/>
  <c r="AY759" i="4"/>
  <c r="AN759" i="4"/>
  <c r="BB751" i="4"/>
  <c r="AM751" i="4"/>
  <c r="AZ749" i="4"/>
  <c r="AZ747" i="4"/>
  <c r="AI745" i="4"/>
  <c r="AZ743" i="4"/>
  <c r="AI741" i="4"/>
  <c r="AM740" i="4"/>
  <c r="AL728" i="4"/>
  <c r="AO714" i="4"/>
  <c r="AP714" i="4"/>
  <c r="AK708" i="4"/>
  <c r="AL708" i="4"/>
  <c r="AG690" i="4"/>
  <c r="AH690" i="4"/>
  <c r="AH682" i="4"/>
  <c r="AI682" i="4"/>
  <c r="AP680" i="4"/>
  <c r="AQ680" i="4"/>
  <c r="AU579" i="4"/>
  <c r="AT579" i="4"/>
  <c r="BA559" i="4"/>
  <c r="BB559" i="4"/>
  <c r="AD839" i="4"/>
  <c r="AD835" i="4"/>
  <c r="AD831" i="4"/>
  <c r="AD827" i="4"/>
  <c r="AD823" i="4"/>
  <c r="AZ781" i="4"/>
  <c r="AJ781" i="4"/>
  <c r="AL781" i="4" s="1"/>
  <c r="AN780" i="4"/>
  <c r="AR779" i="4"/>
  <c r="AV778" i="4"/>
  <c r="AF778" i="4"/>
  <c r="AZ777" i="4"/>
  <c r="AR775" i="4"/>
  <c r="AV774" i="4"/>
  <c r="AF774" i="4"/>
  <c r="AZ773" i="4"/>
  <c r="BB773" i="4" s="1"/>
  <c r="AD773" i="4"/>
  <c r="AN772" i="4"/>
  <c r="AR771" i="4"/>
  <c r="AV770" i="4"/>
  <c r="AY770" i="4" s="1"/>
  <c r="AF770" i="4"/>
  <c r="AZ769" i="4"/>
  <c r="AD769" i="4"/>
  <c r="AN768" i="4"/>
  <c r="AR767" i="4"/>
  <c r="AV766" i="4"/>
  <c r="AF766" i="4"/>
  <c r="AZ765" i="4"/>
  <c r="AD765" i="4"/>
  <c r="AN764" i="4"/>
  <c r="AR763" i="4"/>
  <c r="AD761" i="4"/>
  <c r="AZ750" i="4"/>
  <c r="AD750" i="4"/>
  <c r="AZ744" i="4"/>
  <c r="BC742" i="4"/>
  <c r="AZ740" i="4"/>
  <c r="AI739" i="4"/>
  <c r="AZ738" i="4"/>
  <c r="AL738" i="4"/>
  <c r="AH736" i="4"/>
  <c r="AZ735" i="4"/>
  <c r="AZ732" i="4"/>
  <c r="AZ730" i="4"/>
  <c r="AX721" i="4"/>
  <c r="AW720" i="4"/>
  <c r="AY720" i="4"/>
  <c r="AG720" i="4"/>
  <c r="AH720" i="4"/>
  <c r="AP719" i="4"/>
  <c r="BB716" i="4"/>
  <c r="AL716" i="4"/>
  <c r="BA715" i="4"/>
  <c r="BB715" i="4"/>
  <c r="AL715" i="4"/>
  <c r="AM715" i="4"/>
  <c r="AW713" i="4"/>
  <c r="AX709" i="4"/>
  <c r="AY709" i="4"/>
  <c r="BA708" i="4"/>
  <c r="BB708" i="4"/>
  <c r="AK704" i="4"/>
  <c r="AL704" i="4"/>
  <c r="AD699" i="4"/>
  <c r="AD703" i="4"/>
  <c r="AD707" i="4"/>
  <c r="AD711" i="4"/>
  <c r="AD702" i="4"/>
  <c r="AD706" i="4"/>
  <c r="AD710" i="4"/>
  <c r="AD714" i="4"/>
  <c r="AD718" i="4"/>
  <c r="AD698" i="4"/>
  <c r="AD701" i="4"/>
  <c r="AD705" i="4"/>
  <c r="AD709" i="4"/>
  <c r="AD713" i="4"/>
  <c r="AD717" i="4"/>
  <c r="AD721" i="4"/>
  <c r="AX686" i="4"/>
  <c r="AY686" i="4"/>
  <c r="AG686" i="4"/>
  <c r="AH686" i="4"/>
  <c r="AP670" i="4"/>
  <c r="AQ670" i="4"/>
  <c r="AG672" i="4"/>
  <c r="AH672" i="4"/>
  <c r="AT639" i="4"/>
  <c r="AU639" i="4"/>
  <c r="AL540" i="4"/>
  <c r="AM540" i="4"/>
  <c r="AD519" i="4"/>
  <c r="AD523" i="4"/>
  <c r="AD527" i="4"/>
  <c r="AD531" i="4"/>
  <c r="AD535" i="4"/>
  <c r="AD539" i="4"/>
  <c r="AD522" i="4"/>
  <c r="AD526" i="4"/>
  <c r="AD530" i="4"/>
  <c r="AD534" i="4"/>
  <c r="AD538" i="4"/>
  <c r="AH491" i="4"/>
  <c r="AG491" i="4"/>
  <c r="AG431" i="4"/>
  <c r="AH431" i="4"/>
  <c r="AI712" i="4"/>
  <c r="BC711" i="4"/>
  <c r="AM711" i="4"/>
  <c r="AZ709" i="4"/>
  <c r="AY708" i="4"/>
  <c r="AI708" i="4"/>
  <c r="AP706" i="4"/>
  <c r="AZ705" i="4"/>
  <c r="AY704" i="4"/>
  <c r="BB703" i="4"/>
  <c r="AL703" i="4"/>
  <c r="AV691" i="4"/>
  <c r="AZ690" i="4"/>
  <c r="AX689" i="4"/>
  <c r="AN689" i="4"/>
  <c r="AH689" i="4"/>
  <c r="BC688" i="4"/>
  <c r="AR688" i="4"/>
  <c r="AV687" i="4"/>
  <c r="AZ686" i="4"/>
  <c r="AJ686" i="4"/>
  <c r="AY685" i="4"/>
  <c r="AN685" i="4"/>
  <c r="AR684" i="4"/>
  <c r="AV683" i="4"/>
  <c r="AP683" i="4"/>
  <c r="AF683" i="4"/>
  <c r="AI683" i="4" s="1"/>
  <c r="AZ682" i="4"/>
  <c r="AJ682" i="4"/>
  <c r="AN681" i="4"/>
  <c r="AI681" i="4"/>
  <c r="BC680" i="4"/>
  <c r="AR680" i="4"/>
  <c r="AV679" i="4"/>
  <c r="AF679" i="4"/>
  <c r="AZ678" i="4"/>
  <c r="AJ678" i="4"/>
  <c r="AN677" i="4"/>
  <c r="AI677" i="4"/>
  <c r="BC676" i="4"/>
  <c r="AR676" i="4"/>
  <c r="AV675" i="4"/>
  <c r="AY675" i="4" s="1"/>
  <c r="AF675" i="4"/>
  <c r="AZ674" i="4"/>
  <c r="AJ674" i="4"/>
  <c r="AN673" i="4"/>
  <c r="BB672" i="4"/>
  <c r="AR672" i="4"/>
  <c r="AV671" i="4"/>
  <c r="AP671" i="4"/>
  <c r="AF671" i="4"/>
  <c r="AH671" i="4" s="1"/>
  <c r="AZ670" i="4"/>
  <c r="AJ670" i="4"/>
  <c r="AY669" i="4"/>
  <c r="AN669" i="4"/>
  <c r="AH669" i="4"/>
  <c r="AR661" i="4"/>
  <c r="AV660" i="4"/>
  <c r="AF660" i="4"/>
  <c r="AZ659" i="4"/>
  <c r="AJ659" i="4"/>
  <c r="AN658" i="4"/>
  <c r="AR657" i="4"/>
  <c r="AV656" i="4"/>
  <c r="AF656" i="4"/>
  <c r="AZ655" i="4"/>
  <c r="AJ655" i="4"/>
  <c r="AN654" i="4"/>
  <c r="AR653" i="4"/>
  <c r="AV652" i="4"/>
  <c r="AF652" i="4"/>
  <c r="AH652" i="4" s="1"/>
  <c r="AZ651" i="4"/>
  <c r="AJ651" i="4"/>
  <c r="AN650" i="4"/>
  <c r="AR649" i="4"/>
  <c r="AV648" i="4"/>
  <c r="AF648" i="4"/>
  <c r="AZ647" i="4"/>
  <c r="AJ647" i="4"/>
  <c r="AN646" i="4"/>
  <c r="AR645" i="4"/>
  <c r="AV644" i="4"/>
  <c r="AF644" i="4"/>
  <c r="AZ643" i="4"/>
  <c r="AJ643" i="4"/>
  <c r="AN642" i="4"/>
  <c r="AR641" i="4"/>
  <c r="AU641" i="4" s="1"/>
  <c r="AV640" i="4"/>
  <c r="AF640" i="4"/>
  <c r="AZ639" i="4"/>
  <c r="AJ639" i="4"/>
  <c r="AZ638" i="4"/>
  <c r="AV638" i="4"/>
  <c r="AR638" i="4"/>
  <c r="AN638" i="4"/>
  <c r="AJ638" i="4"/>
  <c r="AF638" i="4"/>
  <c r="AY631" i="4"/>
  <c r="BB630" i="4"/>
  <c r="AQ629" i="4"/>
  <c r="AY627" i="4"/>
  <c r="AH627" i="4"/>
  <c r="BC626" i="4"/>
  <c r="AP625" i="4"/>
  <c r="AX623" i="4"/>
  <c r="AI623" i="4"/>
  <c r="AY619" i="4"/>
  <c r="BB618" i="4"/>
  <c r="AL618" i="4"/>
  <c r="AD616" i="4"/>
  <c r="AY615" i="4"/>
  <c r="AP613" i="4"/>
  <c r="AD612" i="4"/>
  <c r="AX611" i="4"/>
  <c r="BC610" i="4"/>
  <c r="AL610" i="4"/>
  <c r="AQ609" i="4"/>
  <c r="AD601" i="4"/>
  <c r="AY600" i="4"/>
  <c r="BB599" i="4"/>
  <c r="AP598" i="4"/>
  <c r="AD597" i="4"/>
  <c r="AY596" i="4"/>
  <c r="AM595" i="4"/>
  <c r="AP594" i="4"/>
  <c r="AD593" i="4"/>
  <c r="AX592" i="4"/>
  <c r="AQ590" i="4"/>
  <c r="AZ589" i="4"/>
  <c r="BA589" i="4" s="1"/>
  <c r="AD589" i="4"/>
  <c r="AY588" i="4"/>
  <c r="AZ585" i="4"/>
  <c r="AD585" i="4"/>
  <c r="AY584" i="4"/>
  <c r="AU581" i="4"/>
  <c r="AD581" i="4"/>
  <c r="AX580" i="4"/>
  <c r="AD578" i="4"/>
  <c r="AH569" i="4"/>
  <c r="AT566" i="4"/>
  <c r="AI565" i="4"/>
  <c r="BC560" i="4"/>
  <c r="AI557" i="4"/>
  <c r="AZ549" i="4"/>
  <c r="BB549" i="4" s="1"/>
  <c r="AV551" i="4"/>
  <c r="AV555" i="4"/>
  <c r="AV548" i="4"/>
  <c r="AN549" i="4"/>
  <c r="AN553" i="4"/>
  <c r="AN548" i="4"/>
  <c r="AF551" i="4"/>
  <c r="AF555" i="4"/>
  <c r="AF548" i="4"/>
  <c r="AG521" i="4"/>
  <c r="AH521" i="4"/>
  <c r="AD518" i="4"/>
  <c r="AM502" i="4"/>
  <c r="AL502" i="4"/>
  <c r="AX491" i="4"/>
  <c r="AW491" i="4"/>
  <c r="AW372" i="4"/>
  <c r="AY372" i="4"/>
  <c r="AG372" i="4"/>
  <c r="AH372" i="4"/>
  <c r="AR747" i="4"/>
  <c r="AV746" i="4"/>
  <c r="AR743" i="4"/>
  <c r="AV742" i="4"/>
  <c r="AN740" i="4"/>
  <c r="AR739" i="4"/>
  <c r="AV738" i="4"/>
  <c r="AJ737" i="4"/>
  <c r="AK737" i="4" s="1"/>
  <c r="AN736" i="4"/>
  <c r="AR735" i="4"/>
  <c r="AV734" i="4"/>
  <c r="AJ733" i="4"/>
  <c r="AN732" i="4"/>
  <c r="AP732" i="4" s="1"/>
  <c r="AR731" i="4"/>
  <c r="AV730" i="4"/>
  <c r="AF730" i="4"/>
  <c r="AJ729" i="4"/>
  <c r="AZ691" i="4"/>
  <c r="AJ691" i="4"/>
  <c r="AN690" i="4"/>
  <c r="AR689" i="4"/>
  <c r="AV688" i="4"/>
  <c r="AF688" i="4"/>
  <c r="AZ687" i="4"/>
  <c r="AJ687" i="4"/>
  <c r="AD687" i="4"/>
  <c r="AN686" i="4"/>
  <c r="AR685" i="4"/>
  <c r="AV684" i="4"/>
  <c r="AW684" i="4" s="1"/>
  <c r="AF684" i="4"/>
  <c r="AZ683" i="4"/>
  <c r="AJ683" i="4"/>
  <c r="AD683" i="4"/>
  <c r="AN682" i="4"/>
  <c r="AR681" i="4"/>
  <c r="AV680" i="4"/>
  <c r="AF680" i="4"/>
  <c r="AZ679" i="4"/>
  <c r="AJ679" i="4"/>
  <c r="AD679" i="4"/>
  <c r="AN678" i="4"/>
  <c r="AR677" i="4"/>
  <c r="AV676" i="4"/>
  <c r="AF676" i="4"/>
  <c r="AZ675" i="4"/>
  <c r="BB675" i="4" s="1"/>
  <c r="AJ675" i="4"/>
  <c r="AD675" i="4"/>
  <c r="AN674" i="4"/>
  <c r="AR673" i="4"/>
  <c r="AD671" i="4"/>
  <c r="AX670" i="4"/>
  <c r="AH670" i="4"/>
  <c r="AL669" i="4"/>
  <c r="AV661" i="4"/>
  <c r="AQ661" i="4"/>
  <c r="AF661" i="4"/>
  <c r="AG661" i="4" s="1"/>
  <c r="AZ660" i="4"/>
  <c r="AJ660" i="4"/>
  <c r="AN659" i="4"/>
  <c r="BC658" i="4"/>
  <c r="AR658" i="4"/>
  <c r="AV657" i="4"/>
  <c r="AF657" i="4"/>
  <c r="AZ656" i="4"/>
  <c r="AJ656" i="4"/>
  <c r="AN655" i="4"/>
  <c r="BB654" i="4"/>
  <c r="AR654" i="4"/>
  <c r="AV653" i="4"/>
  <c r="AP653" i="4"/>
  <c r="AF653" i="4"/>
  <c r="AZ652" i="4"/>
  <c r="AJ652" i="4"/>
  <c r="AL652" i="4" s="1"/>
  <c r="AN651" i="4"/>
  <c r="BC650" i="4"/>
  <c r="AR650" i="4"/>
  <c r="AV649" i="4"/>
  <c r="AQ649" i="4"/>
  <c r="AF649" i="4"/>
  <c r="AZ648" i="4"/>
  <c r="AJ648" i="4"/>
  <c r="AN647" i="4"/>
  <c r="BC646" i="4"/>
  <c r="AR646" i="4"/>
  <c r="AV645" i="4"/>
  <c r="AF645" i="4"/>
  <c r="AZ644" i="4"/>
  <c r="BC644" i="4" s="1"/>
  <c r="AT644" i="4"/>
  <c r="AJ644" i="4"/>
  <c r="AN643" i="4"/>
  <c r="BB642" i="4"/>
  <c r="AR642" i="4"/>
  <c r="AV641" i="4"/>
  <c r="AF641" i="4"/>
  <c r="AZ640" i="4"/>
  <c r="AU640" i="4"/>
  <c r="AJ640" i="4"/>
  <c r="AN639" i="4"/>
  <c r="AM631" i="4"/>
  <c r="AQ630" i="4"/>
  <c r="AD629" i="4"/>
  <c r="AX628" i="4"/>
  <c r="AP626" i="4"/>
  <c r="AD625" i="4"/>
  <c r="AY624" i="4"/>
  <c r="AV622" i="4"/>
  <c r="AQ622" i="4"/>
  <c r="AZ621" i="4"/>
  <c r="AD621" i="4"/>
  <c r="AY620" i="4"/>
  <c r="AI620" i="4"/>
  <c r="AR619" i="4"/>
  <c r="AL619" i="4"/>
  <c r="AV618" i="4"/>
  <c r="AQ618" i="4"/>
  <c r="AZ617" i="4"/>
  <c r="BA617" i="4" s="1"/>
  <c r="AD617" i="4"/>
  <c r="AX616" i="4"/>
  <c r="AN616" i="4"/>
  <c r="AR615" i="4"/>
  <c r="AV614" i="4"/>
  <c r="AP614" i="4"/>
  <c r="AZ613" i="4"/>
  <c r="AD613" i="4"/>
  <c r="AY612" i="4"/>
  <c r="AN612" i="4"/>
  <c r="AH612" i="4"/>
  <c r="BB611" i="4"/>
  <c r="AR611" i="4"/>
  <c r="AL611" i="4"/>
  <c r="AV610" i="4"/>
  <c r="AQ610" i="4"/>
  <c r="AZ609" i="4"/>
  <c r="AU609" i="4"/>
  <c r="AJ609" i="4"/>
  <c r="AY601" i="4"/>
  <c r="AQ599" i="4"/>
  <c r="AT598" i="4"/>
  <c r="AD598" i="4"/>
  <c r="AY597" i="4"/>
  <c r="BC596" i="4"/>
  <c r="AP595" i="4"/>
  <c r="AU594" i="4"/>
  <c r="AD594" i="4"/>
  <c r="AQ591" i="4"/>
  <c r="AD590" i="4"/>
  <c r="BB588" i="4"/>
  <c r="AQ587" i="4"/>
  <c r="AT586" i="4"/>
  <c r="AD586" i="4"/>
  <c r="AY585" i="4"/>
  <c r="AP583" i="4"/>
  <c r="AD582" i="4"/>
  <c r="BC580" i="4"/>
  <c r="AQ579" i="4"/>
  <c r="AZ571" i="4"/>
  <c r="BB569" i="4"/>
  <c r="AR569" i="4"/>
  <c r="AV568" i="4"/>
  <c r="AZ567" i="4"/>
  <c r="BB565" i="4"/>
  <c r="AR565" i="4"/>
  <c r="AV564" i="4"/>
  <c r="AW564" i="4" s="1"/>
  <c r="AZ563" i="4"/>
  <c r="AJ563" i="4"/>
  <c r="AN562" i="4"/>
  <c r="AP562" i="4" s="1"/>
  <c r="AI562" i="4"/>
  <c r="AR561" i="4"/>
  <c r="AV560" i="4"/>
  <c r="AF560" i="4"/>
  <c r="AJ559" i="4"/>
  <c r="AN558" i="4"/>
  <c r="AI558" i="4"/>
  <c r="BB557" i="4"/>
  <c r="AR557" i="4"/>
  <c r="AN556" i="4"/>
  <c r="AF556" i="4"/>
  <c r="AR555" i="4"/>
  <c r="AS555" i="4" s="1"/>
  <c r="AJ555" i="4"/>
  <c r="AV554" i="4"/>
  <c r="AN554" i="4"/>
  <c r="AF553" i="4"/>
  <c r="AP552" i="4"/>
  <c r="AJ552" i="4"/>
  <c r="BB551" i="4"/>
  <c r="AN551" i="4"/>
  <c r="AD533" i="4"/>
  <c r="AD532" i="4"/>
  <c r="AD521" i="4"/>
  <c r="AD520" i="4"/>
  <c r="AL518" i="4"/>
  <c r="AI499" i="4"/>
  <c r="AH499" i="4"/>
  <c r="AY495" i="4"/>
  <c r="AW495" i="4"/>
  <c r="BA371" i="4"/>
  <c r="BB371" i="4"/>
  <c r="AZ661" i="4"/>
  <c r="AJ661" i="4"/>
  <c r="AN660" i="4"/>
  <c r="AR659" i="4"/>
  <c r="AV658" i="4"/>
  <c r="AF658" i="4"/>
  <c r="AZ657" i="4"/>
  <c r="AJ657" i="4"/>
  <c r="AN656" i="4"/>
  <c r="AR655" i="4"/>
  <c r="AU655" i="4" s="1"/>
  <c r="AV654" i="4"/>
  <c r="AF654" i="4"/>
  <c r="AZ653" i="4"/>
  <c r="AJ653" i="4"/>
  <c r="AN652" i="4"/>
  <c r="AR651" i="4"/>
  <c r="AV650" i="4"/>
  <c r="AF650" i="4"/>
  <c r="AZ649" i="4"/>
  <c r="AJ649" i="4"/>
  <c r="AN648" i="4"/>
  <c r="AR647" i="4"/>
  <c r="AV646" i="4"/>
  <c r="AF646" i="4"/>
  <c r="AZ645" i="4"/>
  <c r="AJ645" i="4"/>
  <c r="AN644" i="4"/>
  <c r="AR643" i="4"/>
  <c r="AD591" i="4"/>
  <c r="AD587" i="4"/>
  <c r="AD583" i="4"/>
  <c r="AK556" i="4"/>
  <c r="AG549" i="4"/>
  <c r="AZ550" i="4"/>
  <c r="AZ554" i="4"/>
  <c r="AZ548" i="4"/>
  <c r="AR552" i="4"/>
  <c r="AT552" i="4" s="1"/>
  <c r="AR556" i="4"/>
  <c r="AR548" i="4"/>
  <c r="AJ550" i="4"/>
  <c r="AJ554" i="4"/>
  <c r="AJ548" i="4"/>
  <c r="AH525" i="4"/>
  <c r="AI525" i="4"/>
  <c r="AK521" i="4"/>
  <c r="AT519" i="4"/>
  <c r="AD509" i="4"/>
  <c r="AD505" i="4"/>
  <c r="AD501" i="4"/>
  <c r="AD497" i="4"/>
  <c r="AD493" i="4"/>
  <c r="AD489" i="4"/>
  <c r="AG480" i="4"/>
  <c r="AS477" i="4"/>
  <c r="AG476" i="4"/>
  <c r="AZ451" i="4"/>
  <c r="AJ451" i="4"/>
  <c r="AN450" i="4"/>
  <c r="AR449" i="4"/>
  <c r="AT449" i="4" s="1"/>
  <c r="AV448" i="4"/>
  <c r="AF448" i="4"/>
  <c r="AZ447" i="4"/>
  <c r="AJ447" i="4"/>
  <c r="AN446" i="4"/>
  <c r="AR445" i="4"/>
  <c r="AH445" i="4"/>
  <c r="AV444" i="4"/>
  <c r="AF444" i="4"/>
  <c r="AZ443" i="4"/>
  <c r="AO443" i="4"/>
  <c r="AJ443" i="4"/>
  <c r="AN442" i="4"/>
  <c r="AP442" i="4" s="1"/>
  <c r="AW441" i="4"/>
  <c r="AR441" i="4"/>
  <c r="AT441" i="4" s="1"/>
  <c r="AH441" i="4"/>
  <c r="AV440" i="4"/>
  <c r="AF440" i="4"/>
  <c r="AZ439" i="4"/>
  <c r="AP439" i="4"/>
  <c r="AJ439" i="4"/>
  <c r="AS438" i="4"/>
  <c r="AN438" i="4"/>
  <c r="AR437" i="4"/>
  <c r="AH437" i="4"/>
  <c r="AV436" i="4"/>
  <c r="AF436" i="4"/>
  <c r="AH436" i="4" s="1"/>
  <c r="AZ435" i="4"/>
  <c r="AO435" i="4"/>
  <c r="AJ435" i="4"/>
  <c r="AS434" i="4"/>
  <c r="AN434" i="4"/>
  <c r="AR433" i="4"/>
  <c r="AG433" i="4"/>
  <c r="AV432" i="4"/>
  <c r="AK432" i="4"/>
  <c r="AF432" i="4"/>
  <c r="AZ431" i="4"/>
  <c r="AJ431" i="4"/>
  <c r="AN430" i="4"/>
  <c r="AP430" i="4" s="1"/>
  <c r="AR429" i="4"/>
  <c r="AU429" i="4" s="1"/>
  <c r="AG429" i="4"/>
  <c r="AL421" i="4"/>
  <c r="AG418" i="4"/>
  <c r="AL417" i="4"/>
  <c r="AH414" i="4"/>
  <c r="AL413" i="4"/>
  <c r="AH410" i="4"/>
  <c r="AK409" i="4"/>
  <c r="AH406" i="4"/>
  <c r="BB405" i="4"/>
  <c r="AG402" i="4"/>
  <c r="BA390" i="4"/>
  <c r="AP389" i="4"/>
  <c r="BB386" i="4"/>
  <c r="AO385" i="4"/>
  <c r="AH383" i="4"/>
  <c r="BB382" i="4"/>
  <c r="AL382" i="4"/>
  <c r="BA378" i="4"/>
  <c r="AP377" i="4"/>
  <c r="AD377" i="4"/>
  <c r="AD373" i="4"/>
  <c r="AG371" i="4"/>
  <c r="AP369" i="4"/>
  <c r="AD369" i="4"/>
  <c r="AN339" i="4"/>
  <c r="AN343" i="4"/>
  <c r="AU309" i="4"/>
  <c r="AT309" i="4"/>
  <c r="AN338" i="4"/>
  <c r="AP327" i="4"/>
  <c r="AY312" i="4"/>
  <c r="AW312" i="4"/>
  <c r="AP219" i="4"/>
  <c r="AQ219" i="4"/>
  <c r="AY171" i="4"/>
  <c r="AW171" i="4"/>
  <c r="AD511" i="4"/>
  <c r="AH510" i="4"/>
  <c r="AM509" i="4"/>
  <c r="AD507" i="4"/>
  <c r="AM505" i="4"/>
  <c r="AD503" i="4"/>
  <c r="AM501" i="4"/>
  <c r="AZ499" i="4"/>
  <c r="AD499" i="4"/>
  <c r="AV496" i="4"/>
  <c r="AZ495" i="4"/>
  <c r="AD495" i="4"/>
  <c r="AP492" i="4"/>
  <c r="AD491" i="4"/>
  <c r="AD488" i="4"/>
  <c r="AV481" i="4"/>
  <c r="AF481" i="4"/>
  <c r="AZ480" i="4"/>
  <c r="AJ480" i="4"/>
  <c r="AN479" i="4"/>
  <c r="AP479" i="4" s="1"/>
  <c r="AR478" i="4"/>
  <c r="AM478" i="4"/>
  <c r="AV477" i="4"/>
  <c r="AP477" i="4"/>
  <c r="AF477" i="4"/>
  <c r="AZ476" i="4"/>
  <c r="AJ476" i="4"/>
  <c r="AN475" i="4"/>
  <c r="AR474" i="4"/>
  <c r="AV473" i="4"/>
  <c r="AF473" i="4"/>
  <c r="AZ472" i="4"/>
  <c r="AJ472" i="4"/>
  <c r="AN471" i="4"/>
  <c r="AR470" i="4"/>
  <c r="AV469" i="4"/>
  <c r="AF469" i="4"/>
  <c r="AZ468" i="4"/>
  <c r="AJ468" i="4"/>
  <c r="AN467" i="4"/>
  <c r="AR466" i="4"/>
  <c r="AL466" i="4"/>
  <c r="AV465" i="4"/>
  <c r="AF465" i="4"/>
  <c r="AZ464" i="4"/>
  <c r="AJ464" i="4"/>
  <c r="AN463" i="4"/>
  <c r="AR462" i="4"/>
  <c r="AV461" i="4"/>
  <c r="AF461" i="4"/>
  <c r="AZ460" i="4"/>
  <c r="AJ460" i="4"/>
  <c r="AN459" i="4"/>
  <c r="AR451" i="4"/>
  <c r="AV450" i="4"/>
  <c r="AF450" i="4"/>
  <c r="AZ449" i="4"/>
  <c r="AJ449" i="4"/>
  <c r="AN448" i="4"/>
  <c r="AR447" i="4"/>
  <c r="AV446" i="4"/>
  <c r="AF446" i="4"/>
  <c r="AZ445" i="4"/>
  <c r="AJ445" i="4"/>
  <c r="AN444" i="4"/>
  <c r="AR443" i="4"/>
  <c r="AV442" i="4"/>
  <c r="AF442" i="4"/>
  <c r="AH442" i="4" s="1"/>
  <c r="AZ441" i="4"/>
  <c r="AJ441" i="4"/>
  <c r="AN440" i="4"/>
  <c r="AR439" i="4"/>
  <c r="AV438" i="4"/>
  <c r="AY438" i="4" s="1"/>
  <c r="AF438" i="4"/>
  <c r="AZ437" i="4"/>
  <c r="AJ437" i="4"/>
  <c r="AN436" i="4"/>
  <c r="AR435" i="4"/>
  <c r="AV434" i="4"/>
  <c r="AF434" i="4"/>
  <c r="AJ433" i="4"/>
  <c r="AN432" i="4"/>
  <c r="AR431" i="4"/>
  <c r="AT431" i="4" s="1"/>
  <c r="AV430" i="4"/>
  <c r="AF430" i="4"/>
  <c r="AZ429" i="4"/>
  <c r="AJ429" i="4"/>
  <c r="AZ428" i="4"/>
  <c r="AV428" i="4"/>
  <c r="AR428" i="4"/>
  <c r="AN428" i="4"/>
  <c r="AJ428" i="4"/>
  <c r="AF428" i="4"/>
  <c r="AH421" i="4"/>
  <c r="AM420" i="4"/>
  <c r="AH417" i="4"/>
  <c r="AM416" i="4"/>
  <c r="AD414" i="4"/>
  <c r="AD410" i="4"/>
  <c r="AD406" i="4"/>
  <c r="AI405" i="4"/>
  <c r="AD402" i="4"/>
  <c r="AH401" i="4"/>
  <c r="AL400" i="4"/>
  <c r="AZ391" i="4"/>
  <c r="AD391" i="4"/>
  <c r="BB389" i="4"/>
  <c r="AM389" i="4"/>
  <c r="AV388" i="4"/>
  <c r="AZ387" i="4"/>
  <c r="AD387" i="4"/>
  <c r="BB385" i="4"/>
  <c r="AR385" i="4"/>
  <c r="AV384" i="4"/>
  <c r="AZ383" i="4"/>
  <c r="AD383" i="4"/>
  <c r="AX382" i="4"/>
  <c r="AN382" i="4"/>
  <c r="BC381" i="4"/>
  <c r="AR381" i="4"/>
  <c r="AV380" i="4"/>
  <c r="AQ380" i="4"/>
  <c r="AZ379" i="4"/>
  <c r="BB379" i="4" s="1"/>
  <c r="AJ379" i="4"/>
  <c r="AD379" i="4"/>
  <c r="AN378" i="4"/>
  <c r="BB377" i="4"/>
  <c r="AR377" i="4"/>
  <c r="AV376" i="4"/>
  <c r="AZ375" i="4"/>
  <c r="BB375" i="4" s="1"/>
  <c r="AJ375" i="4"/>
  <c r="AD375" i="4"/>
  <c r="AN374" i="4"/>
  <c r="AI374" i="4"/>
  <c r="BB373" i="4"/>
  <c r="AR373" i="4"/>
  <c r="AL373" i="4"/>
  <c r="AD371" i="4"/>
  <c r="AD368" i="4"/>
  <c r="AT360" i="4"/>
  <c r="BC358" i="4"/>
  <c r="AT356" i="4"/>
  <c r="BB354" i="4"/>
  <c r="AN347" i="4"/>
  <c r="AN344" i="4"/>
  <c r="AL343" i="4"/>
  <c r="BB341" i="4"/>
  <c r="AN341" i="4"/>
  <c r="AR340" i="4"/>
  <c r="BB338" i="4"/>
  <c r="AR338" i="4"/>
  <c r="AL331" i="4"/>
  <c r="AP322" i="4"/>
  <c r="AH320" i="4"/>
  <c r="AK318" i="4"/>
  <c r="AL318" i="4"/>
  <c r="AO314" i="4"/>
  <c r="AQ310" i="4"/>
  <c r="AP310" i="4"/>
  <c r="AM300" i="4"/>
  <c r="AL300" i="4"/>
  <c r="AK220" i="4"/>
  <c r="AL220" i="4"/>
  <c r="AZ539" i="4"/>
  <c r="AV536" i="4"/>
  <c r="AZ535" i="4"/>
  <c r="AR533" i="4"/>
  <c r="AV532" i="4"/>
  <c r="AZ531" i="4"/>
  <c r="AR529" i="4"/>
  <c r="AV528" i="4"/>
  <c r="AW528" i="4" s="1"/>
  <c r="AZ527" i="4"/>
  <c r="AN526" i="4"/>
  <c r="AR525" i="4"/>
  <c r="AV524" i="4"/>
  <c r="AZ523" i="4"/>
  <c r="AJ523" i="4"/>
  <c r="AN522" i="4"/>
  <c r="AR521" i="4"/>
  <c r="AV520" i="4"/>
  <c r="AZ519" i="4"/>
  <c r="AJ519" i="4"/>
  <c r="AD508" i="4"/>
  <c r="AD504" i="4"/>
  <c r="AD500" i="4"/>
  <c r="AD496" i="4"/>
  <c r="AZ481" i="4"/>
  <c r="BB481" i="4" s="1"/>
  <c r="AJ481" i="4"/>
  <c r="AN480" i="4"/>
  <c r="AR479" i="4"/>
  <c r="AV478" i="4"/>
  <c r="AF478" i="4"/>
  <c r="AZ477" i="4"/>
  <c r="AJ477" i="4"/>
  <c r="AD477" i="4"/>
  <c r="AN476" i="4"/>
  <c r="AR475" i="4"/>
  <c r="AV474" i="4"/>
  <c r="AF474" i="4"/>
  <c r="AZ473" i="4"/>
  <c r="AJ473" i="4"/>
  <c r="AD473" i="4"/>
  <c r="AN472" i="4"/>
  <c r="AP472" i="4" s="1"/>
  <c r="AR471" i="4"/>
  <c r="AV470" i="4"/>
  <c r="AF470" i="4"/>
  <c r="AZ469" i="4"/>
  <c r="AJ469" i="4"/>
  <c r="AD469" i="4"/>
  <c r="AN468" i="4"/>
  <c r="AR467" i="4"/>
  <c r="AV466" i="4"/>
  <c r="AF466" i="4"/>
  <c r="AZ465" i="4"/>
  <c r="AJ465" i="4"/>
  <c r="AD465" i="4"/>
  <c r="AN464" i="4"/>
  <c r="AR463" i="4"/>
  <c r="AD461" i="4"/>
  <c r="AV451" i="4"/>
  <c r="AF451" i="4"/>
  <c r="AZ450" i="4"/>
  <c r="AJ450" i="4"/>
  <c r="AN449" i="4"/>
  <c r="AR448" i="4"/>
  <c r="AV447" i="4"/>
  <c r="AF447" i="4"/>
  <c r="AZ446" i="4"/>
  <c r="AJ446" i="4"/>
  <c r="AN445" i="4"/>
  <c r="AR444" i="4"/>
  <c r="AV443" i="4"/>
  <c r="AF443" i="4"/>
  <c r="AH443" i="4" s="1"/>
  <c r="AZ442" i="4"/>
  <c r="AJ442" i="4"/>
  <c r="AN441" i="4"/>
  <c r="AR440" i="4"/>
  <c r="AV439" i="4"/>
  <c r="AF439" i="4"/>
  <c r="AZ438" i="4"/>
  <c r="AJ438" i="4"/>
  <c r="AN437" i="4"/>
  <c r="AR436" i="4"/>
  <c r="AV435" i="4"/>
  <c r="AF435" i="4"/>
  <c r="AZ434" i="4"/>
  <c r="AJ434" i="4"/>
  <c r="AN433" i="4"/>
  <c r="AD419" i="4"/>
  <c r="AD415" i="4"/>
  <c r="AD411" i="4"/>
  <c r="AD407" i="4"/>
  <c r="AZ403" i="4"/>
  <c r="AD403" i="4"/>
  <c r="AV400" i="4"/>
  <c r="AZ399" i="4"/>
  <c r="AD388" i="4"/>
  <c r="AD384" i="4"/>
  <c r="AD380" i="4"/>
  <c r="AD376" i="4"/>
  <c r="AV338" i="4"/>
  <c r="AJ340" i="4"/>
  <c r="AJ344" i="4"/>
  <c r="AF338" i="4"/>
  <c r="AT328" i="4"/>
  <c r="AP321" i="4"/>
  <c r="AQ321" i="4"/>
  <c r="AO313" i="4"/>
  <c r="AP313" i="4"/>
  <c r="AQ299" i="4"/>
  <c r="AP299" i="4"/>
  <c r="AP295" i="4"/>
  <c r="AO295" i="4"/>
  <c r="AG221" i="4"/>
  <c r="AH221" i="4"/>
  <c r="AD291" i="4"/>
  <c r="AD287" i="4"/>
  <c r="AW285" i="4"/>
  <c r="AD283" i="4"/>
  <c r="AD279" i="4"/>
  <c r="AG270" i="4"/>
  <c r="BA269" i="4"/>
  <c r="AO268" i="4"/>
  <c r="AX266" i="4"/>
  <c r="BA257" i="4"/>
  <c r="AH254" i="4"/>
  <c r="AO252" i="4"/>
  <c r="AZ241" i="4"/>
  <c r="AJ241" i="4"/>
  <c r="AN240" i="4"/>
  <c r="AR239" i="4"/>
  <c r="AG239" i="4"/>
  <c r="AV238" i="4"/>
  <c r="AL238" i="4"/>
  <c r="AF238" i="4"/>
  <c r="AZ237" i="4"/>
  <c r="AO237" i="4"/>
  <c r="AJ237" i="4"/>
  <c r="AN236" i="4"/>
  <c r="AR235" i="4"/>
  <c r="AV234" i="4"/>
  <c r="AF234" i="4"/>
  <c r="AZ233" i="4"/>
  <c r="AO233" i="4"/>
  <c r="AJ233" i="4"/>
  <c r="AN232" i="4"/>
  <c r="AR231" i="4"/>
  <c r="AH231" i="4"/>
  <c r="AV230" i="4"/>
  <c r="AL230" i="4"/>
  <c r="AF230" i="4"/>
  <c r="AZ229" i="4"/>
  <c r="BA229" i="4" s="1"/>
  <c r="AJ229" i="4"/>
  <c r="AN228" i="4"/>
  <c r="AR227" i="4"/>
  <c r="AH227" i="4"/>
  <c r="AV226" i="4"/>
  <c r="AK226" i="4"/>
  <c r="AF226" i="4"/>
  <c r="AZ225" i="4"/>
  <c r="AO225" i="4"/>
  <c r="AJ225" i="4"/>
  <c r="AN224" i="4"/>
  <c r="AR223" i="4"/>
  <c r="AV222" i="4"/>
  <c r="AF222" i="4"/>
  <c r="AZ221" i="4"/>
  <c r="AJ221" i="4"/>
  <c r="AN220" i="4"/>
  <c r="AW219" i="4"/>
  <c r="AR219" i="4"/>
  <c r="BA210" i="4"/>
  <c r="AT210" i="4"/>
  <c r="AS208" i="4"/>
  <c r="AM208" i="4"/>
  <c r="AS207" i="4"/>
  <c r="AL205" i="4"/>
  <c r="AD198" i="4"/>
  <c r="AP196" i="4"/>
  <c r="AO196" i="4"/>
  <c r="AY194" i="4"/>
  <c r="AX194" i="4"/>
  <c r="AQ169" i="4"/>
  <c r="AP169" i="4"/>
  <c r="AZ160" i="4"/>
  <c r="AZ164" i="4"/>
  <c r="AZ168" i="4"/>
  <c r="AZ172" i="4"/>
  <c r="BB172" i="4" s="1"/>
  <c r="AZ176" i="4"/>
  <c r="AZ180" i="4"/>
  <c r="AZ158" i="4"/>
  <c r="AZ159" i="4"/>
  <c r="AZ163" i="4"/>
  <c r="AZ167" i="4"/>
  <c r="AZ171" i="4"/>
  <c r="AZ175" i="4"/>
  <c r="AZ179" i="4"/>
  <c r="AZ161" i="4"/>
  <c r="AZ165" i="4"/>
  <c r="AZ169" i="4"/>
  <c r="AZ173" i="4"/>
  <c r="AZ177" i="4"/>
  <c r="AZ181" i="4"/>
  <c r="AT199" i="4"/>
  <c r="AS199" i="4"/>
  <c r="AL197" i="4"/>
  <c r="AK197" i="4"/>
  <c r="AX190" i="4"/>
  <c r="AW190" i="4"/>
  <c r="AD188" i="4"/>
  <c r="AD191" i="4"/>
  <c r="AD195" i="4"/>
  <c r="AD199" i="4"/>
  <c r="AD203" i="4"/>
  <c r="AD207" i="4"/>
  <c r="AD211" i="4"/>
  <c r="AD192" i="4"/>
  <c r="AD196" i="4"/>
  <c r="AD200" i="4"/>
  <c r="BC170" i="4"/>
  <c r="BB170" i="4"/>
  <c r="AL166" i="4"/>
  <c r="AK166" i="4"/>
  <c r="AV161" i="4"/>
  <c r="AV165" i="4"/>
  <c r="AV169" i="4"/>
  <c r="AV173" i="4"/>
  <c r="AV177" i="4"/>
  <c r="AV181" i="4"/>
  <c r="AV158" i="4"/>
  <c r="AY158" i="4" s="1"/>
  <c r="AV160" i="4"/>
  <c r="AV164" i="4"/>
  <c r="AV168" i="4"/>
  <c r="AV172" i="4"/>
  <c r="AV176" i="4"/>
  <c r="AV180" i="4"/>
  <c r="AV162" i="4"/>
  <c r="AV166" i="4"/>
  <c r="AV170" i="4"/>
  <c r="AV174" i="4"/>
  <c r="AV178" i="4"/>
  <c r="AD320" i="4"/>
  <c r="AD316" i="4"/>
  <c r="AD312" i="4"/>
  <c r="AQ309" i="4"/>
  <c r="AD301" i="4"/>
  <c r="AD297" i="4"/>
  <c r="AD293" i="4"/>
  <c r="AZ289" i="4"/>
  <c r="AD289" i="4"/>
  <c r="AZ285" i="4"/>
  <c r="AD285" i="4"/>
  <c r="BB283" i="4"/>
  <c r="AD281" i="4"/>
  <c r="BC279" i="4"/>
  <c r="AD278" i="4"/>
  <c r="AH269" i="4"/>
  <c r="AI265" i="4"/>
  <c r="BB264" i="4"/>
  <c r="AX257" i="4"/>
  <c r="AZ254" i="4"/>
  <c r="BB252" i="4"/>
  <c r="AV251" i="4"/>
  <c r="AZ250" i="4"/>
  <c r="AH249" i="4"/>
  <c r="AR241" i="4"/>
  <c r="AV240" i="4"/>
  <c r="AF240" i="4"/>
  <c r="AZ239" i="4"/>
  <c r="AJ239" i="4"/>
  <c r="AN238" i="4"/>
  <c r="AR237" i="4"/>
  <c r="AV236" i="4"/>
  <c r="AF236" i="4"/>
  <c r="AZ235" i="4"/>
  <c r="AJ235" i="4"/>
  <c r="AN234" i="4"/>
  <c r="AO234" i="4" s="1"/>
  <c r="AR233" i="4"/>
  <c r="AV232" i="4"/>
  <c r="AF232" i="4"/>
  <c r="AZ231" i="4"/>
  <c r="AJ231" i="4"/>
  <c r="AM231" i="4" s="1"/>
  <c r="AN230" i="4"/>
  <c r="AR229" i="4"/>
  <c r="AS229" i="4" s="1"/>
  <c r="AV228" i="4"/>
  <c r="AF228" i="4"/>
  <c r="AZ227" i="4"/>
  <c r="AJ227" i="4"/>
  <c r="AN226" i="4"/>
  <c r="AR225" i="4"/>
  <c r="AV224" i="4"/>
  <c r="AF224" i="4"/>
  <c r="AZ223" i="4"/>
  <c r="BA223" i="4" s="1"/>
  <c r="AJ223" i="4"/>
  <c r="AN222" i="4"/>
  <c r="AR221" i="4"/>
  <c r="AV220" i="4"/>
  <c r="AF220" i="4"/>
  <c r="AZ219" i="4"/>
  <c r="AJ219" i="4"/>
  <c r="AZ218" i="4"/>
  <c r="AV218" i="4"/>
  <c r="AR218" i="4"/>
  <c r="AN218" i="4"/>
  <c r="AJ218" i="4"/>
  <c r="AF218" i="4"/>
  <c r="AU204" i="4"/>
  <c r="AD202" i="4"/>
  <c r="AD201" i="4"/>
  <c r="AQ200" i="4"/>
  <c r="AP200" i="4"/>
  <c r="AT195" i="4"/>
  <c r="AS195" i="4"/>
  <c r="AL193" i="4"/>
  <c r="AK193" i="4"/>
  <c r="AD190" i="4"/>
  <c r="AD189" i="4"/>
  <c r="BC178" i="4"/>
  <c r="BB178" i="4"/>
  <c r="AI175" i="4"/>
  <c r="AH175" i="4"/>
  <c r="BC166" i="4"/>
  <c r="BB166" i="4"/>
  <c r="AV163" i="4"/>
  <c r="AR162" i="4"/>
  <c r="AR166" i="4"/>
  <c r="AR170" i="4"/>
  <c r="AR174" i="4"/>
  <c r="AR178" i="4"/>
  <c r="AR158" i="4"/>
  <c r="AR161" i="4"/>
  <c r="AR165" i="4"/>
  <c r="AS165" i="4" s="1"/>
  <c r="AR169" i="4"/>
  <c r="AR173" i="4"/>
  <c r="AR177" i="4"/>
  <c r="AR159" i="4"/>
  <c r="AR163" i="4"/>
  <c r="AR167" i="4"/>
  <c r="AR171" i="4"/>
  <c r="AR175" i="4"/>
  <c r="AR179" i="4"/>
  <c r="AP128" i="4"/>
  <c r="AQ128" i="4"/>
  <c r="AZ329" i="4"/>
  <c r="AD329" i="4"/>
  <c r="AV326" i="4"/>
  <c r="AZ325" i="4"/>
  <c r="AD325" i="4"/>
  <c r="AV322" i="4"/>
  <c r="AZ321" i="4"/>
  <c r="AD321" i="4"/>
  <c r="AR319" i="4"/>
  <c r="AV318" i="4"/>
  <c r="AZ317" i="4"/>
  <c r="AD317" i="4"/>
  <c r="AR315" i="4"/>
  <c r="AV314" i="4"/>
  <c r="AZ313" i="4"/>
  <c r="AD313" i="4"/>
  <c r="AN312" i="4"/>
  <c r="AR311" i="4"/>
  <c r="AV310" i="4"/>
  <c r="AZ309" i="4"/>
  <c r="AJ309" i="4"/>
  <c r="AL309" i="4" s="1"/>
  <c r="AD298" i="4"/>
  <c r="AD294" i="4"/>
  <c r="AD290" i="4"/>
  <c r="AD286" i="4"/>
  <c r="AZ271" i="4"/>
  <c r="AV268" i="4"/>
  <c r="AZ267" i="4"/>
  <c r="AR265" i="4"/>
  <c r="AV264" i="4"/>
  <c r="AZ263" i="4"/>
  <c r="AD263" i="4"/>
  <c r="AN262" i="4"/>
  <c r="AR261" i="4"/>
  <c r="AV260" i="4"/>
  <c r="AZ259" i="4"/>
  <c r="AD259" i="4"/>
  <c r="AN258" i="4"/>
  <c r="AR257" i="4"/>
  <c r="AV256" i="4"/>
  <c r="AZ255" i="4"/>
  <c r="AJ255" i="4"/>
  <c r="AD255" i="4"/>
  <c r="AN254" i="4"/>
  <c r="AR253" i="4"/>
  <c r="AD251" i="4"/>
  <c r="AV241" i="4"/>
  <c r="AF241" i="4"/>
  <c r="AZ240" i="4"/>
  <c r="AJ240" i="4"/>
  <c r="AN239" i="4"/>
  <c r="AR238" i="4"/>
  <c r="AV237" i="4"/>
  <c r="AW237" i="4" s="1"/>
  <c r="AF237" i="4"/>
  <c r="AZ236" i="4"/>
  <c r="AJ236" i="4"/>
  <c r="AN235" i="4"/>
  <c r="AR234" i="4"/>
  <c r="AV233" i="4"/>
  <c r="AF233" i="4"/>
  <c r="AZ232" i="4"/>
  <c r="AJ232" i="4"/>
  <c r="AN231" i="4"/>
  <c r="AR230" i="4"/>
  <c r="AV229" i="4"/>
  <c r="AF229" i="4"/>
  <c r="AZ228" i="4"/>
  <c r="BA228" i="4" s="1"/>
  <c r="AJ228" i="4"/>
  <c r="AN227" i="4"/>
  <c r="AR226" i="4"/>
  <c r="AV225" i="4"/>
  <c r="AF225" i="4"/>
  <c r="AZ224" i="4"/>
  <c r="AJ224" i="4"/>
  <c r="AN223" i="4"/>
  <c r="AQ211" i="4"/>
  <c r="BA209" i="4"/>
  <c r="AT206" i="4"/>
  <c r="AM204" i="4"/>
  <c r="AU203" i="4"/>
  <c r="AT203" i="4"/>
  <c r="AL202" i="4"/>
  <c r="AM201" i="4"/>
  <c r="AL201" i="4"/>
  <c r="AX199" i="4"/>
  <c r="AY198" i="4"/>
  <c r="AW198" i="4"/>
  <c r="AT192" i="4"/>
  <c r="BB190" i="4"/>
  <c r="AK190" i="4"/>
  <c r="AL189" i="4"/>
  <c r="AK189" i="4"/>
  <c r="AL188" i="4"/>
  <c r="AS181" i="4"/>
  <c r="AR180" i="4"/>
  <c r="AV175" i="4"/>
  <c r="AR172" i="4"/>
  <c r="AI171" i="4"/>
  <c r="AH171" i="4"/>
  <c r="AZ162" i="4"/>
  <c r="AV159" i="4"/>
  <c r="AY159" i="4" s="1"/>
  <c r="AJ181" i="4"/>
  <c r="AD181" i="4"/>
  <c r="AN180" i="4"/>
  <c r="AF178" i="4"/>
  <c r="AJ177" i="4"/>
  <c r="AD177" i="4"/>
  <c r="AN176" i="4"/>
  <c r="AF174" i="4"/>
  <c r="AJ173" i="4"/>
  <c r="AL173" i="4" s="1"/>
  <c r="AD173" i="4"/>
  <c r="AN172" i="4"/>
  <c r="AF170" i="4"/>
  <c r="AJ169" i="4"/>
  <c r="AD169" i="4"/>
  <c r="AN168" i="4"/>
  <c r="AF166" i="4"/>
  <c r="AJ165" i="4"/>
  <c r="AD165" i="4"/>
  <c r="AN164" i="4"/>
  <c r="AF162" i="4"/>
  <c r="AJ161" i="4"/>
  <c r="AD161" i="4"/>
  <c r="AN160" i="4"/>
  <c r="AZ150" i="4"/>
  <c r="AP150" i="4"/>
  <c r="AL147" i="4"/>
  <c r="AZ146" i="4"/>
  <c r="AO146" i="4"/>
  <c r="AT145" i="4"/>
  <c r="BA143" i="4"/>
  <c r="AV143" i="4"/>
  <c r="AZ142" i="4"/>
  <c r="AP142" i="4"/>
  <c r="AT141" i="4"/>
  <c r="AR140" i="4"/>
  <c r="AV139" i="4"/>
  <c r="AZ138" i="4"/>
  <c r="BB138" i="4" s="1"/>
  <c r="AW136" i="4"/>
  <c r="AR136" i="4"/>
  <c r="AV135" i="4"/>
  <c r="AZ134" i="4"/>
  <c r="AO134" i="4"/>
  <c r="AT133" i="4"/>
  <c r="AN133" i="4"/>
  <c r="AP133" i="4" s="1"/>
  <c r="AR132" i="4"/>
  <c r="AV131" i="4"/>
  <c r="AZ130" i="4"/>
  <c r="AN129" i="4"/>
  <c r="AG121" i="4"/>
  <c r="AP119" i="4"/>
  <c r="AW117" i="4"/>
  <c r="BB116" i="4"/>
  <c r="AO115" i="4"/>
  <c r="AD115" i="4"/>
  <c r="AT114" i="4"/>
  <c r="AP111" i="4"/>
  <c r="AD111" i="4"/>
  <c r="AX109" i="4"/>
  <c r="AP108" i="4"/>
  <c r="AW107" i="4"/>
  <c r="AQ107" i="4"/>
  <c r="BB105" i="4"/>
  <c r="AO105" i="4"/>
  <c r="AP100" i="4"/>
  <c r="AT98" i="4"/>
  <c r="AP89" i="4"/>
  <c r="AQ89" i="4"/>
  <c r="BB86" i="4"/>
  <c r="BC86" i="4"/>
  <c r="AP77" i="4"/>
  <c r="AQ77" i="4"/>
  <c r="AS76" i="4"/>
  <c r="AT76" i="4"/>
  <c r="BA71" i="4"/>
  <c r="BB71" i="4"/>
  <c r="AW41" i="4"/>
  <c r="AX41" i="4"/>
  <c r="AD99" i="4"/>
  <c r="AD103" i="4"/>
  <c r="AD107" i="4"/>
  <c r="AJ179" i="4"/>
  <c r="AN178" i="4"/>
  <c r="AJ175" i="4"/>
  <c r="AN174" i="4"/>
  <c r="AF172" i="4"/>
  <c r="AI172" i="4" s="1"/>
  <c r="AJ171" i="4"/>
  <c r="AN170" i="4"/>
  <c r="AF168" i="4"/>
  <c r="AJ167" i="4"/>
  <c r="AN166" i="4"/>
  <c r="AF164" i="4"/>
  <c r="AI164" i="4" s="1"/>
  <c r="AJ163" i="4"/>
  <c r="AN162" i="4"/>
  <c r="AF160" i="4"/>
  <c r="AJ159" i="4"/>
  <c r="AN158" i="4"/>
  <c r="AJ158" i="4"/>
  <c r="AF158" i="4"/>
  <c r="AD109" i="4"/>
  <c r="AS107" i="4"/>
  <c r="AD105" i="4"/>
  <c r="AD104" i="4"/>
  <c r="AP103" i="4"/>
  <c r="AQ99" i="4"/>
  <c r="AP99" i="4"/>
  <c r="AD98" i="4"/>
  <c r="AW83" i="4"/>
  <c r="AX83" i="4"/>
  <c r="AX79" i="4"/>
  <c r="AY79" i="4"/>
  <c r="AT42" i="4"/>
  <c r="AU42" i="4"/>
  <c r="AZ195" i="4"/>
  <c r="BB195" i="4" s="1"/>
  <c r="AF181" i="4"/>
  <c r="AJ180" i="4"/>
  <c r="AN179" i="4"/>
  <c r="AF177" i="4"/>
  <c r="AJ176" i="4"/>
  <c r="AN175" i="4"/>
  <c r="AO175" i="4" s="1"/>
  <c r="AF173" i="4"/>
  <c r="AJ172" i="4"/>
  <c r="AN171" i="4"/>
  <c r="AF169" i="4"/>
  <c r="AJ168" i="4"/>
  <c r="AN167" i="4"/>
  <c r="AF165" i="4"/>
  <c r="AJ164" i="4"/>
  <c r="AN163" i="4"/>
  <c r="AZ141" i="4"/>
  <c r="BB141" i="4" s="1"/>
  <c r="AV138" i="4"/>
  <c r="AZ137" i="4"/>
  <c r="AV134" i="4"/>
  <c r="AZ133" i="4"/>
  <c r="AR131" i="4"/>
  <c r="AV130" i="4"/>
  <c r="AW130" i="4" s="1"/>
  <c r="AZ129" i="4"/>
  <c r="AD100" i="4"/>
  <c r="AY90" i="4"/>
  <c r="AW90" i="4"/>
  <c r="AH79" i="4"/>
  <c r="AI79" i="4"/>
  <c r="AX8" i="4"/>
  <c r="AY8" i="4"/>
  <c r="AG8" i="4"/>
  <c r="AH8" i="4"/>
  <c r="AZ103" i="4"/>
  <c r="AV100" i="4"/>
  <c r="AX100" i="4" s="1"/>
  <c r="AZ99" i="4"/>
  <c r="AD88" i="4"/>
  <c r="AX86" i="4"/>
  <c r="AD84" i="4"/>
  <c r="AT83" i="4"/>
  <c r="AH82" i="4"/>
  <c r="AD80" i="4"/>
  <c r="AO76" i="4"/>
  <c r="AD76" i="4"/>
  <c r="AH74" i="4"/>
  <c r="AD72" i="4"/>
  <c r="AK69" i="4"/>
  <c r="AZ61" i="4"/>
  <c r="AV58" i="4"/>
  <c r="AZ57" i="4"/>
  <c r="AS56" i="4"/>
  <c r="AR55" i="4"/>
  <c r="AV54" i="4"/>
  <c r="AZ53" i="4"/>
  <c r="AW51" i="4"/>
  <c r="AR51" i="4"/>
  <c r="AV50" i="4"/>
  <c r="AX50" i="4" s="1"/>
  <c r="AZ49" i="4"/>
  <c r="AS48" i="4"/>
  <c r="AN48" i="4"/>
  <c r="AR47" i="4"/>
  <c r="AV46" i="4"/>
  <c r="AZ45" i="4"/>
  <c r="AS44" i="4"/>
  <c r="AN44" i="4"/>
  <c r="AR43" i="4"/>
  <c r="AV42" i="4"/>
  <c r="AZ41" i="4"/>
  <c r="AJ41" i="4"/>
  <c r="AL41" i="4" s="1"/>
  <c r="AN40" i="4"/>
  <c r="AR39" i="4"/>
  <c r="AX29" i="4"/>
  <c r="AH29" i="4"/>
  <c r="AM28" i="4"/>
  <c r="AY25" i="4"/>
  <c r="AI25" i="4"/>
  <c r="AM24" i="4"/>
  <c r="AI21" i="4"/>
  <c r="BC20" i="4"/>
  <c r="AM20" i="4"/>
  <c r="AZ18" i="4"/>
  <c r="AX17" i="4"/>
  <c r="BC16" i="4"/>
  <c r="AV15" i="4"/>
  <c r="AZ14" i="4"/>
  <c r="AT14" i="4"/>
  <c r="BB12" i="4"/>
  <c r="AL12" i="4"/>
  <c r="AV11" i="4"/>
  <c r="AZ10" i="4"/>
  <c r="BB10" i="4" s="1"/>
  <c r="AH9" i="4"/>
  <c r="BZ85" i="9"/>
  <c r="CC78" i="9"/>
  <c r="BY78" i="9"/>
  <c r="BZ78" i="9"/>
  <c r="BQ74" i="9"/>
  <c r="BM74" i="9"/>
  <c r="BB71" i="9"/>
  <c r="BE71" i="9"/>
  <c r="BN66" i="9"/>
  <c r="BQ66" i="9"/>
  <c r="CC59" i="9"/>
  <c r="BY59" i="9"/>
  <c r="BZ59" i="9"/>
  <c r="AI45" i="9"/>
  <c r="AJ45" i="9"/>
  <c r="AV18" i="9"/>
  <c r="AS51" i="9"/>
  <c r="X18" i="9"/>
  <c r="U51" i="9"/>
  <c r="AU16" i="9"/>
  <c r="AS49" i="9"/>
  <c r="AD73" i="4"/>
  <c r="AD69" i="4"/>
  <c r="AZ23" i="4"/>
  <c r="AZ19" i="4"/>
  <c r="AV16" i="4"/>
  <c r="AZ15" i="4"/>
  <c r="AR13" i="4"/>
  <c r="AV12" i="4"/>
  <c r="AW12" i="4" s="1"/>
  <c r="AZ11" i="4"/>
  <c r="AR9" i="4"/>
  <c r="AD8" i="4"/>
  <c r="BN78" i="9"/>
  <c r="BQ78" i="9"/>
  <c r="BT78" i="9" s="1"/>
  <c r="BA66" i="9"/>
  <c r="BE66" i="9"/>
  <c r="BG66" i="9" s="1"/>
  <c r="AZ39" i="4"/>
  <c r="AZ38" i="4"/>
  <c r="BA78" i="9"/>
  <c r="BE78" i="9"/>
  <c r="BY73" i="9"/>
  <c r="CC73" i="9"/>
  <c r="AZ91" i="4"/>
  <c r="AD91" i="4"/>
  <c r="AR89" i="4"/>
  <c r="AV88" i="4"/>
  <c r="AZ87" i="4"/>
  <c r="AD87" i="4"/>
  <c r="AR85" i="4"/>
  <c r="AV84" i="4"/>
  <c r="AY84" i="4" s="1"/>
  <c r="AZ83" i="4"/>
  <c r="BA83" i="4" s="1"/>
  <c r="AD83" i="4"/>
  <c r="AN82" i="4"/>
  <c r="AR81" i="4"/>
  <c r="AV80" i="4"/>
  <c r="AZ79" i="4"/>
  <c r="AJ79" i="4"/>
  <c r="AD79" i="4"/>
  <c r="AN78" i="4"/>
  <c r="AR77" i="4"/>
  <c r="AV76" i="4"/>
  <c r="AZ75" i="4"/>
  <c r="AJ75" i="4"/>
  <c r="AK75" i="4" s="1"/>
  <c r="AD75" i="4"/>
  <c r="AN74" i="4"/>
  <c r="AR73" i="4"/>
  <c r="AT73" i="4" s="1"/>
  <c r="AD71" i="4"/>
  <c r="AV61" i="4"/>
  <c r="AZ60" i="4"/>
  <c r="AV57" i="4"/>
  <c r="AZ56" i="4"/>
  <c r="BC56" i="4" s="1"/>
  <c r="AR54" i="4"/>
  <c r="AV53" i="4"/>
  <c r="AZ52" i="4"/>
  <c r="AR50" i="4"/>
  <c r="AT50" i="4" s="1"/>
  <c r="AV49" i="4"/>
  <c r="AZ48" i="4"/>
  <c r="AN47" i="4"/>
  <c r="AR46" i="4"/>
  <c r="AV45" i="4"/>
  <c r="AZ44" i="4"/>
  <c r="AJ44" i="4"/>
  <c r="AK44" i="4" s="1"/>
  <c r="AN43" i="4"/>
  <c r="AO43" i="4" s="1"/>
  <c r="AV30" i="4"/>
  <c r="AZ29" i="4"/>
  <c r="AR27" i="4"/>
  <c r="AV26" i="4"/>
  <c r="AZ25" i="4"/>
  <c r="AN24" i="4"/>
  <c r="AR23" i="4"/>
  <c r="AV22" i="4"/>
  <c r="AW22" i="4" s="1"/>
  <c r="AZ21" i="4"/>
  <c r="AD21" i="4"/>
  <c r="AN20" i="4"/>
  <c r="AR19" i="4"/>
  <c r="AV18" i="4"/>
  <c r="AZ17" i="4"/>
  <c r="AJ17" i="4"/>
  <c r="AK17" i="4" s="1"/>
  <c r="AD17" i="4"/>
  <c r="AN16" i="4"/>
  <c r="AR15" i="4"/>
  <c r="AV14" i="4"/>
  <c r="AF14" i="4"/>
  <c r="AZ13" i="4"/>
  <c r="AJ13" i="4"/>
  <c r="AD13" i="4"/>
  <c r="AN12" i="4"/>
  <c r="AP12" i="4" s="1"/>
  <c r="AR11" i="4"/>
  <c r="AV10" i="4"/>
  <c r="AF10" i="4"/>
  <c r="AZ9" i="4"/>
  <c r="BB9" i="4" s="1"/>
  <c r="AJ9" i="4"/>
  <c r="AC74" i="9"/>
  <c r="AG74" i="9"/>
  <c r="AI74" i="9" s="1"/>
  <c r="BN71" i="9"/>
  <c r="BQ71" i="9"/>
  <c r="CC66" i="9"/>
  <c r="BY66" i="9"/>
  <c r="BZ66" i="9"/>
  <c r="CE52" i="9"/>
  <c r="CF52" i="9"/>
  <c r="BB75" i="9"/>
  <c r="BY74" i="9"/>
  <c r="BZ52" i="9"/>
  <c r="CC51" i="9"/>
  <c r="BQ51" i="9"/>
  <c r="BT51" i="9" s="1"/>
  <c r="BE51" i="9"/>
  <c r="CC50" i="9"/>
  <c r="BQ50" i="9"/>
  <c r="BE50" i="9"/>
  <c r="AG50" i="9"/>
  <c r="AJ50" i="9" s="1"/>
  <c r="CC49" i="9"/>
  <c r="CF49" i="9" s="1"/>
  <c r="BQ49" i="9"/>
  <c r="BE49" i="9"/>
  <c r="AG49" i="9"/>
  <c r="AG48" i="9"/>
  <c r="CC47" i="9"/>
  <c r="BQ47" i="9"/>
  <c r="BS47" i="9" s="1"/>
  <c r="BE47" i="9"/>
  <c r="BQ46" i="9"/>
  <c r="BE46" i="9"/>
  <c r="AG46" i="9"/>
  <c r="AD45" i="9"/>
  <c r="BE44" i="9"/>
  <c r="AG44" i="9"/>
  <c r="CC43" i="9"/>
  <c r="CF43" i="9" s="1"/>
  <c r="AG43" i="9"/>
  <c r="CC42" i="9"/>
  <c r="CF42" i="9" s="1"/>
  <c r="BQ39" i="9"/>
  <c r="BE39" i="9"/>
  <c r="BH39" i="9" s="1"/>
  <c r="AG39" i="9"/>
  <c r="CF33" i="9"/>
  <c r="BE12" i="9"/>
  <c r="U11" i="9"/>
  <c r="AG59" i="9"/>
  <c r="BY52" i="9"/>
  <c r="BE52" i="9"/>
  <c r="CC45" i="9"/>
  <c r="AC45" i="9"/>
  <c r="CC38" i="9"/>
  <c r="CC11" i="9"/>
  <c r="CF11" i="9" s="1"/>
  <c r="AG11" i="9"/>
  <c r="BQ10" i="9"/>
  <c r="U10" i="9"/>
  <c r="W10" i="9" s="1"/>
  <c r="BE9" i="9"/>
  <c r="BH9" i="9" s="1"/>
  <c r="AS8" i="9"/>
  <c r="CC7" i="9"/>
  <c r="AS7" i="9"/>
  <c r="U7" i="9"/>
  <c r="X7" i="9" s="1"/>
  <c r="CC6" i="9"/>
  <c r="BE6" i="9"/>
  <c r="AG6" i="9"/>
  <c r="BY5" i="9"/>
  <c r="CC5" i="9"/>
  <c r="AG5" i="9"/>
  <c r="AC5" i="9"/>
  <c r="F57" i="49"/>
  <c r="B115" i="56"/>
  <c r="B6" i="60"/>
  <c r="BG12" i="9"/>
  <c r="BT46" i="9"/>
  <c r="BS49" i="9"/>
  <c r="BS50" i="9"/>
  <c r="BC9" i="4"/>
  <c r="AO12" i="4"/>
  <c r="AS19" i="4"/>
  <c r="AT19" i="4"/>
  <c r="AX22" i="4"/>
  <c r="AP43" i="4"/>
  <c r="AS46" i="4"/>
  <c r="AT46" i="4"/>
  <c r="AL75" i="4"/>
  <c r="AQ78" i="4"/>
  <c r="AP78" i="4"/>
  <c r="BB83" i="4"/>
  <c r="BC87" i="4"/>
  <c r="BB87" i="4"/>
  <c r="BA91" i="4"/>
  <c r="BB91" i="4"/>
  <c r="BG78" i="9"/>
  <c r="BB11" i="4"/>
  <c r="BA11" i="4"/>
  <c r="AX16" i="4"/>
  <c r="AW16" i="4"/>
  <c r="BH71" i="9"/>
  <c r="AT43" i="4"/>
  <c r="AU43" i="4"/>
  <c r="AP48" i="4"/>
  <c r="AQ48" i="4"/>
  <c r="BA53" i="4"/>
  <c r="BB53" i="4"/>
  <c r="BA137" i="4"/>
  <c r="BB137" i="4"/>
  <c r="AK164" i="4"/>
  <c r="AL164" i="4"/>
  <c r="AH169" i="4"/>
  <c r="AI169" i="4"/>
  <c r="AL180" i="4"/>
  <c r="AM180" i="4"/>
  <c r="AL159" i="4"/>
  <c r="AK159" i="4"/>
  <c r="AQ170" i="4"/>
  <c r="AP170" i="4"/>
  <c r="AM175" i="4"/>
  <c r="AL175" i="4"/>
  <c r="AO133" i="4"/>
  <c r="AS136" i="4"/>
  <c r="AT136" i="4"/>
  <c r="BA138" i="4"/>
  <c r="BA150" i="4"/>
  <c r="BB150" i="4"/>
  <c r="AW159" i="4"/>
  <c r="AT180" i="4"/>
  <c r="AS180" i="4"/>
  <c r="BB224" i="4"/>
  <c r="BC224" i="4"/>
  <c r="AP227" i="4"/>
  <c r="AQ227" i="4"/>
  <c r="AX229" i="4"/>
  <c r="AY229" i="4"/>
  <c r="BB232" i="4"/>
  <c r="BC232" i="4"/>
  <c r="AO235" i="4"/>
  <c r="AP235" i="4"/>
  <c r="BA240" i="4"/>
  <c r="BB240" i="4"/>
  <c r="AT253" i="4"/>
  <c r="AU253" i="4"/>
  <c r="BB255" i="4"/>
  <c r="BC255" i="4"/>
  <c r="AP262" i="4"/>
  <c r="AQ262" i="4"/>
  <c r="AT265" i="4"/>
  <c r="AU265" i="4"/>
  <c r="AO312" i="4"/>
  <c r="AP312" i="4"/>
  <c r="AS315" i="4"/>
  <c r="AT315" i="4"/>
  <c r="AS319" i="4"/>
  <c r="AT319" i="4"/>
  <c r="BB329" i="4"/>
  <c r="BA329" i="4"/>
  <c r="AT175" i="4"/>
  <c r="AU175" i="4"/>
  <c r="AT159" i="4"/>
  <c r="AU159" i="4"/>
  <c r="AT165" i="4"/>
  <c r="AT174" i="4"/>
  <c r="AU174" i="4"/>
  <c r="AY163" i="4"/>
  <c r="AX163" i="4"/>
  <c r="AL218" i="4"/>
  <c r="AK218" i="4"/>
  <c r="BC218" i="4"/>
  <c r="BB218" i="4"/>
  <c r="AW220" i="4"/>
  <c r="AX220" i="4"/>
  <c r="AO226" i="4"/>
  <c r="AP226" i="4"/>
  <c r="AW228" i="4"/>
  <c r="AY228" i="4"/>
  <c r="BB231" i="4"/>
  <c r="BC231" i="4"/>
  <c r="AX236" i="4"/>
  <c r="AY236" i="4"/>
  <c r="BA239" i="4"/>
  <c r="BB239" i="4"/>
  <c r="AX170" i="4"/>
  <c r="AY170" i="4"/>
  <c r="AX160" i="4"/>
  <c r="AW160" i="4"/>
  <c r="AW173" i="4"/>
  <c r="AX173" i="4"/>
  <c r="BA173" i="4"/>
  <c r="BB173" i="4"/>
  <c r="BB179" i="4"/>
  <c r="BA179" i="4"/>
  <c r="BB176" i="4"/>
  <c r="BC176" i="4"/>
  <c r="BB160" i="4"/>
  <c r="BC160" i="4"/>
  <c r="AP220" i="4"/>
  <c r="AQ220" i="4"/>
  <c r="BA221" i="4"/>
  <c r="BB221" i="4"/>
  <c r="AO224" i="4"/>
  <c r="AP224" i="4"/>
  <c r="BB225" i="4"/>
  <c r="BC225" i="4"/>
  <c r="AP228" i="4"/>
  <c r="AQ228" i="4"/>
  <c r="AP232" i="4"/>
  <c r="AQ232" i="4"/>
  <c r="AO236" i="4"/>
  <c r="AP236" i="4"/>
  <c r="BB237" i="4"/>
  <c r="BC237" i="4"/>
  <c r="AP240" i="4"/>
  <c r="AQ240" i="4"/>
  <c r="BA241" i="4"/>
  <c r="BB241" i="4"/>
  <c r="AL344" i="4"/>
  <c r="AK344" i="4"/>
  <c r="AW400" i="4"/>
  <c r="AX400" i="4"/>
  <c r="AK434" i="4"/>
  <c r="AL434" i="4"/>
  <c r="AS436" i="4"/>
  <c r="AT436" i="4"/>
  <c r="AH439" i="4"/>
  <c r="AI439" i="4"/>
  <c r="AL442" i="4"/>
  <c r="AM442" i="4"/>
  <c r="AT444" i="4"/>
  <c r="AU444" i="4"/>
  <c r="AG447" i="4"/>
  <c r="AH447" i="4"/>
  <c r="AL450" i="4"/>
  <c r="AM450" i="4"/>
  <c r="AK465" i="4"/>
  <c r="AL465" i="4"/>
  <c r="AS467" i="4"/>
  <c r="AT467" i="4"/>
  <c r="BA469" i="4"/>
  <c r="BB469" i="4"/>
  <c r="AH474" i="4"/>
  <c r="AI474" i="4"/>
  <c r="AW478" i="4"/>
  <c r="AX478" i="4"/>
  <c r="AT521" i="4"/>
  <c r="AU521" i="4"/>
  <c r="AX524" i="4"/>
  <c r="AY524" i="4"/>
  <c r="AY528" i="4"/>
  <c r="AT533" i="4"/>
  <c r="AU533" i="4"/>
  <c r="AT373" i="4"/>
  <c r="AU373" i="4"/>
  <c r="AS377" i="4"/>
  <c r="AT377" i="4"/>
  <c r="BA379" i="4"/>
  <c r="AT381" i="4"/>
  <c r="AU381" i="4"/>
  <c r="AQ428" i="4"/>
  <c r="AP428" i="4"/>
  <c r="AK429" i="4"/>
  <c r="AL429" i="4"/>
  <c r="AH434" i="4"/>
  <c r="AI434" i="4"/>
  <c r="AK437" i="4"/>
  <c r="AL437" i="4"/>
  <c r="AS439" i="4"/>
  <c r="AT439" i="4"/>
  <c r="AL445" i="4"/>
  <c r="AM445" i="4"/>
  <c r="AS447" i="4"/>
  <c r="AT447" i="4"/>
  <c r="AG450" i="4"/>
  <c r="AH450" i="4"/>
  <c r="AK460" i="4"/>
  <c r="AL460" i="4"/>
  <c r="AK464" i="4"/>
  <c r="AL464" i="4"/>
  <c r="AK468" i="4"/>
  <c r="AL468" i="4"/>
  <c r="AL472" i="4"/>
  <c r="AM472" i="4"/>
  <c r="AL476" i="4"/>
  <c r="AM476" i="4"/>
  <c r="AL480" i="4"/>
  <c r="AM480" i="4"/>
  <c r="BC495" i="4"/>
  <c r="BB495" i="4"/>
  <c r="AT429" i="4"/>
  <c r="AK431" i="4"/>
  <c r="AL431" i="4"/>
  <c r="AT433" i="4"/>
  <c r="AU433" i="4"/>
  <c r="AK435" i="4"/>
  <c r="AL435" i="4"/>
  <c r="AS437" i="4"/>
  <c r="AT437" i="4"/>
  <c r="AK439" i="4"/>
  <c r="AL439" i="4"/>
  <c r="AU441" i="4"/>
  <c r="AL443" i="4"/>
  <c r="AM443" i="4"/>
  <c r="AT445" i="4"/>
  <c r="AU445" i="4"/>
  <c r="AL447" i="4"/>
  <c r="AM447" i="4"/>
  <c r="AS449" i="4"/>
  <c r="AL451" i="4"/>
  <c r="AM451" i="4"/>
  <c r="AL548" i="4"/>
  <c r="AK548" i="4"/>
  <c r="AS556" i="4"/>
  <c r="AT556" i="4"/>
  <c r="BB550" i="4"/>
  <c r="BC550" i="4"/>
  <c r="AO644" i="4"/>
  <c r="AP644" i="4"/>
  <c r="AW646" i="4"/>
  <c r="AX646" i="4"/>
  <c r="BA649" i="4"/>
  <c r="BB649" i="4"/>
  <c r="AP652" i="4"/>
  <c r="AQ652" i="4"/>
  <c r="AW654" i="4"/>
  <c r="AY654" i="4"/>
  <c r="BB657" i="4"/>
  <c r="BC657" i="4"/>
  <c r="AP660" i="4"/>
  <c r="AQ660" i="4"/>
  <c r="AL552" i="4"/>
  <c r="AK552" i="4"/>
  <c r="AK555" i="4"/>
  <c r="AL555" i="4"/>
  <c r="AP558" i="4"/>
  <c r="AQ558" i="4"/>
  <c r="AH560" i="4"/>
  <c r="AI560" i="4"/>
  <c r="AT561" i="4"/>
  <c r="AU561" i="4"/>
  <c r="BB567" i="4"/>
  <c r="BC567" i="4"/>
  <c r="AS569" i="4"/>
  <c r="AT569" i="4"/>
  <c r="BB609" i="4"/>
  <c r="BC609" i="4"/>
  <c r="AT611" i="4"/>
  <c r="AU611" i="4"/>
  <c r="AW618" i="4"/>
  <c r="AY618" i="4"/>
  <c r="BB621" i="4"/>
  <c r="BC621" i="4"/>
  <c r="AP639" i="4"/>
  <c r="AQ639" i="4"/>
  <c r="BB640" i="4"/>
  <c r="BC640" i="4"/>
  <c r="AO643" i="4"/>
  <c r="AP643" i="4"/>
  <c r="AP647" i="4"/>
  <c r="AQ647" i="4"/>
  <c r="BA648" i="4"/>
  <c r="BB648" i="4"/>
  <c r="AP651" i="4"/>
  <c r="AQ651" i="4"/>
  <c r="BB652" i="4"/>
  <c r="BC652" i="4"/>
  <c r="AO655" i="4"/>
  <c r="AP655" i="4"/>
  <c r="BB656" i="4"/>
  <c r="BC656" i="4"/>
  <c r="AP659" i="4"/>
  <c r="AQ659" i="4"/>
  <c r="BA660" i="4"/>
  <c r="BB660" i="4"/>
  <c r="AO674" i="4"/>
  <c r="AP674" i="4"/>
  <c r="AH676" i="4"/>
  <c r="AI676" i="4"/>
  <c r="AX680" i="4"/>
  <c r="AY680" i="4"/>
  <c r="AL683" i="4"/>
  <c r="AM683" i="4"/>
  <c r="AT685" i="4"/>
  <c r="AU685" i="4"/>
  <c r="BB687" i="4"/>
  <c r="BC687" i="4"/>
  <c r="AP690" i="4"/>
  <c r="AQ690" i="4"/>
  <c r="AG730" i="4"/>
  <c r="AH730" i="4"/>
  <c r="AK733" i="4"/>
  <c r="AL733" i="4"/>
  <c r="AW742" i="4"/>
  <c r="AX742" i="4"/>
  <c r="AI555" i="4"/>
  <c r="AH555" i="4"/>
  <c r="AP549" i="4"/>
  <c r="AQ549" i="4"/>
  <c r="BC549" i="4"/>
  <c r="BC585" i="4"/>
  <c r="BB585" i="4"/>
  <c r="AK638" i="4"/>
  <c r="AL638" i="4"/>
  <c r="BB638" i="4"/>
  <c r="BC638" i="4"/>
  <c r="AX640" i="4"/>
  <c r="AW640" i="4"/>
  <c r="BB643" i="4"/>
  <c r="BA643" i="4"/>
  <c r="AP646" i="4"/>
  <c r="AO646" i="4"/>
  <c r="AY648" i="4"/>
  <c r="AW648" i="4"/>
  <c r="BC651" i="4"/>
  <c r="BB651" i="4"/>
  <c r="AP654" i="4"/>
  <c r="AO654" i="4"/>
  <c r="AY656" i="4"/>
  <c r="AX656" i="4"/>
  <c r="BB659" i="4"/>
  <c r="BA659" i="4"/>
  <c r="AG671" i="4"/>
  <c r="AU672" i="4"/>
  <c r="AT672" i="4"/>
  <c r="AI675" i="4"/>
  <c r="AH675" i="4"/>
  <c r="AT676" i="4"/>
  <c r="AS676" i="4"/>
  <c r="AI679" i="4"/>
  <c r="AH679" i="4"/>
  <c r="AU680" i="4"/>
  <c r="AT680" i="4"/>
  <c r="AU684" i="4"/>
  <c r="AT684" i="4"/>
  <c r="BA738" i="4"/>
  <c r="BB738" i="4"/>
  <c r="BA750" i="4"/>
  <c r="BB750" i="4"/>
  <c r="AW766" i="4"/>
  <c r="AX766" i="4"/>
  <c r="AT771" i="4"/>
  <c r="AU771" i="4"/>
  <c r="AW778" i="4"/>
  <c r="AX778" i="4"/>
  <c r="BA781" i="4"/>
  <c r="BB781" i="4"/>
  <c r="AY800" i="4"/>
  <c r="AO852" i="4"/>
  <c r="AP852" i="4"/>
  <c r="BB734" i="4"/>
  <c r="BC734" i="4"/>
  <c r="BB739" i="4"/>
  <c r="BA739" i="4"/>
  <c r="AP758" i="4"/>
  <c r="AQ758" i="4"/>
  <c r="AX760" i="4"/>
  <c r="AW760" i="4"/>
  <c r="AT765" i="4"/>
  <c r="AS765" i="4"/>
  <c r="BB767" i="4"/>
  <c r="BA767" i="4"/>
  <c r="AQ770" i="4"/>
  <c r="AP770" i="4"/>
  <c r="AX772" i="4"/>
  <c r="AW772" i="4"/>
  <c r="BB775" i="4"/>
  <c r="BA775" i="4"/>
  <c r="AP778" i="4"/>
  <c r="AO778" i="4"/>
  <c r="AY780" i="4"/>
  <c r="AW780" i="4"/>
  <c r="BB728" i="4"/>
  <c r="BC728" i="4"/>
  <c r="B116" i="56"/>
  <c r="M60" i="56"/>
  <c r="AJ5" i="9"/>
  <c r="AI5" i="9"/>
  <c r="AI6" i="9"/>
  <c r="AV7" i="9"/>
  <c r="AS40" i="9"/>
  <c r="CF38" i="9"/>
  <c r="CE38" i="9"/>
  <c r="BH52" i="9"/>
  <c r="BG52" i="9"/>
  <c r="AI39" i="9"/>
  <c r="AI43" i="9"/>
  <c r="AI44" i="9"/>
  <c r="CE47" i="9"/>
  <c r="CF50" i="9"/>
  <c r="CF51" i="9"/>
  <c r="AG10" i="4"/>
  <c r="AH10" i="4"/>
  <c r="AX14" i="4"/>
  <c r="AY14" i="4"/>
  <c r="AP20" i="4"/>
  <c r="AQ20" i="4"/>
  <c r="AT23" i="4"/>
  <c r="AU23" i="4"/>
  <c r="AS27" i="4"/>
  <c r="AT27" i="4"/>
  <c r="AL44" i="4"/>
  <c r="AP47" i="4"/>
  <c r="AQ47" i="4"/>
  <c r="BB52" i="4"/>
  <c r="BC52" i="4"/>
  <c r="AW57" i="4"/>
  <c r="AY57" i="4"/>
  <c r="BB75" i="4"/>
  <c r="BC75" i="4"/>
  <c r="AU81" i="4"/>
  <c r="AT81" i="4"/>
  <c r="AX88" i="4"/>
  <c r="AW88" i="4"/>
  <c r="BB19" i="4"/>
  <c r="BA19" i="4"/>
  <c r="AU49" i="9"/>
  <c r="AS82" i="9"/>
  <c r="AV51" i="9"/>
  <c r="AS84" i="9"/>
  <c r="AV84" i="9" s="1"/>
  <c r="CF59" i="9"/>
  <c r="CE59" i="9"/>
  <c r="AW11" i="4"/>
  <c r="AX11" i="4"/>
  <c r="AW15" i="4"/>
  <c r="AY15" i="4"/>
  <c r="AT39" i="4"/>
  <c r="AU39" i="4"/>
  <c r="BB45" i="4"/>
  <c r="BC45" i="4"/>
  <c r="AY50" i="4"/>
  <c r="AT55" i="4"/>
  <c r="AU55" i="4"/>
  <c r="BB57" i="4"/>
  <c r="BC57" i="4"/>
  <c r="BA61" i="4"/>
  <c r="BB61" i="4"/>
  <c r="AW138" i="4"/>
  <c r="AY138" i="4"/>
  <c r="AH165" i="4"/>
  <c r="AI165" i="4"/>
  <c r="AP171" i="4"/>
  <c r="AQ171" i="4"/>
  <c r="AH181" i="4"/>
  <c r="AG181" i="4"/>
  <c r="AH158" i="4"/>
  <c r="AG158" i="4"/>
  <c r="AH160" i="4"/>
  <c r="AG160" i="4"/>
  <c r="AM171" i="4"/>
  <c r="AL171" i="4"/>
  <c r="AP178" i="4"/>
  <c r="AO178" i="4"/>
  <c r="BB130" i="4"/>
  <c r="BC130" i="4"/>
  <c r="AW135" i="4"/>
  <c r="AY135" i="4"/>
  <c r="AT140" i="4"/>
  <c r="AU140" i="4"/>
  <c r="BB142" i="4"/>
  <c r="BC142" i="4"/>
  <c r="BB146" i="4"/>
  <c r="BC146" i="4"/>
  <c r="AK161" i="4"/>
  <c r="AL161" i="4"/>
  <c r="AK165" i="4"/>
  <c r="AL165" i="4"/>
  <c r="AK169" i="4"/>
  <c r="AL169" i="4"/>
  <c r="AM173" i="4"/>
  <c r="AL177" i="4"/>
  <c r="AM177" i="4"/>
  <c r="AL181" i="4"/>
  <c r="AM181" i="4"/>
  <c r="AH225" i="4"/>
  <c r="AI225" i="4"/>
  <c r="AK228" i="4"/>
  <c r="AL228" i="4"/>
  <c r="AT230" i="4"/>
  <c r="AU230" i="4"/>
  <c r="AH233" i="4"/>
  <c r="AI233" i="4"/>
  <c r="AL236" i="4"/>
  <c r="AM236" i="4"/>
  <c r="AS238" i="4"/>
  <c r="AT238" i="4"/>
  <c r="AG241" i="4"/>
  <c r="AH241" i="4"/>
  <c r="AO254" i="4"/>
  <c r="AP254" i="4"/>
  <c r="AW256" i="4"/>
  <c r="AX256" i="4"/>
  <c r="BA259" i="4"/>
  <c r="BB259" i="4"/>
  <c r="BB267" i="4"/>
  <c r="BC267" i="4"/>
  <c r="BB309" i="4"/>
  <c r="BC309" i="4"/>
  <c r="BA325" i="4"/>
  <c r="BB325" i="4"/>
  <c r="AT171" i="4"/>
  <c r="AU171" i="4"/>
  <c r="AT177" i="4"/>
  <c r="AS177" i="4"/>
  <c r="AU161" i="4"/>
  <c r="AT161" i="4"/>
  <c r="AT170" i="4"/>
  <c r="AU170" i="4"/>
  <c r="AQ218" i="4"/>
  <c r="AP218" i="4"/>
  <c r="AK219" i="4"/>
  <c r="AL219" i="4"/>
  <c r="AT221" i="4"/>
  <c r="AU221" i="4"/>
  <c r="AH224" i="4"/>
  <c r="AI224" i="4"/>
  <c r="AK227" i="4"/>
  <c r="AL227" i="4"/>
  <c r="AH232" i="4"/>
  <c r="AI232" i="4"/>
  <c r="AL235" i="4"/>
  <c r="AM235" i="4"/>
  <c r="AS237" i="4"/>
  <c r="AT237" i="4"/>
  <c r="AG240" i="4"/>
  <c r="AH240" i="4"/>
  <c r="BB250" i="4"/>
  <c r="BC250" i="4"/>
  <c r="BB254" i="4"/>
  <c r="BC254" i="4"/>
  <c r="BB285" i="4"/>
  <c r="BC285" i="4"/>
  <c r="BA289" i="4"/>
  <c r="BB289" i="4"/>
  <c r="AW166" i="4"/>
  <c r="AX166" i="4"/>
  <c r="AX172" i="4"/>
  <c r="AW172" i="4"/>
  <c r="AX169" i="4"/>
  <c r="AY169" i="4"/>
  <c r="BA169" i="4"/>
  <c r="BB169" i="4"/>
  <c r="BB175" i="4"/>
  <c r="BA175" i="4"/>
  <c r="BC159" i="4"/>
  <c r="BB159" i="4"/>
  <c r="AH226" i="4"/>
  <c r="AI226" i="4"/>
  <c r="AH230" i="4"/>
  <c r="AI230" i="4"/>
  <c r="AH234" i="4"/>
  <c r="AI234" i="4"/>
  <c r="AG238" i="4"/>
  <c r="AH238" i="4"/>
  <c r="BB434" i="4"/>
  <c r="BC434" i="4"/>
  <c r="AP437" i="4"/>
  <c r="AQ437" i="4"/>
  <c r="AX439" i="4"/>
  <c r="AY439" i="4"/>
  <c r="BB442" i="4"/>
  <c r="BC442" i="4"/>
  <c r="AO445" i="4"/>
  <c r="AP445" i="4"/>
  <c r="AW447" i="4"/>
  <c r="AY447" i="4"/>
  <c r="BA450" i="4"/>
  <c r="BB450" i="4"/>
  <c r="AT463" i="4"/>
  <c r="AU463" i="4"/>
  <c r="BB465" i="4"/>
  <c r="BC465" i="4"/>
  <c r="AP468" i="4"/>
  <c r="AQ468" i="4"/>
  <c r="AH470" i="4"/>
  <c r="AI470" i="4"/>
  <c r="AW474" i="4"/>
  <c r="AY474" i="4"/>
  <c r="AL477" i="4"/>
  <c r="AM477" i="4"/>
  <c r="AS479" i="4"/>
  <c r="AT479" i="4"/>
  <c r="AK519" i="4"/>
  <c r="AL519" i="4"/>
  <c r="AO522" i="4"/>
  <c r="AP522" i="4"/>
  <c r="AS525" i="4"/>
  <c r="AT525" i="4"/>
  <c r="AS529" i="4"/>
  <c r="AT529" i="4"/>
  <c r="BA535" i="4"/>
  <c r="BB535" i="4"/>
  <c r="AP347" i="4"/>
  <c r="AQ347" i="4"/>
  <c r="AW384" i="4"/>
  <c r="AY384" i="4"/>
  <c r="BB387" i="4"/>
  <c r="BC387" i="4"/>
  <c r="AU428" i="4"/>
  <c r="AT428" i="4"/>
  <c r="BB429" i="4"/>
  <c r="BC429" i="4"/>
  <c r="AO432" i="4"/>
  <c r="AP432" i="4"/>
  <c r="AX434" i="4"/>
  <c r="AY434" i="4"/>
  <c r="BA437" i="4"/>
  <c r="BB437" i="4"/>
  <c r="AP440" i="4"/>
  <c r="AQ440" i="4"/>
  <c r="AW442" i="4"/>
  <c r="AX442" i="4"/>
  <c r="BA445" i="4"/>
  <c r="BB445" i="4"/>
  <c r="AO448" i="4"/>
  <c r="AP448" i="4"/>
  <c r="AW450" i="4"/>
  <c r="AY450" i="4"/>
  <c r="AW461" i="4"/>
  <c r="AX461" i="4"/>
  <c r="AX469" i="4"/>
  <c r="AY469" i="4"/>
  <c r="AW473" i="4"/>
  <c r="AX473" i="4"/>
  <c r="AW477" i="4"/>
  <c r="AY477" i="4"/>
  <c r="AX481" i="4"/>
  <c r="AY481" i="4"/>
  <c r="BB499" i="4"/>
  <c r="BA499" i="4"/>
  <c r="AO343" i="4"/>
  <c r="AP343" i="4"/>
  <c r="AW432" i="4"/>
  <c r="AY432" i="4"/>
  <c r="AW436" i="4"/>
  <c r="AX436" i="4"/>
  <c r="AX440" i="4"/>
  <c r="AY440" i="4"/>
  <c r="AW444" i="4"/>
  <c r="AY444" i="4"/>
  <c r="AW448" i="4"/>
  <c r="AX448" i="4"/>
  <c r="AL554" i="4"/>
  <c r="AK554" i="4"/>
  <c r="AS647" i="4"/>
  <c r="AT647" i="4"/>
  <c r="AH650" i="4"/>
  <c r="AI650" i="4"/>
  <c r="AL653" i="4"/>
  <c r="AM653" i="4"/>
  <c r="AT655" i="4"/>
  <c r="AG658" i="4"/>
  <c r="AH658" i="4"/>
  <c r="AL661" i="4"/>
  <c r="AM661" i="4"/>
  <c r="AP551" i="4"/>
  <c r="AO551" i="4"/>
  <c r="AS557" i="4"/>
  <c r="AT557" i="4"/>
  <c r="AL563" i="4"/>
  <c r="AM563" i="4"/>
  <c r="BA571" i="4"/>
  <c r="BB571" i="4"/>
  <c r="AX614" i="4"/>
  <c r="AY614" i="4"/>
  <c r="AG641" i="4"/>
  <c r="AH641" i="4"/>
  <c r="AT642" i="4"/>
  <c r="AU642" i="4"/>
  <c r="AH645" i="4"/>
  <c r="AI645" i="4"/>
  <c r="AS646" i="4"/>
  <c r="AT646" i="4"/>
  <c r="AH649" i="4"/>
  <c r="AI649" i="4"/>
  <c r="AT650" i="4"/>
  <c r="AU650" i="4"/>
  <c r="AH653" i="4"/>
  <c r="AI653" i="4"/>
  <c r="AT654" i="4"/>
  <c r="AU654" i="4"/>
  <c r="AG657" i="4"/>
  <c r="AH657" i="4"/>
  <c r="AS658" i="4"/>
  <c r="AT658" i="4"/>
  <c r="AH661" i="4"/>
  <c r="AW676" i="4"/>
  <c r="AX676" i="4"/>
  <c r="AK679" i="4"/>
  <c r="AL679" i="4"/>
  <c r="AT681" i="4"/>
  <c r="AU681" i="4"/>
  <c r="BA683" i="4"/>
  <c r="BB683" i="4"/>
  <c r="AO686" i="4"/>
  <c r="AP686" i="4"/>
  <c r="AG688" i="4"/>
  <c r="AH688" i="4"/>
  <c r="AL691" i="4"/>
  <c r="AM691" i="4"/>
  <c r="AW730" i="4"/>
  <c r="AX730" i="4"/>
  <c r="AX734" i="4"/>
  <c r="AY734" i="4"/>
  <c r="AW738" i="4"/>
  <c r="AY738" i="4"/>
  <c r="AT743" i="4"/>
  <c r="AU743" i="4"/>
  <c r="AG551" i="4"/>
  <c r="AH551" i="4"/>
  <c r="AY548" i="4"/>
  <c r="AX548" i="4"/>
  <c r="AP638" i="4"/>
  <c r="AQ638" i="4"/>
  <c r="AL639" i="4"/>
  <c r="AK639" i="4"/>
  <c r="AI644" i="4"/>
  <c r="AH644" i="4"/>
  <c r="AL647" i="4"/>
  <c r="AK647" i="4"/>
  <c r="AT649" i="4"/>
  <c r="AS649" i="4"/>
  <c r="AI652" i="4"/>
  <c r="AM655" i="4"/>
  <c r="AL655" i="4"/>
  <c r="AT657" i="4"/>
  <c r="AS657" i="4"/>
  <c r="AH660" i="4"/>
  <c r="AG660" i="4"/>
  <c r="AL670" i="4"/>
  <c r="AK670" i="4"/>
  <c r="AL674" i="4"/>
  <c r="AK674" i="4"/>
  <c r="AL678" i="4"/>
  <c r="AK678" i="4"/>
  <c r="AM682" i="4"/>
  <c r="AL682" i="4"/>
  <c r="AM686" i="4"/>
  <c r="AL686" i="4"/>
  <c r="AY687" i="4"/>
  <c r="AW687" i="4"/>
  <c r="BB690" i="4"/>
  <c r="BA690" i="4"/>
  <c r="BA732" i="4"/>
  <c r="BB732" i="4"/>
  <c r="BC735" i="4"/>
  <c r="BB735" i="4"/>
  <c r="AS767" i="4"/>
  <c r="AT767" i="4"/>
  <c r="BA769" i="4"/>
  <c r="BB769" i="4"/>
  <c r="AP772" i="4"/>
  <c r="AQ772" i="4"/>
  <c r="AH774" i="4"/>
  <c r="AI774" i="4"/>
  <c r="AS779" i="4"/>
  <c r="AT779" i="4"/>
  <c r="BC747" i="4"/>
  <c r="BB747" i="4"/>
  <c r="BA749" i="4"/>
  <c r="BB749" i="4"/>
  <c r="AW761" i="4"/>
  <c r="AX761" i="4"/>
  <c r="AW765" i="4"/>
  <c r="AY765" i="4"/>
  <c r="AX769" i="4"/>
  <c r="AY769" i="4"/>
  <c r="AW777" i="4"/>
  <c r="AY777" i="4"/>
  <c r="AX781" i="4"/>
  <c r="AY781" i="4"/>
  <c r="AO794" i="4"/>
  <c r="AP794" i="4"/>
  <c r="BB795" i="4"/>
  <c r="BC795" i="4"/>
  <c r="AW804" i="4"/>
  <c r="AY804" i="4"/>
  <c r="BB849" i="4"/>
  <c r="BC849" i="4"/>
  <c r="AT851" i="4"/>
  <c r="AU851" i="4"/>
  <c r="AW858" i="4"/>
  <c r="AY858" i="4"/>
  <c r="BB861" i="4"/>
  <c r="BC861" i="4"/>
  <c r="AT758" i="4"/>
  <c r="AU758" i="4"/>
  <c r="AU761" i="4"/>
  <c r="AT761" i="4"/>
  <c r="AP766" i="4"/>
  <c r="AO766" i="4"/>
  <c r="AI768" i="4"/>
  <c r="AH768" i="4"/>
  <c r="AH776" i="4"/>
  <c r="AG776" i="4"/>
  <c r="AT781" i="4"/>
  <c r="AS781" i="4"/>
  <c r="AX791" i="4"/>
  <c r="AW791" i="4"/>
  <c r="BA737" i="4"/>
  <c r="BB737" i="4"/>
  <c r="H6" i="60"/>
  <c r="B7" i="60"/>
  <c r="BH6" i="9"/>
  <c r="CE7" i="9"/>
  <c r="BT10" i="9"/>
  <c r="BG44" i="9"/>
  <c r="AJ46" i="9"/>
  <c r="AJ48" i="9"/>
  <c r="AJ49" i="9"/>
  <c r="CF66" i="9"/>
  <c r="CE66" i="9"/>
  <c r="AW10" i="4"/>
  <c r="AX10" i="4"/>
  <c r="AK13" i="4"/>
  <c r="AL13" i="4"/>
  <c r="AS15" i="4"/>
  <c r="AT15" i="4"/>
  <c r="BA17" i="4"/>
  <c r="BB17" i="4"/>
  <c r="AO24" i="4"/>
  <c r="AP24" i="4"/>
  <c r="BA29" i="4"/>
  <c r="BB29" i="4"/>
  <c r="BB44" i="4"/>
  <c r="BC44" i="4"/>
  <c r="BA48" i="4"/>
  <c r="BB48" i="4"/>
  <c r="AW53" i="4"/>
  <c r="AX53" i="4"/>
  <c r="BA60" i="4"/>
  <c r="BB60" i="4"/>
  <c r="AO74" i="4"/>
  <c r="AP74" i="4"/>
  <c r="AX76" i="4"/>
  <c r="AW76" i="4"/>
  <c r="AL79" i="4"/>
  <c r="AK79" i="4"/>
  <c r="AQ82" i="4"/>
  <c r="AP82" i="4"/>
  <c r="AU85" i="4"/>
  <c r="AT85" i="4"/>
  <c r="AT89" i="4"/>
  <c r="AS89" i="4"/>
  <c r="CE73" i="9"/>
  <c r="BC38" i="4"/>
  <c r="BB38" i="4"/>
  <c r="AU13" i="4"/>
  <c r="AT13" i="4"/>
  <c r="BB23" i="4"/>
  <c r="BA23" i="4"/>
  <c r="BT66" i="9"/>
  <c r="AO44" i="4"/>
  <c r="AP44" i="4"/>
  <c r="AS47" i="4"/>
  <c r="AT47" i="4"/>
  <c r="AW54" i="4"/>
  <c r="AY54" i="4"/>
  <c r="BA133" i="4"/>
  <c r="BB133" i="4"/>
  <c r="AP167" i="4"/>
  <c r="AQ167" i="4"/>
  <c r="AL172" i="4"/>
  <c r="AM172" i="4"/>
  <c r="AG177" i="4"/>
  <c r="AH177" i="4"/>
  <c r="AL158" i="4"/>
  <c r="AK158" i="4"/>
  <c r="AP162" i="4"/>
  <c r="AO162" i="4"/>
  <c r="AL167" i="4"/>
  <c r="AK167" i="4"/>
  <c r="AM179" i="4"/>
  <c r="AL179" i="4"/>
  <c r="AP129" i="4"/>
  <c r="AQ129" i="4"/>
  <c r="AT132" i="4"/>
  <c r="AU132" i="4"/>
  <c r="AX139" i="4"/>
  <c r="AY139" i="4"/>
  <c r="AG162" i="4"/>
  <c r="AH162" i="4"/>
  <c r="AH166" i="4"/>
  <c r="AI166" i="4"/>
  <c r="AH170" i="4"/>
  <c r="AI170" i="4"/>
  <c r="AH174" i="4"/>
  <c r="AI174" i="4"/>
  <c r="AG178" i="4"/>
  <c r="AH178" i="4"/>
  <c r="AU172" i="4"/>
  <c r="AT172" i="4"/>
  <c r="AO223" i="4"/>
  <c r="AP223" i="4"/>
  <c r="AW225" i="4"/>
  <c r="AY225" i="4"/>
  <c r="BB228" i="4"/>
  <c r="AP231" i="4"/>
  <c r="AQ231" i="4"/>
  <c r="AW233" i="4"/>
  <c r="AX233" i="4"/>
  <c r="BB236" i="4"/>
  <c r="BC236" i="4"/>
  <c r="AX241" i="4"/>
  <c r="AY241" i="4"/>
  <c r="AS257" i="4"/>
  <c r="AT257" i="4"/>
  <c r="BA263" i="4"/>
  <c r="BB263" i="4"/>
  <c r="AW268" i="4"/>
  <c r="AX268" i="4"/>
  <c r="BA313" i="4"/>
  <c r="BB313" i="4"/>
  <c r="BA317" i="4"/>
  <c r="BB317" i="4"/>
  <c r="BB321" i="4"/>
  <c r="BC321" i="4"/>
  <c r="AS167" i="4"/>
  <c r="AT167" i="4"/>
  <c r="AU173" i="4"/>
  <c r="AT173" i="4"/>
  <c r="AS166" i="4"/>
  <c r="AT166" i="4"/>
  <c r="AU218" i="4"/>
  <c r="AT218" i="4"/>
  <c r="BB219" i="4"/>
  <c r="BC219" i="4"/>
  <c r="AO222" i="4"/>
  <c r="AP222" i="4"/>
  <c r="AX224" i="4"/>
  <c r="AY224" i="4"/>
  <c r="BA227" i="4"/>
  <c r="BB227" i="4"/>
  <c r="AP230" i="4"/>
  <c r="AQ230" i="4"/>
  <c r="AW232" i="4"/>
  <c r="AX232" i="4"/>
  <c r="BA235" i="4"/>
  <c r="BB235" i="4"/>
  <c r="AO238" i="4"/>
  <c r="AP238" i="4"/>
  <c r="AW240" i="4"/>
  <c r="AY240" i="4"/>
  <c r="AW178" i="4"/>
  <c r="AX178" i="4"/>
  <c r="AW162" i="4"/>
  <c r="AY162" i="4"/>
  <c r="AY168" i="4"/>
  <c r="AW168" i="4"/>
  <c r="AX181" i="4"/>
  <c r="AY181" i="4"/>
  <c r="AW165" i="4"/>
  <c r="AY165" i="4"/>
  <c r="BA181" i="4"/>
  <c r="BB181" i="4"/>
  <c r="BB165" i="4"/>
  <c r="BC165" i="4"/>
  <c r="BC171" i="4"/>
  <c r="BB171" i="4"/>
  <c r="BC158" i="4"/>
  <c r="BB158" i="4"/>
  <c r="BA168" i="4"/>
  <c r="BB168" i="4"/>
  <c r="AT219" i="4"/>
  <c r="AU219" i="4"/>
  <c r="AK221" i="4"/>
  <c r="AL221" i="4"/>
  <c r="AT223" i="4"/>
  <c r="AU223" i="4"/>
  <c r="AK225" i="4"/>
  <c r="AL225" i="4"/>
  <c r="AK229" i="4"/>
  <c r="AL229" i="4"/>
  <c r="AT231" i="4"/>
  <c r="AU231" i="4"/>
  <c r="AL233" i="4"/>
  <c r="AM233" i="4"/>
  <c r="AT235" i="4"/>
  <c r="AU235" i="4"/>
  <c r="AL237" i="4"/>
  <c r="AM237" i="4"/>
  <c r="AS239" i="4"/>
  <c r="AT239" i="4"/>
  <c r="AL241" i="4"/>
  <c r="AM241" i="4"/>
  <c r="AY338" i="4"/>
  <c r="AX338" i="4"/>
  <c r="BA403" i="4"/>
  <c r="BB403" i="4"/>
  <c r="AH435" i="4"/>
  <c r="AI435" i="4"/>
  <c r="AK438" i="4"/>
  <c r="AL438" i="4"/>
  <c r="AT440" i="4"/>
  <c r="AU440" i="4"/>
  <c r="AI443" i="4"/>
  <c r="AL446" i="4"/>
  <c r="AM446" i="4"/>
  <c r="AS448" i="4"/>
  <c r="AT448" i="4"/>
  <c r="AG451" i="4"/>
  <c r="AH451" i="4"/>
  <c r="AH466" i="4"/>
  <c r="AI466" i="4"/>
  <c r="AX470" i="4"/>
  <c r="AY470" i="4"/>
  <c r="AT475" i="4"/>
  <c r="AU475" i="4"/>
  <c r="BB477" i="4"/>
  <c r="BC477" i="4"/>
  <c r="AP480" i="4"/>
  <c r="AQ480" i="4"/>
  <c r="BB519" i="4"/>
  <c r="BC519" i="4"/>
  <c r="AK523" i="4"/>
  <c r="AL523" i="4"/>
  <c r="AO526" i="4"/>
  <c r="AP526" i="4"/>
  <c r="AX536" i="4"/>
  <c r="AY536" i="4"/>
  <c r="AU340" i="4"/>
  <c r="AT340" i="4"/>
  <c r="AK375" i="4"/>
  <c r="AL375" i="4"/>
  <c r="AW376" i="4"/>
  <c r="AX376" i="4"/>
  <c r="AK379" i="4"/>
  <c r="AL379" i="4"/>
  <c r="BA391" i="4"/>
  <c r="BB391" i="4"/>
  <c r="AH428" i="4"/>
  <c r="AG428" i="4"/>
  <c r="AY428" i="4"/>
  <c r="AX428" i="4"/>
  <c r="AG430" i="4"/>
  <c r="AH430" i="4"/>
  <c r="AK433" i="4"/>
  <c r="AL433" i="4"/>
  <c r="AS435" i="4"/>
  <c r="AT435" i="4"/>
  <c r="AH438" i="4"/>
  <c r="AI438" i="4"/>
  <c r="AL441" i="4"/>
  <c r="AM441" i="4"/>
  <c r="AT443" i="4"/>
  <c r="AU443" i="4"/>
  <c r="AG446" i="4"/>
  <c r="AH446" i="4"/>
  <c r="AL449" i="4"/>
  <c r="AM449" i="4"/>
  <c r="AS451" i="4"/>
  <c r="AT451" i="4"/>
  <c r="AP459" i="4"/>
  <c r="AQ459" i="4"/>
  <c r="BB460" i="4"/>
  <c r="BC460" i="4"/>
  <c r="AO463" i="4"/>
  <c r="AP463" i="4"/>
  <c r="BB464" i="4"/>
  <c r="BC464" i="4"/>
  <c r="AP467" i="4"/>
  <c r="AQ467" i="4"/>
  <c r="BA468" i="4"/>
  <c r="BB468" i="4"/>
  <c r="AP471" i="4"/>
  <c r="AQ471" i="4"/>
  <c r="BB472" i="4"/>
  <c r="BC472" i="4"/>
  <c r="AO475" i="4"/>
  <c r="AP475" i="4"/>
  <c r="BB476" i="4"/>
  <c r="BC476" i="4"/>
  <c r="BA480" i="4"/>
  <c r="BB480" i="4"/>
  <c r="AX496" i="4"/>
  <c r="AW496" i="4"/>
  <c r="AQ338" i="4"/>
  <c r="AP338" i="4"/>
  <c r="AP339" i="4"/>
  <c r="AQ339" i="4"/>
  <c r="AQ430" i="4"/>
  <c r="BA431" i="4"/>
  <c r="BB431" i="4"/>
  <c r="AO434" i="4"/>
  <c r="AP434" i="4"/>
  <c r="BB435" i="4"/>
  <c r="BC435" i="4"/>
  <c r="AP438" i="4"/>
  <c r="AQ438" i="4"/>
  <c r="BA439" i="4"/>
  <c r="BB439" i="4"/>
  <c r="BA443" i="4"/>
  <c r="BB443" i="4"/>
  <c r="AO446" i="4"/>
  <c r="AP446" i="4"/>
  <c r="BB447" i="4"/>
  <c r="BC447" i="4"/>
  <c r="AP450" i="4"/>
  <c r="AQ450" i="4"/>
  <c r="BA451" i="4"/>
  <c r="BB451" i="4"/>
  <c r="AK550" i="4"/>
  <c r="AL550" i="4"/>
  <c r="BC548" i="4"/>
  <c r="BB548" i="4"/>
  <c r="BB645" i="4"/>
  <c r="BC645" i="4"/>
  <c r="AP648" i="4"/>
  <c r="AQ648" i="4"/>
  <c r="AX650" i="4"/>
  <c r="AY650" i="4"/>
  <c r="BA653" i="4"/>
  <c r="BB653" i="4"/>
  <c r="AO656" i="4"/>
  <c r="AP656" i="4"/>
  <c r="AW658" i="4"/>
  <c r="AX658" i="4"/>
  <c r="BA661" i="4"/>
  <c r="BB661" i="4"/>
  <c r="AO554" i="4"/>
  <c r="AP554" i="4"/>
  <c r="AH556" i="4"/>
  <c r="AI556" i="4"/>
  <c r="AK559" i="4"/>
  <c r="AL559" i="4"/>
  <c r="AX560" i="4"/>
  <c r="AY560" i="4"/>
  <c r="AW568" i="4"/>
  <c r="AX568" i="4"/>
  <c r="AK609" i="4"/>
  <c r="AL609" i="4"/>
  <c r="AW610" i="4"/>
  <c r="AX610" i="4"/>
  <c r="AO616" i="4"/>
  <c r="AP616" i="4"/>
  <c r="AS619" i="4"/>
  <c r="AT619" i="4"/>
  <c r="AW622" i="4"/>
  <c r="AX622" i="4"/>
  <c r="AK640" i="4"/>
  <c r="AL640" i="4"/>
  <c r="AK644" i="4"/>
  <c r="AL644" i="4"/>
  <c r="AK648" i="4"/>
  <c r="AL648" i="4"/>
  <c r="AL656" i="4"/>
  <c r="AM656" i="4"/>
  <c r="AL660" i="4"/>
  <c r="AM660" i="4"/>
  <c r="AK675" i="4"/>
  <c r="AL675" i="4"/>
  <c r="AS677" i="4"/>
  <c r="AT677" i="4"/>
  <c r="BA679" i="4"/>
  <c r="BB679" i="4"/>
  <c r="AP682" i="4"/>
  <c r="AQ682" i="4"/>
  <c r="AH684" i="4"/>
  <c r="AI684" i="4"/>
  <c r="AW688" i="4"/>
  <c r="AX688" i="4"/>
  <c r="BA691" i="4"/>
  <c r="BB691" i="4"/>
  <c r="AT731" i="4"/>
  <c r="AU731" i="4"/>
  <c r="AS735" i="4"/>
  <c r="AT735" i="4"/>
  <c r="AS739" i="4"/>
  <c r="AT739" i="4"/>
  <c r="AX746" i="4"/>
  <c r="AY746" i="4"/>
  <c r="AQ548" i="4"/>
  <c r="AP548" i="4"/>
  <c r="AW555" i="4"/>
  <c r="AY555" i="4"/>
  <c r="AT638" i="4"/>
  <c r="AU638" i="4"/>
  <c r="BC639" i="4"/>
  <c r="BB639" i="4"/>
  <c r="AP642" i="4"/>
  <c r="AO642" i="4"/>
  <c r="AY644" i="4"/>
  <c r="AX644" i="4"/>
  <c r="BB647" i="4"/>
  <c r="BA647" i="4"/>
  <c r="AQ650" i="4"/>
  <c r="AP650" i="4"/>
  <c r="AX652" i="4"/>
  <c r="AW652" i="4"/>
  <c r="BB655" i="4"/>
  <c r="BA655" i="4"/>
  <c r="AP658" i="4"/>
  <c r="AO658" i="4"/>
  <c r="AY660" i="4"/>
  <c r="AW660" i="4"/>
  <c r="AX671" i="4"/>
  <c r="AW671" i="4"/>
  <c r="AY679" i="4"/>
  <c r="AX679" i="4"/>
  <c r="AX683" i="4"/>
  <c r="AW683" i="4"/>
  <c r="AQ689" i="4"/>
  <c r="AP689" i="4"/>
  <c r="BB709" i="4"/>
  <c r="BA709" i="4"/>
  <c r="BB730" i="4"/>
  <c r="BC730" i="4"/>
  <c r="AT763" i="4"/>
  <c r="AU763" i="4"/>
  <c r="BB765" i="4"/>
  <c r="BC765" i="4"/>
  <c r="AP768" i="4"/>
  <c r="AQ768" i="4"/>
  <c r="AH770" i="4"/>
  <c r="AI770" i="4"/>
  <c r="AW774" i="4"/>
  <c r="AY774" i="4"/>
  <c r="BB777" i="4"/>
  <c r="BC777" i="4"/>
  <c r="AP780" i="4"/>
  <c r="AQ780" i="4"/>
  <c r="BB743" i="4"/>
  <c r="BA743" i="4"/>
  <c r="AP759" i="4"/>
  <c r="AQ759" i="4"/>
  <c r="BB760" i="4"/>
  <c r="BC760" i="4"/>
  <c r="BB764" i="4"/>
  <c r="BC764" i="4"/>
  <c r="AP767" i="4"/>
  <c r="AQ767" i="4"/>
  <c r="BA768" i="4"/>
  <c r="BB768" i="4"/>
  <c r="AP771" i="4"/>
  <c r="AQ771" i="4"/>
  <c r="BB772" i="4"/>
  <c r="BC772" i="4"/>
  <c r="AO775" i="4"/>
  <c r="AP775" i="4"/>
  <c r="BB776" i="4"/>
  <c r="BC776" i="4"/>
  <c r="AP779" i="4"/>
  <c r="AQ779" i="4"/>
  <c r="BA780" i="4"/>
  <c r="BB780" i="4"/>
  <c r="AT793" i="4"/>
  <c r="AU793" i="4"/>
  <c r="BA799" i="4"/>
  <c r="BB799" i="4"/>
  <c r="AT801" i="4"/>
  <c r="AU801" i="4"/>
  <c r="BA811" i="4"/>
  <c r="BB811" i="4"/>
  <c r="AX854" i="4"/>
  <c r="AY854" i="4"/>
  <c r="BA865" i="4"/>
  <c r="BB865" i="4"/>
  <c r="BC736" i="4"/>
  <c r="BB736" i="4"/>
  <c r="AG758" i="4"/>
  <c r="AH758" i="4"/>
  <c r="AX758" i="4"/>
  <c r="AY758" i="4"/>
  <c r="BC759" i="4"/>
  <c r="BB759" i="4"/>
  <c r="AP762" i="4"/>
  <c r="AO762" i="4"/>
  <c r="AI764" i="4"/>
  <c r="AH764" i="4"/>
  <c r="AY768" i="4"/>
  <c r="AW768" i="4"/>
  <c r="BC771" i="4"/>
  <c r="BB771" i="4"/>
  <c r="AY776" i="4"/>
  <c r="AX776" i="4"/>
  <c r="BB779" i="4"/>
  <c r="BA779" i="4"/>
  <c r="BB733" i="4"/>
  <c r="BA733" i="4"/>
  <c r="CF5" i="9"/>
  <c r="CE5" i="9"/>
  <c r="CE6" i="9"/>
  <c r="AS41" i="9"/>
  <c r="AV8" i="9"/>
  <c r="AI11" i="9"/>
  <c r="CF45" i="9"/>
  <c r="CE45" i="9"/>
  <c r="AJ59" i="9"/>
  <c r="AI59" i="9"/>
  <c r="BT39" i="9"/>
  <c r="BG46" i="9"/>
  <c r="BG47" i="9"/>
  <c r="BH49" i="9"/>
  <c r="BH50" i="9"/>
  <c r="BH51" i="9"/>
  <c r="BT71" i="9"/>
  <c r="AK9" i="4"/>
  <c r="AL9" i="4"/>
  <c r="AT11" i="4"/>
  <c r="AU11" i="4"/>
  <c r="BA13" i="4"/>
  <c r="BB13" i="4"/>
  <c r="AO16" i="4"/>
  <c r="AP16" i="4"/>
  <c r="AW18" i="4"/>
  <c r="AY18" i="4"/>
  <c r="BB21" i="4"/>
  <c r="BC21" i="4"/>
  <c r="BA25" i="4"/>
  <c r="BB25" i="4"/>
  <c r="AW30" i="4"/>
  <c r="AY30" i="4"/>
  <c r="AW45" i="4"/>
  <c r="AY45" i="4"/>
  <c r="AX49" i="4"/>
  <c r="AY49" i="4"/>
  <c r="AT54" i="4"/>
  <c r="AU54" i="4"/>
  <c r="AX61" i="4"/>
  <c r="AY61" i="4"/>
  <c r="AT77" i="4"/>
  <c r="AS77" i="4"/>
  <c r="BB79" i="4"/>
  <c r="BA79" i="4"/>
  <c r="BB39" i="4"/>
  <c r="BC39" i="4"/>
  <c r="AU9" i="4"/>
  <c r="AT9" i="4"/>
  <c r="BC15" i="4"/>
  <c r="BB15" i="4"/>
  <c r="X51" i="9"/>
  <c r="U84" i="9"/>
  <c r="BS74" i="9"/>
  <c r="BB14" i="4"/>
  <c r="BC14" i="4"/>
  <c r="AP40" i="4"/>
  <c r="AQ40" i="4"/>
  <c r="BA41" i="4"/>
  <c r="BB41" i="4"/>
  <c r="AW46" i="4"/>
  <c r="AX46" i="4"/>
  <c r="BA49" i="4"/>
  <c r="BB49" i="4"/>
  <c r="AW58" i="4"/>
  <c r="AX58" i="4"/>
  <c r="BB99" i="4"/>
  <c r="BC99" i="4"/>
  <c r="BB129" i="4"/>
  <c r="BC129" i="4"/>
  <c r="AX134" i="4"/>
  <c r="AY134" i="4"/>
  <c r="AO163" i="4"/>
  <c r="AP163" i="4"/>
  <c r="AK168" i="4"/>
  <c r="AL168" i="4"/>
  <c r="AH173" i="4"/>
  <c r="AI173" i="4"/>
  <c r="AP179" i="4"/>
  <c r="AQ179" i="4"/>
  <c r="AQ158" i="4"/>
  <c r="AP158" i="4"/>
  <c r="AL163" i="4"/>
  <c r="AK163" i="4"/>
  <c r="AI168" i="4"/>
  <c r="AH168" i="4"/>
  <c r="AP174" i="4"/>
  <c r="AO174" i="4"/>
  <c r="AW131" i="4"/>
  <c r="AX131" i="4"/>
  <c r="BB134" i="4"/>
  <c r="BC134" i="4"/>
  <c r="AW143" i="4"/>
  <c r="AX143" i="4"/>
  <c r="AP160" i="4"/>
  <c r="AQ160" i="4"/>
  <c r="AO164" i="4"/>
  <c r="AP164" i="4"/>
  <c r="AP168" i="4"/>
  <c r="AQ168" i="4"/>
  <c r="AP172" i="4"/>
  <c r="AQ172" i="4"/>
  <c r="AO176" i="4"/>
  <c r="AP176" i="4"/>
  <c r="AP180" i="4"/>
  <c r="AQ180" i="4"/>
  <c r="BB162" i="4"/>
  <c r="BA162" i="4"/>
  <c r="AY175" i="4"/>
  <c r="AX175" i="4"/>
  <c r="AK224" i="4"/>
  <c r="AL224" i="4"/>
  <c r="AS226" i="4"/>
  <c r="AT226" i="4"/>
  <c r="AH229" i="4"/>
  <c r="AI229" i="4"/>
  <c r="AL232" i="4"/>
  <c r="AM232" i="4"/>
  <c r="AT234" i="4"/>
  <c r="AU234" i="4"/>
  <c r="AG237" i="4"/>
  <c r="AH237" i="4"/>
  <c r="AL240" i="4"/>
  <c r="AM240" i="4"/>
  <c r="AK255" i="4"/>
  <c r="AL255" i="4"/>
  <c r="AP258" i="4"/>
  <c r="AQ258" i="4"/>
  <c r="AT261" i="4"/>
  <c r="AU261" i="4"/>
  <c r="AW264" i="4"/>
  <c r="AY264" i="4"/>
  <c r="BA271" i="4"/>
  <c r="BB271" i="4"/>
  <c r="AT311" i="4"/>
  <c r="AU311" i="4"/>
  <c r="AX314" i="4"/>
  <c r="AY314" i="4"/>
  <c r="AW318" i="4"/>
  <c r="AY318" i="4"/>
  <c r="AW322" i="4"/>
  <c r="AX322" i="4"/>
  <c r="AS179" i="4"/>
  <c r="AT179" i="4"/>
  <c r="AT163" i="4"/>
  <c r="AU163" i="4"/>
  <c r="AT169" i="4"/>
  <c r="AS169" i="4"/>
  <c r="AS178" i="4"/>
  <c r="AT178" i="4"/>
  <c r="AT162" i="4"/>
  <c r="AU162" i="4"/>
  <c r="AH218" i="4"/>
  <c r="AG218" i="4"/>
  <c r="AY218" i="4"/>
  <c r="AX218" i="4"/>
  <c r="AK223" i="4"/>
  <c r="AL223" i="4"/>
  <c r="AS225" i="4"/>
  <c r="AT225" i="4"/>
  <c r="AH228" i="4"/>
  <c r="AI228" i="4"/>
  <c r="AL231" i="4"/>
  <c r="AT233" i="4"/>
  <c r="AU233" i="4"/>
  <c r="AG236" i="4"/>
  <c r="AH236" i="4"/>
  <c r="AL239" i="4"/>
  <c r="AM239" i="4"/>
  <c r="AW251" i="4"/>
  <c r="AX251" i="4"/>
  <c r="AW174" i="4"/>
  <c r="AY174" i="4"/>
  <c r="AY180" i="4"/>
  <c r="AW180" i="4"/>
  <c r="AY164" i="4"/>
  <c r="AX164" i="4"/>
  <c r="AW177" i="4"/>
  <c r="AY177" i="4"/>
  <c r="AW161" i="4"/>
  <c r="AX161" i="4"/>
  <c r="BB177" i="4"/>
  <c r="BC177" i="4"/>
  <c r="BA161" i="4"/>
  <c r="BB161" i="4"/>
  <c r="BB167" i="4"/>
  <c r="BA167" i="4"/>
  <c r="BA180" i="4"/>
  <c r="BB180" i="4"/>
  <c r="BB164" i="4"/>
  <c r="BC164" i="4"/>
  <c r="AW222" i="4"/>
  <c r="AY222" i="4"/>
  <c r="AW226" i="4"/>
  <c r="AX226" i="4"/>
  <c r="AX230" i="4"/>
  <c r="AY230" i="4"/>
  <c r="AW234" i="4"/>
  <c r="AY234" i="4"/>
  <c r="AW238" i="4"/>
  <c r="AX238" i="4"/>
  <c r="AH338" i="4"/>
  <c r="AG338" i="4"/>
  <c r="BB399" i="4"/>
  <c r="BC399" i="4"/>
  <c r="AO433" i="4"/>
  <c r="AP433" i="4"/>
  <c r="AW435" i="4"/>
  <c r="AY435" i="4"/>
  <c r="BA438" i="4"/>
  <c r="BB438" i="4"/>
  <c r="AP441" i="4"/>
  <c r="AQ441" i="4"/>
  <c r="AW443" i="4"/>
  <c r="AX443" i="4"/>
  <c r="BB446" i="4"/>
  <c r="BC446" i="4"/>
  <c r="AP449" i="4"/>
  <c r="AQ449" i="4"/>
  <c r="AX451" i="4"/>
  <c r="AY451" i="4"/>
  <c r="AW466" i="4"/>
  <c r="AX466" i="4"/>
  <c r="AK469" i="4"/>
  <c r="AL469" i="4"/>
  <c r="AT471" i="4"/>
  <c r="AU471" i="4"/>
  <c r="BA473" i="4"/>
  <c r="BB473" i="4"/>
  <c r="AO476" i="4"/>
  <c r="AP476" i="4"/>
  <c r="AG478" i="4"/>
  <c r="AH478" i="4"/>
  <c r="AL481" i="4"/>
  <c r="AM481" i="4"/>
  <c r="AW520" i="4"/>
  <c r="AX520" i="4"/>
  <c r="BA523" i="4"/>
  <c r="BB523" i="4"/>
  <c r="BA527" i="4"/>
  <c r="BB527" i="4"/>
  <c r="AW532" i="4"/>
  <c r="AX532" i="4"/>
  <c r="BA539" i="4"/>
  <c r="BB539" i="4"/>
  <c r="AU338" i="4"/>
  <c r="AT338" i="4"/>
  <c r="AO344" i="4"/>
  <c r="AP344" i="4"/>
  <c r="AO374" i="4"/>
  <c r="AP374" i="4"/>
  <c r="AP378" i="4"/>
  <c r="AQ378" i="4"/>
  <c r="AP382" i="4"/>
  <c r="AQ382" i="4"/>
  <c r="BA383" i="4"/>
  <c r="BB383" i="4"/>
  <c r="AT385" i="4"/>
  <c r="AU385" i="4"/>
  <c r="AL428" i="4"/>
  <c r="AK428" i="4"/>
  <c r="AW430" i="4"/>
  <c r="AX430" i="4"/>
  <c r="AO436" i="4"/>
  <c r="AP436" i="4"/>
  <c r="AW438" i="4"/>
  <c r="BB441" i="4"/>
  <c r="BC441" i="4"/>
  <c r="AO444" i="4"/>
  <c r="AP444" i="4"/>
  <c r="AX446" i="4"/>
  <c r="AY446" i="4"/>
  <c r="AG461" i="4"/>
  <c r="AH461" i="4"/>
  <c r="AT462" i="4"/>
  <c r="AU462" i="4"/>
  <c r="AH465" i="4"/>
  <c r="AI465" i="4"/>
  <c r="AS466" i="4"/>
  <c r="AT466" i="4"/>
  <c r="AH469" i="4"/>
  <c r="AI469" i="4"/>
  <c r="AT470" i="4"/>
  <c r="AU470" i="4"/>
  <c r="AT474" i="4"/>
  <c r="AU474" i="4"/>
  <c r="AG477" i="4"/>
  <c r="AH477" i="4"/>
  <c r="AS478" i="4"/>
  <c r="AT478" i="4"/>
  <c r="AG481" i="4"/>
  <c r="AH481" i="4"/>
  <c r="AG432" i="4"/>
  <c r="AH432" i="4"/>
  <c r="AH440" i="4"/>
  <c r="AI440" i="4"/>
  <c r="AH444" i="4"/>
  <c r="AI444" i="4"/>
  <c r="AG448" i="4"/>
  <c r="AH448" i="4"/>
  <c r="AU548" i="4"/>
  <c r="AT548" i="4"/>
  <c r="BB554" i="4"/>
  <c r="BC554" i="4"/>
  <c r="AT643" i="4"/>
  <c r="AU643" i="4"/>
  <c r="AH646" i="4"/>
  <c r="AI646" i="4"/>
  <c r="AK649" i="4"/>
  <c r="AL649" i="4"/>
  <c r="AT651" i="4"/>
  <c r="AU651" i="4"/>
  <c r="AH654" i="4"/>
  <c r="AI654" i="4"/>
  <c r="AL657" i="4"/>
  <c r="AM657" i="4"/>
  <c r="AS659" i="4"/>
  <c r="AT659" i="4"/>
  <c r="AH553" i="4"/>
  <c r="AG553" i="4"/>
  <c r="AX554" i="4"/>
  <c r="AY554" i="4"/>
  <c r="AO556" i="4"/>
  <c r="AP556" i="4"/>
  <c r="BA563" i="4"/>
  <c r="BB563" i="4"/>
  <c r="AT565" i="4"/>
  <c r="AU565" i="4"/>
  <c r="AO612" i="4"/>
  <c r="AP612" i="4"/>
  <c r="BA613" i="4"/>
  <c r="BB613" i="4"/>
  <c r="AS615" i="4"/>
  <c r="AT615" i="4"/>
  <c r="AW641" i="4"/>
  <c r="AX641" i="4"/>
  <c r="AW645" i="4"/>
  <c r="AY645" i="4"/>
  <c r="AX649" i="4"/>
  <c r="AY649" i="4"/>
  <c r="AW653" i="4"/>
  <c r="AX653" i="4"/>
  <c r="AW657" i="4"/>
  <c r="AY657" i="4"/>
  <c r="AX661" i="4"/>
  <c r="AY661" i="4"/>
  <c r="AT673" i="4"/>
  <c r="AU673" i="4"/>
  <c r="AP678" i="4"/>
  <c r="AQ678" i="4"/>
  <c r="AH680" i="4"/>
  <c r="AI680" i="4"/>
  <c r="AL687" i="4"/>
  <c r="AM687" i="4"/>
  <c r="AS689" i="4"/>
  <c r="AT689" i="4"/>
  <c r="AK729" i="4"/>
  <c r="AL729" i="4"/>
  <c r="AO736" i="4"/>
  <c r="AP736" i="4"/>
  <c r="AP740" i="4"/>
  <c r="AQ740" i="4"/>
  <c r="AS747" i="4"/>
  <c r="AT747" i="4"/>
  <c r="AH548" i="4"/>
  <c r="AG548" i="4"/>
  <c r="AO553" i="4"/>
  <c r="AP553" i="4"/>
  <c r="AW551" i="4"/>
  <c r="AX551" i="4"/>
  <c r="AG638" i="4"/>
  <c r="AH638" i="4"/>
  <c r="AX638" i="4"/>
  <c r="AY638" i="4"/>
  <c r="AH640" i="4"/>
  <c r="AG640" i="4"/>
  <c r="AL643" i="4"/>
  <c r="AK643" i="4"/>
  <c r="AT645" i="4"/>
  <c r="AS645" i="4"/>
  <c r="AI648" i="4"/>
  <c r="AH648" i="4"/>
  <c r="AM651" i="4"/>
  <c r="AL651" i="4"/>
  <c r="AU653" i="4"/>
  <c r="AT653" i="4"/>
  <c r="AH656" i="4"/>
  <c r="AG656" i="4"/>
  <c r="AM659" i="4"/>
  <c r="AL659" i="4"/>
  <c r="AT661" i="4"/>
  <c r="AS661" i="4"/>
  <c r="AQ669" i="4"/>
  <c r="AP669" i="4"/>
  <c r="BC670" i="4"/>
  <c r="BB670" i="4"/>
  <c r="AP673" i="4"/>
  <c r="AO673" i="4"/>
  <c r="BC674" i="4"/>
  <c r="BB674" i="4"/>
  <c r="AQ677" i="4"/>
  <c r="AP677" i="4"/>
  <c r="BB678" i="4"/>
  <c r="BA678" i="4"/>
  <c r="AQ681" i="4"/>
  <c r="AP681" i="4"/>
  <c r="BC682" i="4"/>
  <c r="BB682" i="4"/>
  <c r="AP685" i="4"/>
  <c r="AO685" i="4"/>
  <c r="BC686" i="4"/>
  <c r="BB686" i="4"/>
  <c r="AT688" i="4"/>
  <c r="AS688" i="4"/>
  <c r="AY691" i="4"/>
  <c r="AX691" i="4"/>
  <c r="BC705" i="4"/>
  <c r="BB705" i="4"/>
  <c r="BB740" i="4"/>
  <c r="BC740" i="4"/>
  <c r="BA744" i="4"/>
  <c r="BB744" i="4"/>
  <c r="AO764" i="4"/>
  <c r="AP764" i="4"/>
  <c r="AH766" i="4"/>
  <c r="AI766" i="4"/>
  <c r="AX770" i="4"/>
  <c r="AT775" i="4"/>
  <c r="AU775" i="4"/>
  <c r="AG778" i="4"/>
  <c r="AH778" i="4"/>
  <c r="AG761" i="4"/>
  <c r="AH761" i="4"/>
  <c r="AT762" i="4"/>
  <c r="AU762" i="4"/>
  <c r="AH765" i="4"/>
  <c r="AI765" i="4"/>
  <c r="AS766" i="4"/>
  <c r="AH769" i="4"/>
  <c r="AI769" i="4"/>
  <c r="AT770" i="4"/>
  <c r="AU770" i="4"/>
  <c r="AH773" i="4"/>
  <c r="AI773" i="4"/>
  <c r="AT774" i="4"/>
  <c r="AU774" i="4"/>
  <c r="AG777" i="4"/>
  <c r="AH777" i="4"/>
  <c r="AS778" i="4"/>
  <c r="AT778" i="4"/>
  <c r="AW796" i="4"/>
  <c r="AX796" i="4"/>
  <c r="BB807" i="4"/>
  <c r="BC807" i="4"/>
  <c r="AK849" i="4"/>
  <c r="AL849" i="4"/>
  <c r="AW850" i="4"/>
  <c r="AX850" i="4"/>
  <c r="AO856" i="4"/>
  <c r="AP856" i="4"/>
  <c r="BB731" i="4"/>
  <c r="BA731" i="4"/>
  <c r="BB758" i="4"/>
  <c r="BC758" i="4"/>
  <c r="AH760" i="4"/>
  <c r="AG760" i="4"/>
  <c r="AY764" i="4"/>
  <c r="AX764" i="4"/>
  <c r="AT769" i="4"/>
  <c r="AS769" i="4"/>
  <c r="AI772" i="4"/>
  <c r="AH772" i="4"/>
  <c r="AT777" i="4"/>
  <c r="AS777" i="4"/>
  <c r="AH780" i="4"/>
  <c r="AG780" i="4"/>
  <c r="BC794" i="4"/>
  <c r="BB794" i="4"/>
  <c r="BB829" i="4"/>
  <c r="BA829" i="4"/>
  <c r="BA745" i="4"/>
  <c r="BB745" i="4"/>
  <c r="BB729" i="4"/>
  <c r="BC729" i="4"/>
  <c r="H7" i="60"/>
  <c r="B8" i="60"/>
  <c r="B9" i="60" s="1"/>
  <c r="AU82" i="9"/>
  <c r="M61" i="56"/>
  <c r="B117" i="56"/>
  <c r="M62" i="56" s="1"/>
  <c r="X84" i="9"/>
  <c r="AV40" i="9"/>
  <c r="AS73" i="9"/>
  <c r="AV73" i="9" s="1"/>
  <c r="AV41" i="9"/>
  <c r="AS74" i="9"/>
  <c r="AV74" i="9" s="1"/>
  <c r="B118" i="56"/>
  <c r="B119" i="56" s="1"/>
  <c r="H8" i="60"/>
  <c r="B15" i="2"/>
  <c r="B28" i="2"/>
  <c r="B17" i="2"/>
  <c r="AI37" i="1"/>
  <c r="AE37" i="1"/>
  <c r="AA37" i="1"/>
  <c r="W37" i="1"/>
  <c r="S37" i="1"/>
  <c r="O37" i="1"/>
  <c r="AH37" i="1"/>
  <c r="AD37" i="1"/>
  <c r="Z37" i="1"/>
  <c r="V37" i="1"/>
  <c r="R37" i="1"/>
  <c r="AI36" i="1"/>
  <c r="AE36" i="1"/>
  <c r="AA36" i="1"/>
  <c r="W36" i="1"/>
  <c r="S36" i="1"/>
  <c r="O36" i="1"/>
  <c r="AH36" i="1"/>
  <c r="AD36" i="1"/>
  <c r="Z36" i="1"/>
  <c r="V36" i="1"/>
  <c r="R36" i="1"/>
  <c r="AI35" i="1"/>
  <c r="AE35" i="1"/>
  <c r="AA35" i="1"/>
  <c r="W35" i="1"/>
  <c r="S35" i="1"/>
  <c r="O35" i="1"/>
  <c r="AH35" i="1"/>
  <c r="AD35" i="1"/>
  <c r="Z35" i="1"/>
  <c r="V35" i="1"/>
  <c r="R35" i="1"/>
  <c r="AI33" i="1"/>
  <c r="AE33" i="1"/>
  <c r="AA33" i="1"/>
  <c r="W33" i="1"/>
  <c r="S33" i="1"/>
  <c r="O33" i="1"/>
  <c r="AH33" i="1"/>
  <c r="AD33" i="1"/>
  <c r="Z33" i="1"/>
  <c r="V33" i="1"/>
  <c r="R33" i="1"/>
  <c r="AI32" i="1"/>
  <c r="AE32" i="1"/>
  <c r="AA32" i="1"/>
  <c r="W32" i="1"/>
  <c r="S32" i="1"/>
  <c r="O32" i="1"/>
  <c r="AH32" i="1"/>
  <c r="AD32" i="1"/>
  <c r="Z32" i="1"/>
  <c r="V32" i="1"/>
  <c r="R32" i="1"/>
  <c r="AA31" i="1"/>
  <c r="AH31" i="1"/>
  <c r="R31" i="1"/>
  <c r="AI30" i="1"/>
  <c r="AE30" i="1"/>
  <c r="AA30" i="1"/>
  <c r="W30" i="1"/>
  <c r="S30" i="1"/>
  <c r="O30" i="1"/>
  <c r="AH30" i="1"/>
  <c r="AD30" i="1"/>
  <c r="Z30" i="1"/>
  <c r="V30" i="1"/>
  <c r="R30" i="1"/>
  <c r="AI29" i="1"/>
  <c r="AE29" i="1"/>
  <c r="AA29" i="1"/>
  <c r="W29" i="1"/>
  <c r="S29" i="1"/>
  <c r="O29" i="1"/>
  <c r="AH29" i="1"/>
  <c r="AD29" i="1"/>
  <c r="Z29" i="1"/>
  <c r="V29" i="1"/>
  <c r="R29" i="1"/>
  <c r="AE27" i="1"/>
  <c r="O27" i="1"/>
  <c r="V27" i="1"/>
  <c r="V26" i="1"/>
  <c r="AI25" i="1"/>
  <c r="AE25" i="1"/>
  <c r="AA25" i="1"/>
  <c r="W25" i="1"/>
  <c r="S25" i="1"/>
  <c r="O25" i="1"/>
  <c r="AH25" i="1"/>
  <c r="AD25" i="1"/>
  <c r="Z25" i="1"/>
  <c r="V25" i="1"/>
  <c r="R25" i="1"/>
  <c r="AD24" i="1"/>
  <c r="AH23" i="1"/>
  <c r="AE22" i="1"/>
  <c r="O22" i="1"/>
  <c r="V22" i="1"/>
  <c r="AI21" i="1"/>
  <c r="S21" i="1"/>
  <c r="Z21" i="1"/>
  <c r="AI20" i="1"/>
  <c r="AE20" i="1"/>
  <c r="AA20" i="1"/>
  <c r="W20" i="1"/>
  <c r="S20" i="1"/>
  <c r="O20" i="1"/>
  <c r="AH20" i="1"/>
  <c r="AD20" i="1"/>
  <c r="Z20" i="1"/>
  <c r="V20" i="1"/>
  <c r="R20" i="1"/>
  <c r="AE19" i="1"/>
  <c r="O19" i="1"/>
  <c r="V19" i="1"/>
  <c r="AI17" i="1"/>
  <c r="AE17" i="1"/>
  <c r="AA17" i="1"/>
  <c r="W17" i="1"/>
  <c r="S17" i="1"/>
  <c r="O17" i="1"/>
  <c r="AH17" i="1"/>
  <c r="AD17" i="1"/>
  <c r="Z17" i="1"/>
  <c r="V17" i="1"/>
  <c r="R17" i="1"/>
  <c r="AI16" i="1"/>
  <c r="AE16" i="1"/>
  <c r="AA16" i="1"/>
  <c r="W16" i="1"/>
  <c r="S16" i="1"/>
  <c r="O16" i="1"/>
  <c r="AH16" i="1"/>
  <c r="AD16" i="1"/>
  <c r="Z16" i="1"/>
  <c r="V16" i="1"/>
  <c r="R16" i="1"/>
  <c r="AI15" i="1"/>
  <c r="W14" i="1"/>
  <c r="AD14" i="1"/>
  <c r="AA13" i="1"/>
  <c r="AH13" i="1"/>
  <c r="R13" i="1"/>
  <c r="AI12" i="1"/>
  <c r="AE12" i="1"/>
  <c r="AA12" i="1"/>
  <c r="W12" i="1"/>
  <c r="S12" i="1"/>
  <c r="O12" i="1"/>
  <c r="AH12" i="1"/>
  <c r="AD12" i="1"/>
  <c r="Z12" i="1"/>
  <c r="V12" i="1"/>
  <c r="R12" i="1"/>
  <c r="AE11" i="1"/>
  <c r="O11" i="1"/>
  <c r="V11" i="1"/>
  <c r="W10" i="1"/>
  <c r="AD10" i="1"/>
  <c r="Z9" i="1"/>
  <c r="B12" i="2"/>
  <c r="B21" i="2"/>
  <c r="D21" i="48"/>
  <c r="D22" i="48" s="1"/>
  <c r="G22" i="48" s="1"/>
  <c r="D13" i="48"/>
  <c r="D7" i="46"/>
  <c r="D7" i="48" s="1"/>
  <c r="D16" i="48" s="1"/>
  <c r="D25" i="48" s="1"/>
  <c r="D2" i="47"/>
  <c r="D25" i="47" s="1"/>
  <c r="F35" i="46"/>
  <c r="F26" i="46"/>
  <c r="B32" i="2"/>
  <c r="B29" i="2"/>
  <c r="B18" i="2"/>
  <c r="C16" i="2"/>
  <c r="B26" i="2"/>
  <c r="B14" i="2"/>
  <c r="C13" i="2"/>
  <c r="B27" i="2"/>
  <c r="C12" i="2"/>
  <c r="B31" i="2"/>
  <c r="B25" i="2"/>
  <c r="B34" i="2"/>
  <c r="B22" i="2"/>
  <c r="C24" i="2"/>
  <c r="C21" i="2"/>
  <c r="C18" i="2"/>
  <c r="B35" i="2"/>
  <c r="C20" i="2"/>
  <c r="C32" i="2"/>
  <c r="B30" i="2"/>
  <c r="C5" i="3" a="1"/>
  <c r="Q5" i="3" s="1"/>
  <c r="B33" i="2"/>
  <c r="C15" i="2"/>
  <c r="C29" i="2"/>
  <c r="C19" i="2"/>
  <c r="C28" i="2"/>
  <c r="C17" i="2"/>
  <c r="C26" i="2"/>
  <c r="D16" i="2"/>
  <c r="C14" i="2"/>
  <c r="C23" i="2"/>
  <c r="D13" i="2"/>
  <c r="C6" i="3" a="1"/>
  <c r="D12" i="2"/>
  <c r="C27" i="2"/>
  <c r="C34" i="2"/>
  <c r="D24" i="2"/>
  <c r="C31" i="2"/>
  <c r="C22" i="2"/>
  <c r="C25" i="2"/>
  <c r="D20" i="2"/>
  <c r="D18" i="2"/>
  <c r="D21" i="2"/>
  <c r="D32" i="2"/>
  <c r="C35" i="2"/>
  <c r="C33" i="2"/>
  <c r="D19" i="2"/>
  <c r="D15" i="2"/>
  <c r="C30" i="2"/>
  <c r="D26" i="2"/>
  <c r="D29" i="2"/>
  <c r="D28" i="2"/>
  <c r="D17" i="2"/>
  <c r="D14" i="2"/>
  <c r="D23" i="2"/>
  <c r="E16" i="2"/>
  <c r="E13" i="2"/>
  <c r="E12" i="2"/>
  <c r="D27" i="2"/>
  <c r="E24" i="2"/>
  <c r="D25" i="2"/>
  <c r="D34" i="2"/>
  <c r="D31" i="2"/>
  <c r="D22" i="2"/>
  <c r="E21" i="2"/>
  <c r="D35" i="2"/>
  <c r="E20" i="2"/>
  <c r="E18" i="2"/>
  <c r="D33" i="2"/>
  <c r="D30" i="2"/>
  <c r="E15" i="2"/>
  <c r="E32" i="2"/>
  <c r="E19" i="2"/>
  <c r="E28" i="2"/>
  <c r="E29" i="2"/>
  <c r="E23" i="2"/>
  <c r="E14" i="2"/>
  <c r="E17" i="2"/>
  <c r="F16" i="2"/>
  <c r="E26" i="2"/>
  <c r="E27" i="2"/>
  <c r="F12" i="2"/>
  <c r="F13" i="2"/>
  <c r="E31" i="2"/>
  <c r="E22" i="2"/>
  <c r="E25" i="2"/>
  <c r="E34" i="2"/>
  <c r="F24" i="2"/>
  <c r="E35" i="2"/>
  <c r="F20" i="2"/>
  <c r="F21" i="2"/>
  <c r="E30" i="2"/>
  <c r="C8" i="3" a="1"/>
  <c r="I8" i="3" s="1"/>
  <c r="F18" i="2"/>
  <c r="F15" i="2"/>
  <c r="E33" i="2"/>
  <c r="F32" i="2"/>
  <c r="F28" i="2"/>
  <c r="F19" i="2"/>
  <c r="F29" i="2"/>
  <c r="F17" i="2"/>
  <c r="G16" i="2"/>
  <c r="F23" i="2"/>
  <c r="F26" i="2"/>
  <c r="F14" i="2"/>
  <c r="G12" i="2"/>
  <c r="F27" i="2"/>
  <c r="G13" i="2"/>
  <c r="F34" i="2"/>
  <c r="F22" i="2"/>
  <c r="F25" i="2"/>
  <c r="G24" i="2"/>
  <c r="F31" i="2"/>
  <c r="G21" i="2"/>
  <c r="G20" i="2"/>
  <c r="F35" i="2"/>
  <c r="G32" i="2"/>
  <c r="F30" i="2"/>
  <c r="C9" i="3" a="1"/>
  <c r="F9" i="3" s="1"/>
  <c r="T114" i="63" s="1"/>
  <c r="G18" i="2"/>
  <c r="G15" i="2"/>
  <c r="F33" i="2"/>
  <c r="G19" i="2"/>
  <c r="G28" i="2"/>
  <c r="G29" i="2"/>
  <c r="O9" i="3"/>
  <c r="AK100" i="62" s="1"/>
  <c r="Y112" i="62" s="1"/>
  <c r="E34" i="62" s="1"/>
  <c r="N34" i="62" s="1"/>
  <c r="N9" i="3"/>
  <c r="AB114" i="63" s="1"/>
  <c r="Q125" i="63" s="1"/>
  <c r="G14" i="2"/>
  <c r="G23" i="2"/>
  <c r="H16" i="2"/>
  <c r="G17" i="2"/>
  <c r="G26" i="2"/>
  <c r="H13" i="2"/>
  <c r="G27" i="2"/>
  <c r="H12" i="2"/>
  <c r="G31" i="2"/>
  <c r="H24" i="2"/>
  <c r="G22" i="2"/>
  <c r="G34" i="2"/>
  <c r="G25" i="2"/>
  <c r="H32" i="2"/>
  <c r="G35" i="2"/>
  <c r="C10" i="3" a="1"/>
  <c r="H21" i="2"/>
  <c r="H20" i="2"/>
  <c r="H15" i="2"/>
  <c r="H18" i="2"/>
  <c r="G30" i="2"/>
  <c r="G33" i="2"/>
  <c r="H28" i="2"/>
  <c r="H19" i="2"/>
  <c r="H29" i="2"/>
  <c r="I16" i="2"/>
  <c r="H23" i="2"/>
  <c r="H17" i="2"/>
  <c r="H14" i="2"/>
  <c r="H26" i="2"/>
  <c r="I13" i="2"/>
  <c r="I12" i="2"/>
  <c r="H22" i="2"/>
  <c r="H27" i="2"/>
  <c r="H31" i="2"/>
  <c r="I24" i="2"/>
  <c r="H25" i="2"/>
  <c r="H34" i="2"/>
  <c r="I21" i="2"/>
  <c r="H35" i="2"/>
  <c r="I20" i="2"/>
  <c r="I15" i="2"/>
  <c r="C11" i="3" a="1"/>
  <c r="H30" i="2"/>
  <c r="I32" i="2"/>
  <c r="I18" i="2"/>
  <c r="H33" i="2"/>
  <c r="I28" i="2"/>
  <c r="I29" i="2"/>
  <c r="I19" i="2"/>
  <c r="I23" i="2"/>
  <c r="I26" i="2"/>
  <c r="I14" i="2"/>
  <c r="I27" i="2"/>
  <c r="J16" i="2"/>
  <c r="J12" i="2"/>
  <c r="I17" i="2"/>
  <c r="J13" i="2"/>
  <c r="I22" i="2"/>
  <c r="I25" i="2"/>
  <c r="J24" i="2"/>
  <c r="I31" i="2"/>
  <c r="I34" i="2"/>
  <c r="J21" i="2"/>
  <c r="J20" i="2"/>
  <c r="I35" i="2"/>
  <c r="C12" i="3" a="1"/>
  <c r="S12" i="3" s="1"/>
  <c r="J15" i="2"/>
  <c r="J18" i="2"/>
  <c r="J32" i="2"/>
  <c r="I30" i="2"/>
  <c r="J29" i="2"/>
  <c r="J19" i="2"/>
  <c r="J28" i="2"/>
  <c r="J17" i="2"/>
  <c r="J26" i="2"/>
  <c r="J14" i="2"/>
  <c r="K16" i="2"/>
  <c r="J23" i="2"/>
  <c r="J27" i="2"/>
  <c r="J31" i="2"/>
  <c r="K12" i="2"/>
  <c r="K13" i="2"/>
  <c r="J22" i="2"/>
  <c r="J34" i="2"/>
  <c r="J25" i="2"/>
  <c r="K24" i="2"/>
  <c r="J35" i="2"/>
  <c r="K20" i="2"/>
  <c r="K21" i="2"/>
  <c r="K32" i="2"/>
  <c r="K18" i="2"/>
  <c r="K15" i="2"/>
  <c r="J30" i="2"/>
  <c r="C13" i="3" a="1"/>
  <c r="J13" i="3" s="1"/>
  <c r="AF196" i="62" s="1"/>
  <c r="Y203" i="62" s="1"/>
  <c r="H8" i="62" s="1"/>
  <c r="Q8" i="62" s="1"/>
  <c r="J33" i="2"/>
  <c r="K19" i="2"/>
  <c r="K28" i="2"/>
  <c r="K29" i="2"/>
  <c r="L16" i="2"/>
  <c r="K14" i="2"/>
  <c r="K23" i="2"/>
  <c r="K17" i="2"/>
  <c r="K26" i="2"/>
  <c r="K27" i="2"/>
  <c r="L12" i="2"/>
  <c r="L13" i="2"/>
  <c r="K31" i="2"/>
  <c r="L24" i="2"/>
  <c r="K25" i="2"/>
  <c r="K22" i="2"/>
  <c r="L21" i="2"/>
  <c r="K34" i="2"/>
  <c r="L20" i="2"/>
  <c r="L15" i="2"/>
  <c r="C14" i="3" a="1"/>
  <c r="K35" i="2"/>
  <c r="L18" i="2"/>
  <c r="K30" i="2"/>
  <c r="L32" i="2"/>
  <c r="K33" i="2"/>
  <c r="L29" i="2"/>
  <c r="L19" i="2"/>
  <c r="L28" i="2"/>
  <c r="L23" i="2"/>
  <c r="L17" i="2"/>
  <c r="L14" i="2"/>
  <c r="L27" i="2"/>
  <c r="M16" i="2"/>
  <c r="M12" i="2"/>
  <c r="L26" i="2"/>
  <c r="M13" i="2"/>
  <c r="M24" i="2"/>
  <c r="L22" i="2"/>
  <c r="L34" i="2"/>
  <c r="L25" i="2"/>
  <c r="L31" i="2"/>
  <c r="M21" i="2"/>
  <c r="L35" i="2"/>
  <c r="M20" i="2"/>
  <c r="L30" i="2"/>
  <c r="C15" i="3" a="1"/>
  <c r="Y15" i="3" s="1"/>
  <c r="L33" i="2"/>
  <c r="M28" i="2"/>
  <c r="M32" i="2"/>
  <c r="M18" i="2"/>
  <c r="M15" i="2"/>
  <c r="M19" i="2"/>
  <c r="M29" i="2"/>
  <c r="M26" i="2"/>
  <c r="M14" i="2"/>
  <c r="M17" i="2"/>
  <c r="N16" i="2"/>
  <c r="M23" i="2"/>
  <c r="M27" i="2"/>
  <c r="M25" i="2"/>
  <c r="N13" i="2"/>
  <c r="N12" i="2"/>
  <c r="M31" i="2"/>
  <c r="M22" i="2"/>
  <c r="N24" i="2"/>
  <c r="M34" i="2"/>
  <c r="M35" i="2"/>
  <c r="N21" i="2"/>
  <c r="N20" i="2"/>
  <c r="M30" i="2"/>
  <c r="C16" i="3" a="1"/>
  <c r="C16" i="3" s="1"/>
  <c r="Y268" i="62" s="1"/>
  <c r="I34" i="62" s="1"/>
  <c r="R34" i="62" s="1"/>
  <c r="M33" i="2"/>
  <c r="N18" i="2"/>
  <c r="N29" i="2"/>
  <c r="N32" i="2"/>
  <c r="N15" i="2"/>
  <c r="N19" i="2"/>
  <c r="N28" i="2"/>
  <c r="N17" i="2"/>
  <c r="N23" i="2"/>
  <c r="N26" i="2"/>
  <c r="O16" i="2"/>
  <c r="N14" i="2"/>
  <c r="N27" i="2"/>
  <c r="O13" i="2"/>
  <c r="O12" i="2"/>
  <c r="N22" i="2"/>
  <c r="O24" i="2"/>
  <c r="N25" i="2"/>
  <c r="N31" i="2"/>
  <c r="N34" i="2"/>
  <c r="O21" i="2"/>
  <c r="O20" i="2"/>
  <c r="N35" i="2"/>
  <c r="O32" i="2"/>
  <c r="N33" i="2"/>
  <c r="N30" i="2"/>
  <c r="C17" i="3" a="1"/>
  <c r="V17" i="3" s="1"/>
  <c r="O18" i="2"/>
  <c r="O15" i="2"/>
  <c r="O29" i="2"/>
  <c r="O28" i="2"/>
  <c r="O19" i="2"/>
  <c r="P16" i="2"/>
  <c r="O23" i="2"/>
  <c r="O14" i="2"/>
  <c r="O26" i="2"/>
  <c r="O27" i="2"/>
  <c r="O17" i="2"/>
  <c r="P13" i="2"/>
  <c r="P12" i="2"/>
  <c r="O31" i="2"/>
  <c r="O34" i="2"/>
  <c r="P24" i="2"/>
  <c r="O25" i="2"/>
  <c r="O22" i="2"/>
  <c r="P20" i="2"/>
  <c r="O35" i="2"/>
  <c r="P21" i="2"/>
  <c r="P18" i="2"/>
  <c r="P32" i="2"/>
  <c r="O30" i="2"/>
  <c r="C18" i="3" a="1"/>
  <c r="K18" i="3" s="1"/>
  <c r="P15" i="2"/>
  <c r="O33" i="2"/>
  <c r="P19" i="2"/>
  <c r="P29" i="2"/>
  <c r="P28" i="2"/>
  <c r="P17" i="2"/>
  <c r="P14" i="2"/>
  <c r="P26" i="2"/>
  <c r="P23" i="2"/>
  <c r="P27" i="2"/>
  <c r="P25" i="2"/>
  <c r="P22" i="2"/>
  <c r="P34" i="2"/>
  <c r="P31" i="2"/>
  <c r="P35" i="2"/>
  <c r="P33" i="2"/>
  <c r="P30" i="2"/>
  <c r="C19" i="3" a="1"/>
  <c r="S19" i="3" s="1"/>
  <c r="C20" i="3" a="1"/>
  <c r="T20" i="3" s="1"/>
  <c r="C21" i="3" a="1"/>
  <c r="P21" i="3" s="1"/>
  <c r="C22" i="3" a="1"/>
  <c r="C23" i="3" a="1"/>
  <c r="C24" i="3" a="1"/>
  <c r="E24" i="3" s="1"/>
  <c r="C25" i="3" a="1"/>
  <c r="C26" i="3" a="1"/>
  <c r="X26" i="3" s="1"/>
  <c r="C27" i="3" a="1"/>
  <c r="M27" i="3" s="1"/>
  <c r="C33" i="3" a="1"/>
  <c r="P33" i="3" s="1"/>
  <c r="C31" i="3" a="1"/>
  <c r="O31" i="3" s="1"/>
  <c r="BB103" i="4" l="1"/>
  <c r="BA103" i="4"/>
  <c r="BB163" i="4"/>
  <c r="BA163" i="4"/>
  <c r="AW42" i="4"/>
  <c r="AY42" i="4"/>
  <c r="BA18" i="4"/>
  <c r="BB18" i="4"/>
  <c r="BA791" i="4"/>
  <c r="BB791" i="4"/>
  <c r="AP560" i="4"/>
  <c r="AQ560" i="4"/>
  <c r="BA233" i="4"/>
  <c r="BB233" i="4"/>
  <c r="AW798" i="4"/>
  <c r="AY798" i="4"/>
  <c r="AK645" i="4"/>
  <c r="AL645" i="4"/>
  <c r="O83" i="9"/>
  <c r="R83" i="9" s="1"/>
  <c r="R50" i="9"/>
  <c r="CF78" i="9"/>
  <c r="CE78" i="9"/>
  <c r="AP239" i="4"/>
  <c r="AQ239" i="4"/>
  <c r="AX260" i="4"/>
  <c r="AY260" i="4"/>
  <c r="AW310" i="4"/>
  <c r="AX310" i="4"/>
  <c r="AX326" i="4"/>
  <c r="AY326" i="4"/>
  <c r="AU158" i="4"/>
  <c r="AT158" i="4"/>
  <c r="AG220" i="4"/>
  <c r="AH220" i="4"/>
  <c r="AS241" i="4"/>
  <c r="AT241" i="4"/>
  <c r="AY176" i="4"/>
  <c r="AX176" i="4"/>
  <c r="AH473" i="4"/>
  <c r="AI473" i="4"/>
  <c r="AK797" i="4"/>
  <c r="AL797" i="4"/>
  <c r="BB56" i="4"/>
  <c r="AS227" i="4"/>
  <c r="AT227" i="4"/>
  <c r="AX388" i="4"/>
  <c r="AW388" i="4"/>
  <c r="AX841" i="4"/>
  <c r="AY841" i="4"/>
  <c r="AY80" i="4"/>
  <c r="AX80" i="4"/>
  <c r="AO166" i="4"/>
  <c r="AP166" i="4"/>
  <c r="AO464" i="4"/>
  <c r="AP464" i="4"/>
  <c r="AL473" i="4"/>
  <c r="AM473" i="4"/>
  <c r="BB531" i="4"/>
  <c r="BC531" i="4"/>
  <c r="AW465" i="4"/>
  <c r="AY465" i="4"/>
  <c r="AP830" i="4"/>
  <c r="AQ830" i="4"/>
  <c r="AX26" i="4"/>
  <c r="AY26" i="4"/>
  <c r="AT51" i="4"/>
  <c r="AU51" i="4"/>
  <c r="AX380" i="4"/>
  <c r="AY380" i="4"/>
  <c r="AK824" i="4"/>
  <c r="AL824" i="4"/>
  <c r="AP341" i="4"/>
  <c r="AO341" i="4"/>
  <c r="AG222" i="4"/>
  <c r="AH222" i="4"/>
  <c r="BA449" i="4"/>
  <c r="BB449" i="4"/>
  <c r="AW868" i="4"/>
  <c r="AX868" i="4"/>
  <c r="AG642" i="4"/>
  <c r="AH642" i="4"/>
  <c r="W11" i="9"/>
  <c r="U44" i="9"/>
  <c r="AU131" i="4"/>
  <c r="AT131" i="4"/>
  <c r="AL176" i="4"/>
  <c r="AM176" i="4"/>
  <c r="AK340" i="4"/>
  <c r="AL340" i="4"/>
  <c r="BC428" i="4"/>
  <c r="BB428" i="4"/>
  <c r="AH14" i="4"/>
  <c r="AI14" i="4"/>
  <c r="AK41" i="4"/>
  <c r="AY12" i="4"/>
  <c r="U43" i="9"/>
  <c r="BA773" i="4"/>
  <c r="BB589" i="4"/>
  <c r="BB644" i="4"/>
  <c r="BA481" i="4"/>
  <c r="AK309" i="4"/>
  <c r="AI261" i="4"/>
  <c r="AP711" i="4"/>
  <c r="BB805" i="4"/>
  <c r="AD736" i="4"/>
  <c r="AJ771" i="4"/>
  <c r="AH851" i="4"/>
  <c r="AD737" i="4"/>
  <c r="AD792" i="4"/>
  <c r="AD803" i="4"/>
  <c r="AD804" i="4"/>
  <c r="AD807" i="4"/>
  <c r="AR698" i="4"/>
  <c r="AR701" i="4"/>
  <c r="AR721" i="4"/>
  <c r="AR705" i="4"/>
  <c r="AR708" i="4"/>
  <c r="AR702" i="4"/>
  <c r="AR706" i="4"/>
  <c r="AD653" i="4"/>
  <c r="AR549" i="4"/>
  <c r="AR564" i="4"/>
  <c r="AR558" i="4"/>
  <c r="AR570" i="4"/>
  <c r="AR554" i="4"/>
  <c r="AR567" i="4"/>
  <c r="AR562" i="4"/>
  <c r="AR551" i="4"/>
  <c r="AR568" i="4"/>
  <c r="AR559" i="4"/>
  <c r="AR571" i="4"/>
  <c r="AR553" i="4"/>
  <c r="AL495" i="4"/>
  <c r="AK495" i="4"/>
  <c r="AY684" i="4"/>
  <c r="AQ562" i="4"/>
  <c r="AI436" i="4"/>
  <c r="AX773" i="4"/>
  <c r="AX158" i="4"/>
  <c r="BC375" i="4"/>
  <c r="AY681" i="4"/>
  <c r="AD730" i="4"/>
  <c r="AJ769" i="4"/>
  <c r="AJ772" i="4"/>
  <c r="AI829" i="4"/>
  <c r="AD733" i="4"/>
  <c r="BB867" i="4"/>
  <c r="AN840" i="4"/>
  <c r="AP840" i="4" s="1"/>
  <c r="AZ835" i="4"/>
  <c r="AZ824" i="4"/>
  <c r="BB824" i="4" s="1"/>
  <c r="AR818" i="4"/>
  <c r="AR821" i="4"/>
  <c r="AT821" i="4" s="1"/>
  <c r="AR833" i="4"/>
  <c r="AR830" i="4"/>
  <c r="AD806" i="4"/>
  <c r="AL794" i="4"/>
  <c r="AN781" i="4"/>
  <c r="AR703" i="4"/>
  <c r="AT703" i="4" s="1"/>
  <c r="AF655" i="4"/>
  <c r="AF647" i="4"/>
  <c r="AF639" i="4"/>
  <c r="AF659" i="4"/>
  <c r="AF651" i="4"/>
  <c r="AN564" i="4"/>
  <c r="AN570" i="4"/>
  <c r="AN561" i="4"/>
  <c r="AN567" i="4"/>
  <c r="AN550" i="4"/>
  <c r="AN555" i="4"/>
  <c r="AN565" i="4"/>
  <c r="AN568" i="4"/>
  <c r="AN571" i="4"/>
  <c r="AN559" i="4"/>
  <c r="AN563" i="4"/>
  <c r="AJ780" i="4"/>
  <c r="AD739" i="4"/>
  <c r="AD729" i="4"/>
  <c r="AJ840" i="4"/>
  <c r="AL840" i="4" s="1"/>
  <c r="AQ809" i="4"/>
  <c r="AP809" i="4"/>
  <c r="AD646" i="4"/>
  <c r="AD655" i="4"/>
  <c r="AD647" i="4"/>
  <c r="AD656" i="4"/>
  <c r="AD639" i="4"/>
  <c r="AD648" i="4"/>
  <c r="AD657" i="4"/>
  <c r="AD640" i="4"/>
  <c r="AD649" i="4"/>
  <c r="AD658" i="4"/>
  <c r="AD641" i="4"/>
  <c r="AD650" i="4"/>
  <c r="AD659" i="4"/>
  <c r="AD642" i="4"/>
  <c r="AD651" i="4"/>
  <c r="AD638" i="4"/>
  <c r="AD660" i="4"/>
  <c r="AD654" i="4"/>
  <c r="AD645" i="4"/>
  <c r="AZ491" i="4"/>
  <c r="AZ510" i="4"/>
  <c r="AZ507" i="4"/>
  <c r="BC507" i="4" s="1"/>
  <c r="AZ500" i="4"/>
  <c r="BC500" i="4" s="1"/>
  <c r="AZ432" i="4"/>
  <c r="AZ436" i="4"/>
  <c r="AZ444" i="4"/>
  <c r="AV402" i="4"/>
  <c r="AV406" i="4"/>
  <c r="AV421" i="4"/>
  <c r="AV399" i="4"/>
  <c r="AV407" i="4"/>
  <c r="AX407" i="4" s="1"/>
  <c r="AV415" i="4"/>
  <c r="AY415" i="4" s="1"/>
  <c r="AV404" i="4"/>
  <c r="AV408" i="4"/>
  <c r="AV419" i="4"/>
  <c r="AV409" i="4"/>
  <c r="AV417" i="4"/>
  <c r="AV410" i="4"/>
  <c r="BB360" i="4"/>
  <c r="BA360" i="4"/>
  <c r="D26" i="52"/>
  <c r="D8" i="53"/>
  <c r="BC746" i="4"/>
  <c r="AJ763" i="4"/>
  <c r="AN818" i="4"/>
  <c r="AN821" i="4"/>
  <c r="AN838" i="4"/>
  <c r="AN826" i="4"/>
  <c r="AN834" i="4"/>
  <c r="AO702" i="4"/>
  <c r="AV459" i="4"/>
  <c r="AV479" i="4"/>
  <c r="AV475" i="4"/>
  <c r="AV471" i="4"/>
  <c r="AJ818" i="4"/>
  <c r="AK818" i="4" s="1"/>
  <c r="AJ830" i="4"/>
  <c r="AM830" i="4" s="1"/>
  <c r="AJ834" i="4"/>
  <c r="AL834" i="4" s="1"/>
  <c r="AJ822" i="4"/>
  <c r="AK822" i="4" s="1"/>
  <c r="AN398" i="4"/>
  <c r="AN418" i="4"/>
  <c r="AN421" i="4"/>
  <c r="AQ421" i="4" s="1"/>
  <c r="AN415" i="4"/>
  <c r="AN411" i="4"/>
  <c r="AN404" i="4"/>
  <c r="AN408" i="4"/>
  <c r="AN419" i="4"/>
  <c r="AN400" i="4"/>
  <c r="AN412" i="4"/>
  <c r="AN409" i="4"/>
  <c r="AN416" i="4"/>
  <c r="AN401" i="4"/>
  <c r="AN413" i="4"/>
  <c r="AO413" i="4" s="1"/>
  <c r="AN405" i="4"/>
  <c r="AN410" i="4"/>
  <c r="AN406" i="4"/>
  <c r="AX862" i="4"/>
  <c r="AH781" i="4"/>
  <c r="BC10" i="4"/>
  <c r="BA763" i="4"/>
  <c r="AY564" i="4"/>
  <c r="AY866" i="4"/>
  <c r="AU431" i="4"/>
  <c r="AQ472" i="4"/>
  <c r="BB223" i="4"/>
  <c r="AX130" i="4"/>
  <c r="AU50" i="4"/>
  <c r="AD732" i="4"/>
  <c r="AD734" i="4"/>
  <c r="AJ760" i="4"/>
  <c r="AZ853" i="4"/>
  <c r="AN774" i="4"/>
  <c r="AY805" i="4"/>
  <c r="BC866" i="4"/>
  <c r="AJ870" i="4"/>
  <c r="AJ850" i="4"/>
  <c r="AK850" i="4" s="1"/>
  <c r="AZ823" i="4"/>
  <c r="BA823" i="4" s="1"/>
  <c r="AZ808" i="4"/>
  <c r="AJ805" i="4"/>
  <c r="AF771" i="4"/>
  <c r="AF775" i="4"/>
  <c r="AF759" i="4"/>
  <c r="AF779" i="4"/>
  <c r="AV745" i="4"/>
  <c r="AX745" i="4" s="1"/>
  <c r="AD738" i="4"/>
  <c r="AQ578" i="4"/>
  <c r="AP578" i="4"/>
  <c r="AN473" i="4"/>
  <c r="AN481" i="4"/>
  <c r="AN474" i="4"/>
  <c r="AN466" i="4"/>
  <c r="AN469" i="4"/>
  <c r="AN470" i="4"/>
  <c r="AL372" i="4"/>
  <c r="AK372" i="4"/>
  <c r="AP207" i="4"/>
  <c r="AO207" i="4"/>
  <c r="I82" i="9"/>
  <c r="L82" i="9" s="1"/>
  <c r="L49" i="9"/>
  <c r="BE10" i="9"/>
  <c r="BG10" i="9" s="1"/>
  <c r="BA10" i="9"/>
  <c r="AY43" i="9"/>
  <c r="AR506" i="4"/>
  <c r="AS506" i="4" s="1"/>
  <c r="AR502" i="4"/>
  <c r="AU502" i="4" s="1"/>
  <c r="AR511" i="4"/>
  <c r="AR492" i="4"/>
  <c r="AR504" i="4"/>
  <c r="AR509" i="4"/>
  <c r="BC195" i="4"/>
  <c r="AW84" i="4"/>
  <c r="AP854" i="4"/>
  <c r="AJ758" i="4"/>
  <c r="AJ775" i="4"/>
  <c r="AJ859" i="4"/>
  <c r="AN833" i="4"/>
  <c r="AN828" i="4"/>
  <c r="AP828" i="4" s="1"/>
  <c r="AJ823" i="4"/>
  <c r="AD778" i="4"/>
  <c r="AD760" i="4"/>
  <c r="BC717" i="4"/>
  <c r="BB717" i="4"/>
  <c r="AD644" i="4"/>
  <c r="AJ585" i="4"/>
  <c r="AJ589" i="4"/>
  <c r="AJ582" i="4"/>
  <c r="AJ579" i="4"/>
  <c r="AJ586" i="4"/>
  <c r="AJ590" i="4"/>
  <c r="AJ597" i="4"/>
  <c r="AJ600" i="4"/>
  <c r="AJ583" i="4"/>
  <c r="AJ598" i="4"/>
  <c r="AJ601" i="4"/>
  <c r="AL601" i="4" s="1"/>
  <c r="AJ587" i="4"/>
  <c r="AJ591" i="4"/>
  <c r="AJ580" i="4"/>
  <c r="AJ592" i="4"/>
  <c r="AJ581" i="4"/>
  <c r="AL581" i="4" s="1"/>
  <c r="AN557" i="4"/>
  <c r="Q46" i="9"/>
  <c r="O79" i="9"/>
  <c r="Q79" i="9" s="1"/>
  <c r="BC675" i="4"/>
  <c r="AT797" i="4"/>
  <c r="BC172" i="4"/>
  <c r="AT229" i="4"/>
  <c r="AH164" i="4"/>
  <c r="AW100" i="4"/>
  <c r="BC591" i="4"/>
  <c r="AN839" i="4"/>
  <c r="AZ804" i="4"/>
  <c r="BA804" i="4" s="1"/>
  <c r="AF643" i="4"/>
  <c r="AY595" i="4"/>
  <c r="AX595" i="4"/>
  <c r="AF585" i="4"/>
  <c r="AF586" i="4"/>
  <c r="AL270" i="4"/>
  <c r="AM270" i="4"/>
  <c r="BZ82" i="9"/>
  <c r="CC82" i="9"/>
  <c r="CF82" i="9" s="1"/>
  <c r="I50" i="9"/>
  <c r="L17" i="9"/>
  <c r="AD748" i="4"/>
  <c r="AD744" i="4"/>
  <c r="F45" i="9"/>
  <c r="C78" i="9"/>
  <c r="F78" i="9" s="1"/>
  <c r="AW675" i="4"/>
  <c r="AQ442" i="4"/>
  <c r="BA300" i="4"/>
  <c r="AJ773" i="4"/>
  <c r="AD743" i="4"/>
  <c r="AJ768" i="4"/>
  <c r="AV865" i="4"/>
  <c r="AX865" i="4" s="1"/>
  <c r="AR838" i="4"/>
  <c r="AS838" i="4" s="1"/>
  <c r="AZ832" i="4"/>
  <c r="AZ822" i="4"/>
  <c r="BA822" i="4" s="1"/>
  <c r="AJ808" i="4"/>
  <c r="AJ798" i="4"/>
  <c r="AJ792" i="4"/>
  <c r="AJ770" i="4"/>
  <c r="AR717" i="4"/>
  <c r="AD643" i="4"/>
  <c r="AV522" i="4"/>
  <c r="AV540" i="4"/>
  <c r="AY540" i="4" s="1"/>
  <c r="AV521" i="4"/>
  <c r="AV533" i="4"/>
  <c r="AV535" i="4"/>
  <c r="AY535" i="4" s="1"/>
  <c r="AN414" i="4"/>
  <c r="AP414" i="4" s="1"/>
  <c r="AX358" i="4"/>
  <c r="AW358" i="4"/>
  <c r="AJ776" i="4"/>
  <c r="AY793" i="4"/>
  <c r="AL761" i="4"/>
  <c r="AM869" i="4"/>
  <c r="AJ858" i="4"/>
  <c r="AN827" i="4"/>
  <c r="AH822" i="4"/>
  <c r="AG822" i="4"/>
  <c r="AJ811" i="4"/>
  <c r="AD808" i="4"/>
  <c r="AZ802" i="4"/>
  <c r="AH743" i="4"/>
  <c r="AR710" i="4"/>
  <c r="AR563" i="4"/>
  <c r="AX353" i="4"/>
  <c r="AW353" i="4"/>
  <c r="L25" i="9"/>
  <c r="I58" i="9"/>
  <c r="AO732" i="4"/>
  <c r="BB617" i="4"/>
  <c r="AJ765" i="4"/>
  <c r="AJ767" i="4"/>
  <c r="AZ788" i="4"/>
  <c r="AZ789" i="4"/>
  <c r="AZ809" i="4"/>
  <c r="AD668" i="4"/>
  <c r="AD674" i="4"/>
  <c r="AD685" i="4"/>
  <c r="AD676" i="4"/>
  <c r="AD689" i="4"/>
  <c r="AN523" i="4"/>
  <c r="AN536" i="4"/>
  <c r="AN537" i="4"/>
  <c r="AN541" i="4"/>
  <c r="AN533" i="4"/>
  <c r="AP533" i="4" s="1"/>
  <c r="AN534" i="4"/>
  <c r="AP534" i="4" s="1"/>
  <c r="AN531" i="4"/>
  <c r="BC111" i="4"/>
  <c r="BB111" i="4"/>
  <c r="C58" i="9"/>
  <c r="F25" i="9"/>
  <c r="BB790" i="4"/>
  <c r="AM781" i="4"/>
  <c r="AT641" i="4"/>
  <c r="AT555" i="4"/>
  <c r="BC741" i="4"/>
  <c r="AL737" i="4"/>
  <c r="BB229" i="4"/>
  <c r="AY237" i="4"/>
  <c r="AD747" i="4"/>
  <c r="AJ865" i="4"/>
  <c r="AJ820" i="4"/>
  <c r="AV806" i="4"/>
  <c r="AV795" i="4"/>
  <c r="AV799" i="4"/>
  <c r="AX799" i="4" s="1"/>
  <c r="AV811" i="4"/>
  <c r="AX811" i="4" s="1"/>
  <c r="AJ766" i="4"/>
  <c r="AI501" i="4"/>
  <c r="AH501" i="4"/>
  <c r="AV401" i="4"/>
  <c r="AN340" i="4"/>
  <c r="AN354" i="4"/>
  <c r="AN360" i="4"/>
  <c r="AN359" i="4"/>
  <c r="AQ359" i="4" s="1"/>
  <c r="AN355" i="4"/>
  <c r="AN357" i="4"/>
  <c r="AN361" i="4"/>
  <c r="AN349" i="4"/>
  <c r="AN352" i="4"/>
  <c r="AQ352" i="4" s="1"/>
  <c r="AN358" i="4"/>
  <c r="AP358" i="4" s="1"/>
  <c r="AN350" i="4"/>
  <c r="AQ350" i="4" s="1"/>
  <c r="I93" i="9"/>
  <c r="L93" i="9" s="1"/>
  <c r="L60" i="9"/>
  <c r="AU73" i="4"/>
  <c r="AL17" i="4"/>
  <c r="AI315" i="4"/>
  <c r="AZ433" i="4"/>
  <c r="AH566" i="4"/>
  <c r="AL584" i="4"/>
  <c r="AL707" i="4"/>
  <c r="AY525" i="4"/>
  <c r="AZ803" i="4"/>
  <c r="AZ857" i="4"/>
  <c r="AD728" i="4"/>
  <c r="AJ759" i="4"/>
  <c r="AJ779" i="4"/>
  <c r="AZ868" i="4"/>
  <c r="AJ861" i="4"/>
  <c r="AV856" i="4"/>
  <c r="AR837" i="4"/>
  <c r="AN832" i="4"/>
  <c r="AP832" i="4" s="1"/>
  <c r="AZ826" i="4"/>
  <c r="BC826" i="4" s="1"/>
  <c r="AJ819" i="4"/>
  <c r="AZ810" i="4"/>
  <c r="AJ802" i="4"/>
  <c r="AR788" i="4"/>
  <c r="AR809" i="4"/>
  <c r="AS809" i="4" s="1"/>
  <c r="AR791" i="4"/>
  <c r="AR713" i="4"/>
  <c r="AD661" i="4"/>
  <c r="AJ599" i="4"/>
  <c r="AN535" i="4"/>
  <c r="AM353" i="4"/>
  <c r="AL353" i="4"/>
  <c r="R65" i="9"/>
  <c r="O98" i="9"/>
  <c r="R98" i="9" s="1"/>
  <c r="C64" i="9"/>
  <c r="F31" i="9"/>
  <c r="BN26" i="9"/>
  <c r="BK59" i="9"/>
  <c r="AT773" i="4"/>
  <c r="AU552" i="4"/>
  <c r="AH683" i="4"/>
  <c r="AI442" i="4"/>
  <c r="AP234" i="4"/>
  <c r="AP175" i="4"/>
  <c r="AN776" i="4"/>
  <c r="AN763" i="4"/>
  <c r="AI794" i="4"/>
  <c r="AI825" i="4"/>
  <c r="AZ869" i="4"/>
  <c r="AD731" i="4"/>
  <c r="AH840" i="4"/>
  <c r="AT819" i="4"/>
  <c r="AP855" i="4"/>
  <c r="AN837" i="4"/>
  <c r="AO837" i="4" s="1"/>
  <c r="AV810" i="4"/>
  <c r="AP806" i="4"/>
  <c r="AD802" i="4"/>
  <c r="AN795" i="4"/>
  <c r="AN799" i="4"/>
  <c r="AN811" i="4"/>
  <c r="AN791" i="4"/>
  <c r="AN800" i="4"/>
  <c r="AN804" i="4"/>
  <c r="AN807" i="4"/>
  <c r="AF763" i="4"/>
  <c r="AM748" i="4"/>
  <c r="AM535" i="4"/>
  <c r="AL535" i="4"/>
  <c r="AV420" i="4"/>
  <c r="AY420" i="4" s="1"/>
  <c r="AF342" i="4"/>
  <c r="AF353" i="4"/>
  <c r="AI353" i="4" s="1"/>
  <c r="AF358" i="4"/>
  <c r="AF351" i="4"/>
  <c r="AF360" i="4"/>
  <c r="AF350" i="4"/>
  <c r="AF355" i="4"/>
  <c r="AF357" i="4"/>
  <c r="AF359" i="4"/>
  <c r="AF361" i="4"/>
  <c r="AR254" i="4"/>
  <c r="AR263" i="4"/>
  <c r="AR258" i="4"/>
  <c r="AR250" i="4"/>
  <c r="AR260" i="4"/>
  <c r="AT260" i="4" s="1"/>
  <c r="AD92" i="9"/>
  <c r="AG92" i="9"/>
  <c r="I98" i="9"/>
  <c r="L98" i="9" s="1"/>
  <c r="L65" i="9"/>
  <c r="AM652" i="4"/>
  <c r="AQ479" i="4"/>
  <c r="AH172" i="4"/>
  <c r="BC141" i="4"/>
  <c r="AD740" i="4"/>
  <c r="AJ777" i="4"/>
  <c r="AD749" i="4"/>
  <c r="AQ870" i="4"/>
  <c r="AI824" i="4"/>
  <c r="AY840" i="4"/>
  <c r="AD745" i="4"/>
  <c r="AV801" i="4"/>
  <c r="AJ791" i="4"/>
  <c r="AJ789" i="4"/>
  <c r="AJ803" i="4"/>
  <c r="AL803" i="4" s="1"/>
  <c r="AJ800" i="4"/>
  <c r="AJ796" i="4"/>
  <c r="AJ804" i="4"/>
  <c r="AJ807" i="4"/>
  <c r="AV732" i="4"/>
  <c r="AV743" i="4"/>
  <c r="AV748" i="4"/>
  <c r="AV739" i="4"/>
  <c r="AY739" i="4" s="1"/>
  <c r="AV750" i="4"/>
  <c r="AW750" i="4" s="1"/>
  <c r="AY405" i="4"/>
  <c r="AJ764" i="4"/>
  <c r="AY794" i="4"/>
  <c r="BB871" i="4"/>
  <c r="AD741" i="4"/>
  <c r="AO864" i="4"/>
  <c r="AZ860" i="4"/>
  <c r="AJ855" i="4"/>
  <c r="AR831" i="4"/>
  <c r="AU831" i="4" s="1"/>
  <c r="AN825" i="4"/>
  <c r="AV825" i="4"/>
  <c r="AV838" i="4"/>
  <c r="AW838" i="4" s="1"/>
  <c r="AV826" i="4"/>
  <c r="AV830" i="4"/>
  <c r="AX830" i="4" s="1"/>
  <c r="AP810" i="4"/>
  <c r="AL806" i="4"/>
  <c r="AP801" i="4"/>
  <c r="AF788" i="4"/>
  <c r="AF797" i="4"/>
  <c r="AF810" i="4"/>
  <c r="AJ762" i="4"/>
  <c r="AR699" i="4"/>
  <c r="AU699" i="4" s="1"/>
  <c r="AO628" i="4"/>
  <c r="AD608" i="4"/>
  <c r="AD618" i="4"/>
  <c r="AD623" i="4"/>
  <c r="AR560" i="4"/>
  <c r="AR550" i="4"/>
  <c r="AJ264" i="4"/>
  <c r="AJ260" i="4"/>
  <c r="AJ253" i="4"/>
  <c r="AU14" i="9"/>
  <c r="AS47" i="9"/>
  <c r="AD570" i="4"/>
  <c r="AD567" i="4"/>
  <c r="AJ564" i="4"/>
  <c r="AR540" i="4"/>
  <c r="AT540" i="4" s="1"/>
  <c r="AD536" i="4"/>
  <c r="AF532" i="4"/>
  <c r="AK526" i="4"/>
  <c r="AJ520" i="4"/>
  <c r="AJ506" i="4"/>
  <c r="AV501" i="4"/>
  <c r="AY501" i="4" s="1"/>
  <c r="AJ496" i="4"/>
  <c r="AD490" i="4"/>
  <c r="AF479" i="4"/>
  <c r="AF460" i="4"/>
  <c r="AN431" i="4"/>
  <c r="AH415" i="4"/>
  <c r="AK402" i="4"/>
  <c r="AJ390" i="4"/>
  <c r="AJ378" i="4"/>
  <c r="AX350" i="4"/>
  <c r="AZ287" i="4"/>
  <c r="AH271" i="4"/>
  <c r="AG271" i="4"/>
  <c r="AU113" i="4"/>
  <c r="BA43" i="4"/>
  <c r="AP52" i="9"/>
  <c r="O82" i="9"/>
  <c r="R82" i="9" s="1"/>
  <c r="R49" i="9"/>
  <c r="AM43" i="9"/>
  <c r="L40" i="9"/>
  <c r="I73" i="9"/>
  <c r="L73" i="9" s="1"/>
  <c r="BY29" i="9"/>
  <c r="BW62" i="9"/>
  <c r="AU23" i="9"/>
  <c r="AS56" i="9"/>
  <c r="BE7" i="9"/>
  <c r="BH7" i="9" s="1"/>
  <c r="AY40" i="9"/>
  <c r="AN710" i="4"/>
  <c r="AN707" i="4"/>
  <c r="AD558" i="4"/>
  <c r="AJ510" i="4"/>
  <c r="AF471" i="4"/>
  <c r="AV429" i="4"/>
  <c r="AR410" i="4"/>
  <c r="AJ386" i="4"/>
  <c r="AR343" i="4"/>
  <c r="AR347" i="4"/>
  <c r="AR349" i="4"/>
  <c r="AS349" i="4" s="1"/>
  <c r="AR354" i="4"/>
  <c r="AP315" i="4"/>
  <c r="AO315" i="4"/>
  <c r="AD264" i="4"/>
  <c r="AZ220" i="4"/>
  <c r="AZ230" i="4"/>
  <c r="AZ238" i="4"/>
  <c r="F40" i="9"/>
  <c r="C73" i="9"/>
  <c r="F73" i="9" s="1"/>
  <c r="BM15" i="9"/>
  <c r="BK48" i="9"/>
  <c r="AG9" i="9"/>
  <c r="AI9" i="9" s="1"/>
  <c r="AA42" i="9"/>
  <c r="AC9" i="9"/>
  <c r="AP7" i="9"/>
  <c r="AM40" i="9"/>
  <c r="AJ371" i="4"/>
  <c r="AJ368" i="4"/>
  <c r="AJ338" i="4"/>
  <c r="AJ349" i="4"/>
  <c r="AK349" i="4" s="1"/>
  <c r="AJ339" i="4"/>
  <c r="AJ348" i="4"/>
  <c r="AR222" i="4"/>
  <c r="AR220" i="4"/>
  <c r="AR228" i="4"/>
  <c r="AR236" i="4"/>
  <c r="AR224" i="4"/>
  <c r="AR232" i="4"/>
  <c r="BZ63" i="9"/>
  <c r="BW96" i="9"/>
  <c r="BZ96" i="9" s="1"/>
  <c r="U9" i="9"/>
  <c r="O42" i="9"/>
  <c r="AP717" i="4"/>
  <c r="BA714" i="4"/>
  <c r="AN712" i="4"/>
  <c r="AP712" i="4" s="1"/>
  <c r="AN709" i="4"/>
  <c r="AN703" i="4"/>
  <c r="AX613" i="4"/>
  <c r="AZ568" i="4"/>
  <c r="AD566" i="4"/>
  <c r="AD560" i="4"/>
  <c r="AJ557" i="4"/>
  <c r="AF552" i="4"/>
  <c r="AJ549" i="4"/>
  <c r="AR539" i="4"/>
  <c r="AF535" i="4"/>
  <c r="AR530" i="4"/>
  <c r="AJ525" i="4"/>
  <c r="AV504" i="4"/>
  <c r="AY504" i="4" s="1"/>
  <c r="AJ494" i="4"/>
  <c r="AR476" i="4"/>
  <c r="AR469" i="4"/>
  <c r="AD440" i="4"/>
  <c r="AV431" i="4"/>
  <c r="AR420" i="4"/>
  <c r="AZ413" i="4"/>
  <c r="AJ385" i="4"/>
  <c r="AJ377" i="4"/>
  <c r="AN371" i="4"/>
  <c r="AP371" i="4" s="1"/>
  <c r="AJ360" i="4"/>
  <c r="AL360" i="4" s="1"/>
  <c r="AR358" i="4"/>
  <c r="AT358" i="4" s="1"/>
  <c r="AR352" i="4"/>
  <c r="AJ350" i="4"/>
  <c r="AJ347" i="4"/>
  <c r="AK347" i="4" s="1"/>
  <c r="AD343" i="4"/>
  <c r="AD351" i="4"/>
  <c r="AD359" i="4"/>
  <c r="AD340" i="4"/>
  <c r="AD348" i="4"/>
  <c r="AD350" i="4"/>
  <c r="AD345" i="4"/>
  <c r="AZ282" i="4"/>
  <c r="AL206" i="4"/>
  <c r="AM206" i="4"/>
  <c r="AM200" i="4"/>
  <c r="AO57" i="9"/>
  <c r="AM90" i="9"/>
  <c r="AO90" i="9" s="1"/>
  <c r="L46" i="9"/>
  <c r="I79" i="9"/>
  <c r="L79" i="9" s="1"/>
  <c r="AP10" i="9"/>
  <c r="AD552" i="4"/>
  <c r="AR534" i="4"/>
  <c r="AJ381" i="4"/>
  <c r="AD250" i="4"/>
  <c r="AD248" i="4"/>
  <c r="AD256" i="4"/>
  <c r="AD257" i="4"/>
  <c r="AD271" i="4"/>
  <c r="AD260" i="4"/>
  <c r="AD267" i="4"/>
  <c r="AD252" i="4"/>
  <c r="AD262" i="4"/>
  <c r="AV53" i="9"/>
  <c r="AS86" i="9"/>
  <c r="AV86" i="9" s="1"/>
  <c r="BB26" i="9"/>
  <c r="AY59" i="9"/>
  <c r="C51" i="9"/>
  <c r="F18" i="9"/>
  <c r="AJ735" i="4"/>
  <c r="AN688" i="4"/>
  <c r="AZ677" i="4"/>
  <c r="AN641" i="4"/>
  <c r="AY594" i="4"/>
  <c r="AY579" i="4"/>
  <c r="AD563" i="4"/>
  <c r="AD557" i="4"/>
  <c r="AK529" i="4"/>
  <c r="AD525" i="4"/>
  <c r="AV508" i="4"/>
  <c r="AJ504" i="4"/>
  <c r="AL504" i="4" s="1"/>
  <c r="AF500" i="4"/>
  <c r="AI500" i="4" s="1"/>
  <c r="AF494" i="4"/>
  <c r="AJ488" i="4"/>
  <c r="AK488" i="4" s="1"/>
  <c r="AD405" i="4"/>
  <c r="AJ401" i="4"/>
  <c r="AN388" i="4"/>
  <c r="AN384" i="4"/>
  <c r="AF381" i="4"/>
  <c r="AH381" i="4" s="1"/>
  <c r="AN376" i="4"/>
  <c r="AZ370" i="4"/>
  <c r="AJ356" i="4"/>
  <c r="AJ354" i="4"/>
  <c r="AJ352" i="4"/>
  <c r="AL352" i="4" s="1"/>
  <c r="AV346" i="4"/>
  <c r="AF322" i="4"/>
  <c r="AH322" i="4" s="1"/>
  <c r="AZ280" i="4"/>
  <c r="AD258" i="4"/>
  <c r="AM209" i="4"/>
  <c r="AL209" i="4"/>
  <c r="AJ143" i="4"/>
  <c r="BA115" i="4"/>
  <c r="BB115" i="4"/>
  <c r="AP104" i="4"/>
  <c r="AO104" i="4"/>
  <c r="AZ46" i="4"/>
  <c r="AZ40" i="4"/>
  <c r="BN61" i="9"/>
  <c r="BK94" i="9"/>
  <c r="BN94" i="9" s="1"/>
  <c r="AP53" i="9"/>
  <c r="AM86" i="9"/>
  <c r="AP86" i="9" s="1"/>
  <c r="AG41" i="9"/>
  <c r="AI41" i="9" s="1"/>
  <c r="F32" i="9"/>
  <c r="C65" i="9"/>
  <c r="BW60" i="9"/>
  <c r="BY27" i="9"/>
  <c r="AH622" i="4"/>
  <c r="AL538" i="4"/>
  <c r="AJ534" i="4"/>
  <c r="AJ524" i="4"/>
  <c r="AF518" i="4"/>
  <c r="AJ508" i="4"/>
  <c r="AM508" i="4" s="1"/>
  <c r="AH504" i="4"/>
  <c r="AV499" i="4"/>
  <c r="AV493" i="4"/>
  <c r="AN451" i="4"/>
  <c r="AV437" i="4"/>
  <c r="AN429" i="4"/>
  <c r="AJ388" i="4"/>
  <c r="AL388" i="4" s="1"/>
  <c r="AZ380" i="4"/>
  <c r="BB380" i="4" s="1"/>
  <c r="AJ376" i="4"/>
  <c r="AL376" i="4" s="1"/>
  <c r="AV370" i="4"/>
  <c r="AD360" i="4"/>
  <c r="AJ358" i="4"/>
  <c r="AD356" i="4"/>
  <c r="AD354" i="4"/>
  <c r="AD352" i="4"/>
  <c r="AV349" i="4"/>
  <c r="AX349" i="4" s="1"/>
  <c r="AR346" i="4"/>
  <c r="AS346" i="4" s="1"/>
  <c r="AR341" i="4"/>
  <c r="AD331" i="4"/>
  <c r="AZ295" i="4"/>
  <c r="AD269" i="4"/>
  <c r="AR240" i="4"/>
  <c r="AY211" i="4"/>
  <c r="AX211" i="4"/>
  <c r="AF200" i="4"/>
  <c r="AI200" i="4" s="1"/>
  <c r="AF208" i="4"/>
  <c r="AG208" i="4" s="1"/>
  <c r="AF195" i="4"/>
  <c r="AF211" i="4"/>
  <c r="AH211" i="4" s="1"/>
  <c r="AX103" i="4"/>
  <c r="AP101" i="4"/>
  <c r="AO101" i="4"/>
  <c r="AZ76" i="4"/>
  <c r="AZ72" i="4"/>
  <c r="AZ88" i="4"/>
  <c r="BB88" i="4" s="1"/>
  <c r="AZ82" i="4"/>
  <c r="AZ89" i="4"/>
  <c r="AZ74" i="4"/>
  <c r="AZ84" i="4"/>
  <c r="AZ90" i="4"/>
  <c r="BA90" i="4" s="1"/>
  <c r="AZ80" i="4"/>
  <c r="BC80" i="4" s="1"/>
  <c r="AZ47" i="4"/>
  <c r="BA47" i="4" s="1"/>
  <c r="BB61" i="9"/>
  <c r="AY94" i="9"/>
  <c r="BB94" i="9" s="1"/>
  <c r="AC41" i="9"/>
  <c r="L39" i="9"/>
  <c r="I72" i="9"/>
  <c r="L72" i="9" s="1"/>
  <c r="AJ551" i="4"/>
  <c r="AD548" i="4"/>
  <c r="AD524" i="4"/>
  <c r="AH508" i="4"/>
  <c r="AJ499" i="4"/>
  <c r="AD492" i="4"/>
  <c r="AF475" i="4"/>
  <c r="AV449" i="4"/>
  <c r="AJ384" i="4"/>
  <c r="BA355" i="4"/>
  <c r="BB355" i="4"/>
  <c r="AJ346" i="4"/>
  <c r="AJ341" i="4"/>
  <c r="AZ278" i="4"/>
  <c r="BC278" i="4" s="1"/>
  <c r="AZ281" i="4"/>
  <c r="AZ296" i="4"/>
  <c r="AZ297" i="4"/>
  <c r="AZ298" i="4"/>
  <c r="AZ292" i="4"/>
  <c r="AZ299" i="4"/>
  <c r="AZ293" i="4"/>
  <c r="AZ284" i="4"/>
  <c r="AZ294" i="4"/>
  <c r="AZ226" i="4"/>
  <c r="AD197" i="4"/>
  <c r="AD204" i="4"/>
  <c r="AD210" i="4"/>
  <c r="AD194" i="4"/>
  <c r="AV38" i="4"/>
  <c r="AV39" i="4"/>
  <c r="AV52" i="4"/>
  <c r="AW52" i="4" s="1"/>
  <c r="AV48" i="4"/>
  <c r="AW48" i="4" s="1"/>
  <c r="AV40" i="4"/>
  <c r="AW40" i="4" s="1"/>
  <c r="AV43" i="4"/>
  <c r="AV55" i="4"/>
  <c r="AV59" i="4"/>
  <c r="AV44" i="4"/>
  <c r="AV56" i="4"/>
  <c r="AX56" i="4" s="1"/>
  <c r="AV60" i="4"/>
  <c r="AD81" i="9"/>
  <c r="AG81" i="9"/>
  <c r="AJ81" i="9" s="1"/>
  <c r="AP61" i="9"/>
  <c r="AM94" i="9"/>
  <c r="AP94" i="9" s="1"/>
  <c r="F39" i="9"/>
  <c r="C72" i="9"/>
  <c r="F72" i="9" s="1"/>
  <c r="BZ11" i="9"/>
  <c r="BW44" i="9"/>
  <c r="AN657" i="4"/>
  <c r="AD571" i="4"/>
  <c r="AD568" i="4"/>
  <c r="AD559" i="4"/>
  <c r="AD555" i="4"/>
  <c r="AD551" i="4"/>
  <c r="AV503" i="4"/>
  <c r="AJ493" i="4"/>
  <c r="AD475" i="4"/>
  <c r="AR465" i="4"/>
  <c r="AD448" i="4"/>
  <c r="AG416" i="4"/>
  <c r="AN391" i="4"/>
  <c r="AN387" i="4"/>
  <c r="AF384" i="4"/>
  <c r="AH384" i="4" s="1"/>
  <c r="AZ374" i="4"/>
  <c r="AJ370" i="4"/>
  <c r="AV361" i="4"/>
  <c r="AD358" i="4"/>
  <c r="AV355" i="4"/>
  <c r="AD346" i="4"/>
  <c r="AF329" i="4"/>
  <c r="AG329" i="4" s="1"/>
  <c r="AD268" i="4"/>
  <c r="AV47" i="4"/>
  <c r="I78" i="9"/>
  <c r="L78" i="9" s="1"/>
  <c r="BA47" i="9"/>
  <c r="BZ38" i="9"/>
  <c r="BW71" i="9"/>
  <c r="AD33" i="9"/>
  <c r="AA66" i="9"/>
  <c r="AA99" i="9" s="1"/>
  <c r="AC99" i="9" s="1"/>
  <c r="AG19" i="9"/>
  <c r="AA52" i="9"/>
  <c r="BN11" i="9"/>
  <c r="BK44" i="9"/>
  <c r="AF839" i="4"/>
  <c r="AG839" i="4" s="1"/>
  <c r="AH818" i="4"/>
  <c r="AJ749" i="4"/>
  <c r="AM749" i="4" s="1"/>
  <c r="AJ744" i="4"/>
  <c r="AL744" i="4" s="1"/>
  <c r="AF740" i="4"/>
  <c r="AF733" i="4"/>
  <c r="AZ721" i="4"/>
  <c r="AN708" i="4"/>
  <c r="AP708" i="4" s="1"/>
  <c r="AG702" i="4"/>
  <c r="AZ685" i="4"/>
  <c r="AX617" i="4"/>
  <c r="AZ593" i="4"/>
  <c r="AR582" i="4"/>
  <c r="AZ570" i="4"/>
  <c r="AD565" i="4"/>
  <c r="AD562" i="4"/>
  <c r="AR528" i="4"/>
  <c r="AT528" i="4" s="1"/>
  <c r="AV511" i="4"/>
  <c r="AJ503" i="4"/>
  <c r="AV498" i="4"/>
  <c r="AR481" i="4"/>
  <c r="AD464" i="4"/>
  <c r="AD412" i="4"/>
  <c r="AJ387" i="4"/>
  <c r="AM387" i="4" s="1"/>
  <c r="AJ380" i="4"/>
  <c r="AJ369" i="4"/>
  <c r="AR361" i="4"/>
  <c r="AR351" i="4"/>
  <c r="AT351" i="4" s="1"/>
  <c r="AR339" i="4"/>
  <c r="AU339" i="4" s="1"/>
  <c r="AR279" i="4"/>
  <c r="AU279" i="4" s="1"/>
  <c r="AR288" i="4"/>
  <c r="AR300" i="4"/>
  <c r="AD112" i="4"/>
  <c r="AD106" i="4"/>
  <c r="AD117" i="4"/>
  <c r="AD119" i="4"/>
  <c r="AD110" i="4"/>
  <c r="AD113" i="4"/>
  <c r="AD101" i="4"/>
  <c r="AD118" i="4"/>
  <c r="AD108" i="4"/>
  <c r="AD116" i="4"/>
  <c r="AZ55" i="4"/>
  <c r="BB55" i="4" s="1"/>
  <c r="AQ50" i="4"/>
  <c r="AP50" i="4"/>
  <c r="X33" i="9"/>
  <c r="U66" i="9"/>
  <c r="AO55" i="9"/>
  <c r="AM88" i="9"/>
  <c r="AO88" i="9" s="1"/>
  <c r="BQ20" i="9"/>
  <c r="BT20" i="9" s="1"/>
  <c r="BK53" i="9"/>
  <c r="AD858" i="4"/>
  <c r="AF732" i="4"/>
  <c r="AN718" i="4"/>
  <c r="AN705" i="4"/>
  <c r="AP705" i="4" s="1"/>
  <c r="AN675" i="4"/>
  <c r="AZ668" i="4"/>
  <c r="AR656" i="4"/>
  <c r="AD600" i="4"/>
  <c r="AV589" i="4"/>
  <c r="AN582" i="4"/>
  <c r="AZ564" i="4"/>
  <c r="AZ561" i="4"/>
  <c r="AZ558" i="4"/>
  <c r="AF550" i="4"/>
  <c r="AH550" i="4" s="1"/>
  <c r="AJ541" i="4"/>
  <c r="AJ537" i="4"/>
  <c r="AL537" i="4" s="1"/>
  <c r="AJ533" i="4"/>
  <c r="AJ528" i="4"/>
  <c r="AJ522" i="4"/>
  <c r="AF498" i="4"/>
  <c r="AD474" i="4"/>
  <c r="AN447" i="4"/>
  <c r="AJ419" i="4"/>
  <c r="AM419" i="4" s="1"/>
  <c r="AZ411" i="4"/>
  <c r="BB411" i="4" s="1"/>
  <c r="AJ408" i="4"/>
  <c r="AJ404" i="4"/>
  <c r="AD400" i="4"/>
  <c r="AJ391" i="4"/>
  <c r="AV379" i="4"/>
  <c r="AF369" i="4"/>
  <c r="AG369" i="4" s="1"/>
  <c r="AV359" i="4"/>
  <c r="AR357" i="4"/>
  <c r="AS357" i="4" s="1"/>
  <c r="AR355" i="4"/>
  <c r="AW348" i="4"/>
  <c r="AN281" i="4"/>
  <c r="AP281" i="4" s="1"/>
  <c r="AN283" i="4"/>
  <c r="AW203" i="4"/>
  <c r="AX203" i="4"/>
  <c r="AX91" i="4"/>
  <c r="U90" i="9"/>
  <c r="W90" i="9" s="1"/>
  <c r="AD63" i="9"/>
  <c r="AA96" i="9"/>
  <c r="AD96" i="9" s="1"/>
  <c r="AS75" i="9"/>
  <c r="AV75" i="9" s="1"/>
  <c r="AV42" i="9"/>
  <c r="BQ28" i="9"/>
  <c r="BT28" i="9" s="1"/>
  <c r="BN28" i="9"/>
  <c r="AG22" i="9"/>
  <c r="AI22" i="9" s="1"/>
  <c r="AA55" i="9"/>
  <c r="AA88" i="9" s="1"/>
  <c r="AG88" i="9" s="1"/>
  <c r="AI88" i="9" s="1"/>
  <c r="AC22" i="9"/>
  <c r="AF749" i="4"/>
  <c r="AF744" i="4"/>
  <c r="AJ731" i="4"/>
  <c r="AK731" i="4" s="1"/>
  <c r="AM718" i="4"/>
  <c r="AF626" i="4"/>
  <c r="AH626" i="4" s="1"/>
  <c r="AN621" i="4"/>
  <c r="AN617" i="4"/>
  <c r="AN611" i="4"/>
  <c r="AN608" i="4"/>
  <c r="AV593" i="4"/>
  <c r="AV582" i="4"/>
  <c r="AF554" i="4"/>
  <c r="AD550" i="4"/>
  <c r="AF541" i="4"/>
  <c r="AD537" i="4"/>
  <c r="AF533" i="4"/>
  <c r="AD528" i="4"/>
  <c r="AJ511" i="4"/>
  <c r="AV502" i="4"/>
  <c r="AD498" i="4"/>
  <c r="AD480" i="4"/>
  <c r="AF463" i="4"/>
  <c r="AV445" i="4"/>
  <c r="AV433" i="4"/>
  <c r="AJ383" i="4"/>
  <c r="AJ374" i="4"/>
  <c r="AR359" i="4"/>
  <c r="AS359" i="4" s="1"/>
  <c r="AJ351" i="4"/>
  <c r="AR345" i="4"/>
  <c r="BC340" i="4"/>
  <c r="BB340" i="4"/>
  <c r="AD328" i="4"/>
  <c r="AP318" i="4"/>
  <c r="AQ318" i="4"/>
  <c r="AZ291" i="4"/>
  <c r="AJ279" i="4"/>
  <c r="AJ287" i="4"/>
  <c r="AJ296" i="4"/>
  <c r="AD266" i="4"/>
  <c r="AD253" i="4"/>
  <c r="AY210" i="4"/>
  <c r="AO208" i="4"/>
  <c r="AP208" i="4"/>
  <c r="AL26" i="4"/>
  <c r="AM26" i="4"/>
  <c r="R63" i="9"/>
  <c r="O96" i="9"/>
  <c r="R96" i="9" s="1"/>
  <c r="AY91" i="9"/>
  <c r="BE91" i="9" s="1"/>
  <c r="BH91" i="9" s="1"/>
  <c r="BE58" i="9"/>
  <c r="BH58" i="9" s="1"/>
  <c r="AP42" i="9"/>
  <c r="AM75" i="9"/>
  <c r="AP75" i="9" s="1"/>
  <c r="R55" i="9"/>
  <c r="O88" i="9"/>
  <c r="R88" i="9" s="1"/>
  <c r="F13" i="9"/>
  <c r="C46" i="9"/>
  <c r="AF826" i="4"/>
  <c r="AZ748" i="4"/>
  <c r="BC748" i="4" s="1"/>
  <c r="AJ739" i="4"/>
  <c r="AF731" i="4"/>
  <c r="AN716" i="4"/>
  <c r="AZ713" i="4"/>
  <c r="AZ710" i="4"/>
  <c r="AZ704" i="4"/>
  <c r="AN701" i="4"/>
  <c r="AO701" i="4" s="1"/>
  <c r="AF691" i="4"/>
  <c r="AG691" i="4" s="1"/>
  <c r="AZ673" i="4"/>
  <c r="AF617" i="4"/>
  <c r="AI617" i="4" s="1"/>
  <c r="AN593" i="4"/>
  <c r="AN589" i="4"/>
  <c r="AF561" i="4"/>
  <c r="AJ558" i="4"/>
  <c r="AL558" i="4" s="1"/>
  <c r="AD554" i="4"/>
  <c r="AJ532" i="4"/>
  <c r="AF511" i="4"/>
  <c r="AJ507" i="4"/>
  <c r="AJ497" i="4"/>
  <c r="AJ491" i="4"/>
  <c r="AR472" i="4"/>
  <c r="AD462" i="4"/>
  <c r="AN390" i="4"/>
  <c r="AQ390" i="4" s="1"/>
  <c r="AN379" i="4"/>
  <c r="AJ361" i="4"/>
  <c r="AM361" i="4" s="1"/>
  <c r="AJ357" i="4"/>
  <c r="AL357" i="4" s="1"/>
  <c r="AR353" i="4"/>
  <c r="AJ308" i="4"/>
  <c r="AJ323" i="4"/>
  <c r="AM323" i="4" s="1"/>
  <c r="AJ322" i="4"/>
  <c r="AZ290" i="4"/>
  <c r="AZ222" i="4"/>
  <c r="BA107" i="4"/>
  <c r="BB107" i="4"/>
  <c r="AD102" i="4"/>
  <c r="CC85" i="9"/>
  <c r="BY85" i="9"/>
  <c r="L63" i="9"/>
  <c r="I96" i="9"/>
  <c r="L96" i="9" s="1"/>
  <c r="L22" i="9"/>
  <c r="I55" i="9"/>
  <c r="L55" i="9" s="1"/>
  <c r="AO14" i="9"/>
  <c r="AM47" i="9"/>
  <c r="X6" i="9"/>
  <c r="U39" i="9"/>
  <c r="AF830" i="4"/>
  <c r="AH830" i="4" s="1"/>
  <c r="AJ730" i="4"/>
  <c r="AN721" i="4"/>
  <c r="AZ707" i="4"/>
  <c r="AZ700" i="4"/>
  <c r="AF673" i="4"/>
  <c r="AF621" i="4"/>
  <c r="AF611" i="4"/>
  <c r="AN596" i="4"/>
  <c r="AP585" i="4"/>
  <c r="AO581" i="4"/>
  <c r="AF570" i="4"/>
  <c r="AF567" i="4"/>
  <c r="AD561" i="4"/>
  <c r="AZ553" i="4"/>
  <c r="AJ536" i="4"/>
  <c r="AJ527" i="4"/>
  <c r="AV490" i="4"/>
  <c r="AD472" i="4"/>
  <c r="AR461" i="4"/>
  <c r="AO386" i="4"/>
  <c r="AJ359" i="4"/>
  <c r="AJ355" i="4"/>
  <c r="AM355" i="4" s="1"/>
  <c r="AR348" i="4"/>
  <c r="AV340" i="4"/>
  <c r="AV341" i="4"/>
  <c r="AX341" i="4" s="1"/>
  <c r="AV343" i="4"/>
  <c r="AV344" i="4"/>
  <c r="AV351" i="4"/>
  <c r="AV354" i="4"/>
  <c r="AW354" i="4" s="1"/>
  <c r="AV360" i="4"/>
  <c r="AY360" i="4" s="1"/>
  <c r="AV356" i="4"/>
  <c r="AF321" i="4"/>
  <c r="AH321" i="4" s="1"/>
  <c r="AF330" i="4"/>
  <c r="AG330" i="4" s="1"/>
  <c r="AF309" i="4"/>
  <c r="AH309" i="4" s="1"/>
  <c r="AF311" i="4"/>
  <c r="AF313" i="4"/>
  <c r="AF319" i="4"/>
  <c r="AZ288" i="4"/>
  <c r="AD265" i="4"/>
  <c r="AD249" i="4"/>
  <c r="AZ234" i="4"/>
  <c r="AY189" i="4"/>
  <c r="AJ128" i="4"/>
  <c r="AJ132" i="4"/>
  <c r="AK132" i="4" s="1"/>
  <c r="AJ148" i="4"/>
  <c r="AL148" i="4" s="1"/>
  <c r="AJ144" i="4"/>
  <c r="AM144" i="4" s="1"/>
  <c r="AJ136" i="4"/>
  <c r="AJ142" i="4"/>
  <c r="AM142" i="4" s="1"/>
  <c r="AJ146" i="4"/>
  <c r="BB117" i="4"/>
  <c r="AD114" i="4"/>
  <c r="Q56" i="9"/>
  <c r="AS43" i="9"/>
  <c r="R40" i="9"/>
  <c r="O73" i="9"/>
  <c r="R73" i="9" s="1"/>
  <c r="X31" i="9"/>
  <c r="U64" i="9"/>
  <c r="CC29" i="9"/>
  <c r="CE29" i="9" s="1"/>
  <c r="BA23" i="9"/>
  <c r="AY56" i="9"/>
  <c r="BY15" i="9"/>
  <c r="BW48" i="9"/>
  <c r="CC15" i="9"/>
  <c r="CE15" i="9" s="1"/>
  <c r="AD14" i="9"/>
  <c r="AA47" i="9"/>
  <c r="BQ7" i="9"/>
  <c r="BS7" i="9" s="1"/>
  <c r="BK40" i="9"/>
  <c r="BK73" i="9" s="1"/>
  <c r="R6" i="9"/>
  <c r="O39" i="9"/>
  <c r="AN255" i="4"/>
  <c r="AN241" i="4"/>
  <c r="AJ234" i="4"/>
  <c r="AD227" i="4"/>
  <c r="AF219" i="4"/>
  <c r="AN205" i="4"/>
  <c r="AV202" i="4"/>
  <c r="AR150" i="4"/>
  <c r="AR120" i="4"/>
  <c r="AS120" i="4" s="1"/>
  <c r="AV113" i="4"/>
  <c r="AR111" i="4"/>
  <c r="AF87" i="4"/>
  <c r="AD70" i="4"/>
  <c r="AR60" i="4"/>
  <c r="AR52" i="4"/>
  <c r="AD48" i="4"/>
  <c r="AF30" i="4"/>
  <c r="AG30" i="4" s="1"/>
  <c r="AJ21" i="4"/>
  <c r="AL21" i="4" s="1"/>
  <c r="AF13" i="4"/>
  <c r="BW61" i="9"/>
  <c r="O45" i="9"/>
  <c r="BK43" i="9"/>
  <c r="BQ43" i="9" s="1"/>
  <c r="BT43" i="9" s="1"/>
  <c r="AQ210" i="4"/>
  <c r="AQ140" i="4"/>
  <c r="AD135" i="4"/>
  <c r="AV119" i="4"/>
  <c r="AF113" i="4"/>
  <c r="AR110" i="4"/>
  <c r="AR99" i="4"/>
  <c r="AR91" i="4"/>
  <c r="AD86" i="4"/>
  <c r="AD77" i="4"/>
  <c r="AJ51" i="4"/>
  <c r="AJ47" i="4"/>
  <c r="AL47" i="4" s="1"/>
  <c r="CC83" i="9"/>
  <c r="CF83" i="9" s="1"/>
  <c r="I81" i="9"/>
  <c r="L81" i="9" s="1"/>
  <c r="AG53" i="9"/>
  <c r="AI53" i="9" s="1"/>
  <c r="BY39" i="9"/>
  <c r="R33" i="9"/>
  <c r="BZ31" i="9"/>
  <c r="BM30" i="9"/>
  <c r="BA29" i="9"/>
  <c r="AP20" i="9"/>
  <c r="U14" i="9"/>
  <c r="BZ12" i="9"/>
  <c r="BE11" i="9"/>
  <c r="BG11" i="9" s="1"/>
  <c r="AC10" i="9"/>
  <c r="AD239" i="4"/>
  <c r="AD232" i="4"/>
  <c r="AD225" i="4"/>
  <c r="AR149" i="4"/>
  <c r="AR117" i="4"/>
  <c r="AF115" i="4"/>
  <c r="AV106" i="4"/>
  <c r="AX106" i="4" s="1"/>
  <c r="AR103" i="4"/>
  <c r="AF51" i="4"/>
  <c r="AD47" i="4"/>
  <c r="AF43" i="4"/>
  <c r="BQ24" i="9"/>
  <c r="BS24" i="9" s="1"/>
  <c r="CC21" i="9"/>
  <c r="CE21" i="9" s="1"/>
  <c r="CC12" i="9"/>
  <c r="CE12" i="9" s="1"/>
  <c r="AZ351" i="4"/>
  <c r="AV331" i="4"/>
  <c r="AN325" i="4"/>
  <c r="AL210" i="4"/>
  <c r="AV208" i="4"/>
  <c r="AV206" i="4"/>
  <c r="AN204" i="4"/>
  <c r="AN201" i="4"/>
  <c r="AN149" i="4"/>
  <c r="AN144" i="4"/>
  <c r="AP144" i="4" s="1"/>
  <c r="AF140" i="4"/>
  <c r="AF134" i="4"/>
  <c r="AH134" i="4" s="1"/>
  <c r="BA121" i="4"/>
  <c r="AR119" i="4"/>
  <c r="AO117" i="4"/>
  <c r="BA114" i="4"/>
  <c r="AV112" i="4"/>
  <c r="AR106" i="4"/>
  <c r="AT106" i="4" s="1"/>
  <c r="BB98" i="4"/>
  <c r="AN59" i="4"/>
  <c r="AF55" i="4"/>
  <c r="AD51" i="4"/>
  <c r="AD43" i="4"/>
  <c r="AN39" i="4"/>
  <c r="AA58" i="9"/>
  <c r="C57" i="9"/>
  <c r="F57" i="9" s="1"/>
  <c r="I51" i="9"/>
  <c r="AV197" i="4"/>
  <c r="AD149" i="4"/>
  <c r="AN139" i="4"/>
  <c r="AP139" i="4" s="1"/>
  <c r="AD85" i="4"/>
  <c r="AF59" i="4"/>
  <c r="AD55" i="4"/>
  <c r="AD25" i="4"/>
  <c r="AA82" i="9"/>
  <c r="CC56" i="9"/>
  <c r="CF56" i="9" s="1"/>
  <c r="AZ357" i="4"/>
  <c r="BC357" i="4" s="1"/>
  <c r="AN331" i="4"/>
  <c r="AV324" i="4"/>
  <c r="AY324" i="4" s="1"/>
  <c r="AV281" i="4"/>
  <c r="AV265" i="4"/>
  <c r="AV258" i="4"/>
  <c r="AD238" i="4"/>
  <c r="AF223" i="4"/>
  <c r="AZ211" i="4"/>
  <c r="BA211" i="4" s="1"/>
  <c r="AN206" i="4"/>
  <c r="AP206" i="4" s="1"/>
  <c r="AV200" i="4"/>
  <c r="AV192" i="4"/>
  <c r="AN148" i="4"/>
  <c r="AD144" i="4"/>
  <c r="AN138" i="4"/>
  <c r="AD133" i="4"/>
  <c r="AV121" i="4"/>
  <c r="AF119" i="4"/>
  <c r="AV114" i="4"/>
  <c r="AR112" i="4"/>
  <c r="AZ109" i="4"/>
  <c r="AF106" i="4"/>
  <c r="AW102" i="4"/>
  <c r="AY98" i="4"/>
  <c r="AR90" i="4"/>
  <c r="AT90" i="4" s="1"/>
  <c r="AR75" i="4"/>
  <c r="AD59" i="4"/>
  <c r="AO54" i="4"/>
  <c r="AF46" i="4"/>
  <c r="AI46" i="4" s="1"/>
  <c r="AD42" i="4"/>
  <c r="AJ40" i="4"/>
  <c r="AY74" i="9"/>
  <c r="AC59" i="9"/>
  <c r="AD28" i="9"/>
  <c r="AS24" i="9"/>
  <c r="AD223" i="4"/>
  <c r="AQ137" i="4"/>
  <c r="AO58" i="4"/>
  <c r="AD50" i="4"/>
  <c r="AD46" i="4"/>
  <c r="O93" i="9"/>
  <c r="Q93" i="9" s="1"/>
  <c r="BM75" i="9"/>
  <c r="AC54" i="9"/>
  <c r="C41" i="9"/>
  <c r="CC32" i="9"/>
  <c r="CF32" i="9" s="1"/>
  <c r="AS30" i="9"/>
  <c r="AG29" i="9"/>
  <c r="AJ29" i="9" s="1"/>
  <c r="AD27" i="9"/>
  <c r="AD16" i="9"/>
  <c r="U15" i="9"/>
  <c r="CC13" i="9"/>
  <c r="CE13" i="9" s="1"/>
  <c r="C95" i="9"/>
  <c r="F95" i="9" s="1"/>
  <c r="O64" i="9"/>
  <c r="C61" i="9"/>
  <c r="AS39" i="9"/>
  <c r="AD370" i="4"/>
  <c r="AZ361" i="4"/>
  <c r="AN330" i="4"/>
  <c r="AN317" i="4"/>
  <c r="AF280" i="4"/>
  <c r="AN229" i="4"/>
  <c r="AJ222" i="4"/>
  <c r="AV209" i="4"/>
  <c r="AV205" i="4"/>
  <c r="AJ196" i="4"/>
  <c r="AK196" i="4" s="1"/>
  <c r="AJ192" i="4"/>
  <c r="AN147" i="4"/>
  <c r="AN143" i="4"/>
  <c r="AN130" i="4"/>
  <c r="AV116" i="4"/>
  <c r="AY116" i="4" s="1"/>
  <c r="AD74" i="4"/>
  <c r="AY27" i="4"/>
  <c r="AF24" i="4"/>
  <c r="AF17" i="4"/>
  <c r="AY96" i="9"/>
  <c r="BA96" i="9" s="1"/>
  <c r="CC84" i="9"/>
  <c r="CF84" i="9" s="1"/>
  <c r="AA83" i="9"/>
  <c r="BY72" i="9"/>
  <c r="AA62" i="9"/>
  <c r="CC41" i="9"/>
  <c r="CE41" i="9" s="1"/>
  <c r="AM39" i="9"/>
  <c r="AD31" i="9"/>
  <c r="BE25" i="9"/>
  <c r="BH25" i="9" s="1"/>
  <c r="Q24" i="9"/>
  <c r="U8" i="9"/>
  <c r="BW76" i="9"/>
  <c r="AV263" i="4"/>
  <c r="AW263" i="4" s="1"/>
  <c r="AF235" i="4"/>
  <c r="AN221" i="4"/>
  <c r="AL211" i="4"/>
  <c r="AN203" i="4"/>
  <c r="AN195" i="4"/>
  <c r="AV191" i="4"/>
  <c r="AN181" i="4"/>
  <c r="AN151" i="4"/>
  <c r="AO136" i="4"/>
  <c r="AZ120" i="4"/>
  <c r="AV118" i="4"/>
  <c r="AO116" i="4"/>
  <c r="AR108" i="4"/>
  <c r="AT108" i="4" s="1"/>
  <c r="AV104" i="4"/>
  <c r="AV101" i="4"/>
  <c r="AD53" i="4"/>
  <c r="AD45" i="4"/>
  <c r="AD40" i="4"/>
  <c r="AJ31" i="4"/>
  <c r="AM31" i="4" s="1"/>
  <c r="AJ23" i="4"/>
  <c r="AF16" i="4"/>
  <c r="AI16" i="4" s="1"/>
  <c r="BQ84" i="9"/>
  <c r="BT84" i="9" s="1"/>
  <c r="AG71" i="9"/>
  <c r="BZ58" i="9"/>
  <c r="BM57" i="9"/>
  <c r="BW46" i="9"/>
  <c r="R31" i="9"/>
  <c r="BA22" i="9"/>
  <c r="R18" i="9"/>
  <c r="AZ352" i="4"/>
  <c r="AN329" i="4"/>
  <c r="AN316" i="4"/>
  <c r="AD288" i="4"/>
  <c r="AV269" i="4"/>
  <c r="AD235" i="4"/>
  <c r="AD228" i="4"/>
  <c r="AQ209" i="4"/>
  <c r="AW207" i="4"/>
  <c r="AL203" i="4"/>
  <c r="AL195" i="4"/>
  <c r="AV179" i="4"/>
  <c r="AG151" i="4"/>
  <c r="AW120" i="4"/>
  <c r="AR118" i="4"/>
  <c r="AZ113" i="4"/>
  <c r="AV111" i="4"/>
  <c r="AT104" i="4"/>
  <c r="AN88" i="4"/>
  <c r="AF81" i="4"/>
  <c r="AI81" i="4" s="1"/>
  <c r="AD57" i="4"/>
  <c r="AF31" i="4"/>
  <c r="AG31" i="4" s="1"/>
  <c r="AF27" i="4"/>
  <c r="AF23" i="4"/>
  <c r="AI23" i="4" s="1"/>
  <c r="AD15" i="4"/>
  <c r="U78" i="9"/>
  <c r="W78" i="9" s="1"/>
  <c r="C54" i="9"/>
  <c r="BK52" i="9"/>
  <c r="O48" i="9"/>
  <c r="BY28" i="9"/>
  <c r="AG25" i="9"/>
  <c r="AI25" i="9" s="1"/>
  <c r="BQ19" i="9"/>
  <c r="BT19" i="9" s="1"/>
  <c r="BQ14" i="9"/>
  <c r="BS14" i="9" s="1"/>
  <c r="Q12" i="9"/>
  <c r="AP9" i="9"/>
  <c r="AO6" i="9"/>
  <c r="Z11" i="1"/>
  <c r="S11" i="1"/>
  <c r="AI11" i="1"/>
  <c r="Z19" i="1"/>
  <c r="S19" i="1"/>
  <c r="AI19" i="1"/>
  <c r="AA23" i="1"/>
  <c r="Z27" i="1"/>
  <c r="S27" i="1"/>
  <c r="AI27" i="1"/>
  <c r="V31" i="1"/>
  <c r="O31" i="1"/>
  <c r="AE31" i="1"/>
  <c r="AD34" i="1"/>
  <c r="AF32" i="1"/>
  <c r="AD19" i="1"/>
  <c r="W19" i="1"/>
  <c r="AD27" i="1"/>
  <c r="W27" i="1"/>
  <c r="Z31" i="1"/>
  <c r="S31" i="1"/>
  <c r="AI31" i="1"/>
  <c r="W34" i="1"/>
  <c r="AD11" i="1"/>
  <c r="W11" i="1"/>
  <c r="Z15" i="1"/>
  <c r="D17" i="3"/>
  <c r="R306" i="63" s="1"/>
  <c r="Q307" i="63" s="1"/>
  <c r="R11" i="1"/>
  <c r="AH11" i="1"/>
  <c r="AA11" i="1"/>
  <c r="S15" i="1"/>
  <c r="R19" i="1"/>
  <c r="AH19" i="1"/>
  <c r="AA19" i="1"/>
  <c r="R23" i="1"/>
  <c r="R27" i="1"/>
  <c r="AH27" i="1"/>
  <c r="AA27" i="1"/>
  <c r="AD31" i="1"/>
  <c r="W31" i="1"/>
  <c r="W18" i="3"/>
  <c r="AS316" i="62" s="1"/>
  <c r="Y336" i="62" s="1"/>
  <c r="K24" i="62" s="1"/>
  <c r="T24" i="62" s="1"/>
  <c r="Q13" i="2"/>
  <c r="AC114" i="63"/>
  <c r="Q126" i="63" s="1"/>
  <c r="R10" i="1"/>
  <c r="AH10" i="1"/>
  <c r="AA10" i="1"/>
  <c r="R14" i="1"/>
  <c r="AH14" i="1"/>
  <c r="AA14" i="1"/>
  <c r="V18" i="1"/>
  <c r="Z22" i="1"/>
  <c r="S22" i="1"/>
  <c r="AI22" i="1"/>
  <c r="R24" i="1"/>
  <c r="AH24" i="1"/>
  <c r="V28" i="1"/>
  <c r="R34" i="1"/>
  <c r="AH34" i="1"/>
  <c r="AA34" i="1"/>
  <c r="AB32" i="1"/>
  <c r="V10" i="1"/>
  <c r="O10" i="1"/>
  <c r="AE10" i="1"/>
  <c r="V14" i="1"/>
  <c r="O14" i="1"/>
  <c r="AE14" i="1"/>
  <c r="AD22" i="1"/>
  <c r="W22" i="1"/>
  <c r="V24" i="1"/>
  <c r="V34" i="1"/>
  <c r="O34" i="1"/>
  <c r="AE34" i="1"/>
  <c r="AG24" i="1"/>
  <c r="J15" i="3"/>
  <c r="X258" i="63" s="1"/>
  <c r="Q265" i="63" s="1"/>
  <c r="E15" i="3"/>
  <c r="S258" i="63" s="1"/>
  <c r="Q260" i="63" s="1"/>
  <c r="Z10" i="1"/>
  <c r="S10" i="1"/>
  <c r="AI10" i="1"/>
  <c r="Z14" i="1"/>
  <c r="S14" i="1"/>
  <c r="AI14" i="1"/>
  <c r="R22" i="1"/>
  <c r="AH22" i="1"/>
  <c r="AA22" i="1"/>
  <c r="Z24" i="1"/>
  <c r="Z34" i="1"/>
  <c r="S34" i="1"/>
  <c r="AI34" i="1"/>
  <c r="Y24" i="1"/>
  <c r="G21" i="48"/>
  <c r="F26" i="48" s="1"/>
  <c r="N20" i="3"/>
  <c r="K19" i="3"/>
  <c r="AG340" i="62" s="1"/>
  <c r="Y348" i="62" s="1"/>
  <c r="K36" i="62" s="1"/>
  <c r="T36" i="62" s="1"/>
  <c r="M17" i="3"/>
  <c r="G13" i="48"/>
  <c r="AP850" i="4"/>
  <c r="AQ850" i="4"/>
  <c r="BB821" i="4"/>
  <c r="BA821" i="4"/>
  <c r="AH585" i="4"/>
  <c r="AI585" i="4"/>
  <c r="AK851" i="4"/>
  <c r="AL851" i="4"/>
  <c r="AK791" i="4"/>
  <c r="AL791" i="4"/>
  <c r="Q35" i="2"/>
  <c r="AW651" i="4"/>
  <c r="AY651" i="4"/>
  <c r="M63" i="56"/>
  <c r="O18" i="3"/>
  <c r="AC330" i="63" s="1"/>
  <c r="Q342" i="63" s="1"/>
  <c r="K27" i="3"/>
  <c r="F24" i="3"/>
  <c r="M19" i="3"/>
  <c r="AA354" i="63" s="1"/>
  <c r="Q364" i="63" s="1"/>
  <c r="Q18" i="3"/>
  <c r="AE330" i="63" s="1"/>
  <c r="Q344" i="63" s="1"/>
  <c r="H17" i="3"/>
  <c r="V306" i="63" s="1"/>
  <c r="Q311" i="63" s="1"/>
  <c r="V9" i="3"/>
  <c r="U40" i="9"/>
  <c r="AT852" i="4"/>
  <c r="AU852" i="4"/>
  <c r="AU741" i="4"/>
  <c r="AT741" i="4"/>
  <c r="AL745" i="4"/>
  <c r="AM745" i="4"/>
  <c r="AN731" i="4"/>
  <c r="AN737" i="4"/>
  <c r="AN729" i="4"/>
  <c r="AN746" i="4"/>
  <c r="AO746" i="4" s="1"/>
  <c r="AY717" i="4"/>
  <c r="AW717" i="4"/>
  <c r="AS708" i="4"/>
  <c r="AT708" i="4"/>
  <c r="AY702" i="4"/>
  <c r="AW702" i="4"/>
  <c r="AD700" i="4"/>
  <c r="AD712" i="4"/>
  <c r="AD720" i="4"/>
  <c r="AJ671" i="4"/>
  <c r="AJ672" i="4"/>
  <c r="AJ668" i="4"/>
  <c r="AJ673" i="4"/>
  <c r="AJ680" i="4"/>
  <c r="AP631" i="4"/>
  <c r="AQ631" i="4"/>
  <c r="AH621" i="4"/>
  <c r="AI621" i="4"/>
  <c r="AS599" i="4"/>
  <c r="AT599" i="4"/>
  <c r="AO593" i="4"/>
  <c r="AP593" i="4"/>
  <c r="AW587" i="4"/>
  <c r="AX587" i="4"/>
  <c r="AH568" i="4"/>
  <c r="AG568" i="4"/>
  <c r="BB566" i="4"/>
  <c r="BC566" i="4"/>
  <c r="AV559" i="4"/>
  <c r="AV556" i="4"/>
  <c r="AV563" i="4"/>
  <c r="AV565" i="4"/>
  <c r="AV567" i="4"/>
  <c r="AV569" i="4"/>
  <c r="AS539" i="4"/>
  <c r="AT539" i="4"/>
  <c r="AH535" i="4"/>
  <c r="AI535" i="4"/>
  <c r="AZ537" i="4"/>
  <c r="AZ518" i="4"/>
  <c r="AZ522" i="4"/>
  <c r="BB522" i="4" s="1"/>
  <c r="AZ533" i="4"/>
  <c r="BA533" i="4" s="1"/>
  <c r="AZ524" i="4"/>
  <c r="AZ534" i="4"/>
  <c r="AZ528" i="4"/>
  <c r="AZ532" i="4"/>
  <c r="AL511" i="4"/>
  <c r="AM511" i="4"/>
  <c r="AL499" i="4"/>
  <c r="AK499" i="4"/>
  <c r="BC196" i="4"/>
  <c r="BB196" i="4"/>
  <c r="AT838" i="4"/>
  <c r="AH841" i="4"/>
  <c r="AR855" i="4"/>
  <c r="AR859" i="4"/>
  <c r="AH868" i="4"/>
  <c r="BB823" i="4"/>
  <c r="AZ825" i="4"/>
  <c r="AY828" i="4"/>
  <c r="AD841" i="4"/>
  <c r="AU860" i="4"/>
  <c r="AP865" i="4"/>
  <c r="AQ869" i="4"/>
  <c r="AR870" i="4"/>
  <c r="AT870" i="4" s="1"/>
  <c r="AF870" i="4"/>
  <c r="AR867" i="4"/>
  <c r="AR862" i="4"/>
  <c r="AT862" i="4" s="1"/>
  <c r="AR854" i="4"/>
  <c r="AF853" i="4"/>
  <c r="AF852" i="4"/>
  <c r="AF849" i="4"/>
  <c r="AF848" i="4"/>
  <c r="AZ840" i="4"/>
  <c r="AZ834" i="4"/>
  <c r="AZ833" i="4"/>
  <c r="BA833" i="4" s="1"/>
  <c r="AJ832" i="4"/>
  <c r="AZ831" i="4"/>
  <c r="AJ829" i="4"/>
  <c r="AZ827" i="4"/>
  <c r="AZ820" i="4"/>
  <c r="AD820" i="4"/>
  <c r="AR804" i="4"/>
  <c r="AR802" i="4"/>
  <c r="AR799" i="4"/>
  <c r="AR792" i="4"/>
  <c r="AN788" i="4"/>
  <c r="AN790" i="4"/>
  <c r="AN789" i="4"/>
  <c r="AR759" i="4"/>
  <c r="AR772" i="4"/>
  <c r="AD758" i="4"/>
  <c r="AD764" i="4"/>
  <c r="AD768" i="4"/>
  <c r="AD776" i="4"/>
  <c r="AG750" i="4"/>
  <c r="AN739" i="4"/>
  <c r="AN738" i="4"/>
  <c r="AP738" i="4" s="1"/>
  <c r="AH737" i="4"/>
  <c r="AR732" i="4"/>
  <c r="AM721" i="4"/>
  <c r="AQ720" i="4"/>
  <c r="AO715" i="4"/>
  <c r="AP715" i="4"/>
  <c r="AO713" i="4"/>
  <c r="AP713" i="4"/>
  <c r="AT712" i="4"/>
  <c r="AH711" i="4"/>
  <c r="AI711" i="4"/>
  <c r="AH710" i="4"/>
  <c r="AI710" i="4"/>
  <c r="AK706" i="4"/>
  <c r="AL706" i="4"/>
  <c r="AD704" i="4"/>
  <c r="AP700" i="4"/>
  <c r="AH699" i="4"/>
  <c r="AG699" i="4"/>
  <c r="AV698" i="4"/>
  <c r="AV701" i="4"/>
  <c r="AV706" i="4"/>
  <c r="AW706" i="4" s="1"/>
  <c r="AV700" i="4"/>
  <c r="AV711" i="4"/>
  <c r="AV712" i="4"/>
  <c r="AG629" i="4"/>
  <c r="AH629" i="4"/>
  <c r="AP619" i="4"/>
  <c r="AQ619" i="4"/>
  <c r="AG609" i="4"/>
  <c r="AH609" i="4"/>
  <c r="AR617" i="4"/>
  <c r="AR623" i="4"/>
  <c r="AR610" i="4"/>
  <c r="AU610" i="4" s="1"/>
  <c r="AR616" i="4"/>
  <c r="AR618" i="4"/>
  <c r="AR624" i="4"/>
  <c r="AH563" i="4"/>
  <c r="AI563" i="4"/>
  <c r="AT549" i="4"/>
  <c r="AU549" i="4"/>
  <c r="AZ530" i="4"/>
  <c r="AM500" i="4"/>
  <c r="AL500" i="4"/>
  <c r="AH489" i="4"/>
  <c r="AG489" i="4"/>
  <c r="AN491" i="4"/>
  <c r="AN489" i="4"/>
  <c r="AN495" i="4"/>
  <c r="AN488" i="4"/>
  <c r="AP488" i="4" s="1"/>
  <c r="AN493" i="4"/>
  <c r="AN496" i="4"/>
  <c r="AN505" i="4"/>
  <c r="AN490" i="4"/>
  <c r="AN501" i="4"/>
  <c r="AN506" i="4"/>
  <c r="AP506" i="4" s="1"/>
  <c r="AN508" i="4"/>
  <c r="AN511" i="4"/>
  <c r="AQ511" i="4" s="1"/>
  <c r="AR871" i="4"/>
  <c r="AT871" i="4" s="1"/>
  <c r="AF871" i="4"/>
  <c r="AR865" i="4"/>
  <c r="AN851" i="4"/>
  <c r="AO851" i="4" s="1"/>
  <c r="AR850" i="4"/>
  <c r="AF850" i="4"/>
  <c r="AZ838" i="4"/>
  <c r="AJ836" i="4"/>
  <c r="AJ833" i="4"/>
  <c r="AL833" i="4" s="1"/>
  <c r="AJ831" i="4"/>
  <c r="AJ828" i="4"/>
  <c r="AR826" i="4"/>
  <c r="AJ825" i="4"/>
  <c r="AR824" i="4"/>
  <c r="AD824" i="4"/>
  <c r="AR823" i="4"/>
  <c r="BB822" i="4"/>
  <c r="AR822" i="4"/>
  <c r="AR820" i="4"/>
  <c r="AZ819" i="4"/>
  <c r="AZ818" i="4"/>
  <c r="AR811" i="4"/>
  <c r="AR803" i="4"/>
  <c r="AZ800" i="4"/>
  <c r="AZ798" i="4"/>
  <c r="BB798" i="4" s="1"/>
  <c r="AR796" i="4"/>
  <c r="AN792" i="4"/>
  <c r="AV788" i="4"/>
  <c r="AV792" i="4"/>
  <c r="AN761" i="4"/>
  <c r="AN773" i="4"/>
  <c r="AN748" i="4"/>
  <c r="AY745" i="4"/>
  <c r="AL742" i="4"/>
  <c r="AM742" i="4"/>
  <c r="AH734" i="4"/>
  <c r="AG732" i="4"/>
  <c r="AH732" i="4"/>
  <c r="AH728" i="4"/>
  <c r="AW719" i="4"/>
  <c r="AW714" i="4"/>
  <c r="AY714" i="4"/>
  <c r="AW707" i="4"/>
  <c r="AL705" i="4"/>
  <c r="BB701" i="4"/>
  <c r="BA701" i="4"/>
  <c r="AH698" i="4"/>
  <c r="AJ681" i="4"/>
  <c r="AR669" i="4"/>
  <c r="AR682" i="4"/>
  <c r="AR679" i="4"/>
  <c r="AR690" i="4"/>
  <c r="AG610" i="4"/>
  <c r="AH610" i="4"/>
  <c r="AT592" i="4"/>
  <c r="AU592" i="4"/>
  <c r="AF588" i="4"/>
  <c r="BB582" i="4"/>
  <c r="BA582" i="4"/>
  <c r="AY578" i="4"/>
  <c r="AO566" i="4"/>
  <c r="AP566" i="4"/>
  <c r="BB552" i="4"/>
  <c r="BA552" i="4"/>
  <c r="AX508" i="4"/>
  <c r="AW508" i="4"/>
  <c r="AT506" i="4"/>
  <c r="AM503" i="4"/>
  <c r="AL503" i="4"/>
  <c r="BC824" i="4"/>
  <c r="AM840" i="4"/>
  <c r="BB804" i="4"/>
  <c r="AD818" i="4"/>
  <c r="AU821" i="4"/>
  <c r="AD825" i="4"/>
  <c r="AD837" i="4"/>
  <c r="AL850" i="4"/>
  <c r="AI863" i="4"/>
  <c r="AH867" i="4"/>
  <c r="BB870" i="4"/>
  <c r="G22" i="46"/>
  <c r="G23" i="46" s="1"/>
  <c r="J26" i="46" s="1"/>
  <c r="F28" i="46" s="1"/>
  <c r="F41" i="46" s="1"/>
  <c r="I9" i="52" s="1"/>
  <c r="AP871" i="4"/>
  <c r="AJ868" i="4"/>
  <c r="AN866" i="4"/>
  <c r="AI865" i="4"/>
  <c r="AJ864" i="4"/>
  <c r="AJ863" i="4"/>
  <c r="AJ862" i="4"/>
  <c r="AH861" i="4"/>
  <c r="AF860" i="4"/>
  <c r="AF859" i="4"/>
  <c r="AH858" i="4"/>
  <c r="AJ857" i="4"/>
  <c r="AR856" i="4"/>
  <c r="AF855" i="4"/>
  <c r="AJ854" i="4"/>
  <c r="AJ853" i="4"/>
  <c r="AZ841" i="4"/>
  <c r="BA841" i="4" s="1"/>
  <c r="AJ841" i="4"/>
  <c r="AZ839" i="4"/>
  <c r="BB837" i="4"/>
  <c r="AZ836" i="4"/>
  <c r="AD836" i="4"/>
  <c r="AJ835" i="4"/>
  <c r="AD832" i="4"/>
  <c r="AT831" i="4"/>
  <c r="AI831" i="4"/>
  <c r="AZ830" i="4"/>
  <c r="AZ828" i="4"/>
  <c r="BB826" i="4"/>
  <c r="AR825" i="4"/>
  <c r="AD819" i="4"/>
  <c r="AH811" i="4"/>
  <c r="AT809" i="4"/>
  <c r="AT808" i="4"/>
  <c r="AP805" i="4"/>
  <c r="AM803" i="4"/>
  <c r="AZ801" i="4"/>
  <c r="AY799" i="4"/>
  <c r="AK799" i="4"/>
  <c r="AN796" i="4"/>
  <c r="AR790" i="4"/>
  <c r="AR789" i="4"/>
  <c r="AJ788" i="4"/>
  <c r="AJ790" i="4"/>
  <c r="AL790" i="4" s="1"/>
  <c r="BB748" i="4"/>
  <c r="AN747" i="4"/>
  <c r="AL746" i="4"/>
  <c r="AI738" i="4"/>
  <c r="AH738" i="4"/>
  <c r="AI735" i="4"/>
  <c r="AH729" i="4"/>
  <c r="AR729" i="4"/>
  <c r="AR730" i="4"/>
  <c r="AR740" i="4"/>
  <c r="AU740" i="4" s="1"/>
  <c r="AR744" i="4"/>
  <c r="AR749" i="4"/>
  <c r="AR751" i="4"/>
  <c r="AR742" i="4"/>
  <c r="AT742" i="4" s="1"/>
  <c r="AR745" i="4"/>
  <c r="BA720" i="4"/>
  <c r="BB720" i="4"/>
  <c r="AM720" i="4"/>
  <c r="AL720" i="4"/>
  <c r="AW718" i="4"/>
  <c r="AX715" i="4"/>
  <c r="AD715" i="4"/>
  <c r="BC712" i="4"/>
  <c r="AM710" i="4"/>
  <c r="AQ709" i="4"/>
  <c r="AP709" i="4"/>
  <c r="AX703" i="4"/>
  <c r="AY703" i="4"/>
  <c r="AV642" i="4"/>
  <c r="AV639" i="4"/>
  <c r="AV655" i="4"/>
  <c r="AV643" i="4"/>
  <c r="AV647" i="4"/>
  <c r="AV659" i="4"/>
  <c r="AS600" i="4"/>
  <c r="AT600" i="4"/>
  <c r="AW586" i="4"/>
  <c r="AX586" i="4"/>
  <c r="AT583" i="4"/>
  <c r="AU583" i="4"/>
  <c r="AF579" i="4"/>
  <c r="AF581" i="4"/>
  <c r="AF597" i="4"/>
  <c r="AF600" i="4"/>
  <c r="AF580" i="4"/>
  <c r="AF594" i="4"/>
  <c r="AI594" i="4" s="1"/>
  <c r="AF595" i="4"/>
  <c r="AH595" i="4" s="1"/>
  <c r="AF598" i="4"/>
  <c r="AF599" i="4"/>
  <c r="AF578" i="4"/>
  <c r="AH578" i="4" s="1"/>
  <c r="AF582" i="4"/>
  <c r="AF587" i="4"/>
  <c r="AF593" i="4"/>
  <c r="AF596" i="4"/>
  <c r="AF601" i="4"/>
  <c r="AP557" i="4"/>
  <c r="AQ557" i="4"/>
  <c r="AL534" i="4"/>
  <c r="AM534" i="4"/>
  <c r="AL530" i="4"/>
  <c r="AM530" i="4"/>
  <c r="AQ510" i="4"/>
  <c r="AP510" i="4"/>
  <c r="AZ462" i="4"/>
  <c r="AZ463" i="4"/>
  <c r="AZ471" i="4"/>
  <c r="AZ474" i="4"/>
  <c r="AZ478" i="4"/>
  <c r="AJ463" i="4"/>
  <c r="AJ462" i="4"/>
  <c r="AJ479" i="4"/>
  <c r="AJ474" i="4"/>
  <c r="AH751" i="4"/>
  <c r="AM750" i="4"/>
  <c r="AM747" i="4"/>
  <c r="AH746" i="4"/>
  <c r="AK736" i="4"/>
  <c r="AL734" i="4"/>
  <c r="AV733" i="4"/>
  <c r="AY733" i="4" s="1"/>
  <c r="AJ732" i="4"/>
  <c r="AF721" i="4"/>
  <c r="AF719" i="4"/>
  <c r="AG719" i="4" s="1"/>
  <c r="AR715" i="4"/>
  <c r="AT715" i="4" s="1"/>
  <c r="AF713" i="4"/>
  <c r="AR709" i="4"/>
  <c r="AR707" i="4"/>
  <c r="AS707" i="4" s="1"/>
  <c r="AF705" i="4"/>
  <c r="AF703" i="4"/>
  <c r="AP701" i="4"/>
  <c r="AJ701" i="4"/>
  <c r="AJ700" i="4"/>
  <c r="AJ699" i="4"/>
  <c r="AN691" i="4"/>
  <c r="AZ684" i="4"/>
  <c r="AV682" i="4"/>
  <c r="AV677" i="4"/>
  <c r="AN676" i="4"/>
  <c r="AV674" i="4"/>
  <c r="AN672" i="4"/>
  <c r="AZ669" i="4"/>
  <c r="AR652" i="4"/>
  <c r="AN645" i="4"/>
  <c r="AF628" i="4"/>
  <c r="AZ625" i="4"/>
  <c r="BB625" i="4" s="1"/>
  <c r="AF618" i="4"/>
  <c r="AZ616" i="4"/>
  <c r="AF613" i="4"/>
  <c r="AR593" i="4"/>
  <c r="AR591" i="4"/>
  <c r="AR588" i="4"/>
  <c r="AT588" i="4" s="1"/>
  <c r="AR587" i="4"/>
  <c r="AR578" i="4"/>
  <c r="AJ566" i="4"/>
  <c r="BC562" i="4"/>
  <c r="AZ556" i="4"/>
  <c r="AF534" i="4"/>
  <c r="AF531" i="4"/>
  <c r="AF530" i="4"/>
  <c r="AF528" i="4"/>
  <c r="AF527" i="4"/>
  <c r="AI527" i="4" s="1"/>
  <c r="AF523" i="4"/>
  <c r="AF520" i="4"/>
  <c r="AF519" i="4"/>
  <c r="AL508" i="4"/>
  <c r="BB507" i="4"/>
  <c r="AF505" i="4"/>
  <c r="AM504" i="4"/>
  <c r="AF502" i="4"/>
  <c r="AF495" i="4"/>
  <c r="AX493" i="4"/>
  <c r="AY493" i="4"/>
  <c r="AF493" i="4"/>
  <c r="AH493" i="4" s="1"/>
  <c r="AF492" i="4"/>
  <c r="AZ467" i="4"/>
  <c r="AR720" i="4"/>
  <c r="AR719" i="4"/>
  <c r="AR718" i="4"/>
  <c r="AF717" i="4"/>
  <c r="AH717" i="4" s="1"/>
  <c r="AR716" i="4"/>
  <c r="AF715" i="4"/>
  <c r="AR714" i="4"/>
  <c r="AR711" i="4"/>
  <c r="AT711" i="4" s="1"/>
  <c r="AF709" i="4"/>
  <c r="AF707" i="4"/>
  <c r="AF706" i="4"/>
  <c r="AR704" i="4"/>
  <c r="AF704" i="4"/>
  <c r="AF701" i="4"/>
  <c r="AR700" i="4"/>
  <c r="AT700" i="4" s="1"/>
  <c r="AF700" i="4"/>
  <c r="AN687" i="4"/>
  <c r="AN684" i="4"/>
  <c r="AN679" i="4"/>
  <c r="AN668" i="4"/>
  <c r="AR660" i="4"/>
  <c r="AR648" i="4"/>
  <c r="AF631" i="4"/>
  <c r="AF630" i="4"/>
  <c r="AZ627" i="4"/>
  <c r="AF625" i="4"/>
  <c r="AF624" i="4"/>
  <c r="AF619" i="4"/>
  <c r="AF616" i="4"/>
  <c r="AF615" i="4"/>
  <c r="AF614" i="4"/>
  <c r="AR601" i="4"/>
  <c r="AR596" i="4"/>
  <c r="AT596" i="4" s="1"/>
  <c r="AR595" i="4"/>
  <c r="AR585" i="4"/>
  <c r="AR584" i="4"/>
  <c r="AV581" i="4"/>
  <c r="AJ578" i="4"/>
  <c r="AL578" i="4" s="1"/>
  <c r="AJ571" i="4"/>
  <c r="AJ567" i="4"/>
  <c r="AM567" i="4" s="1"/>
  <c r="AJ565" i="4"/>
  <c r="AF539" i="4"/>
  <c r="AH539" i="4" s="1"/>
  <c r="AF538" i="4"/>
  <c r="AF537" i="4"/>
  <c r="AF536" i="4"/>
  <c r="AH536" i="4" s="1"/>
  <c r="AV534" i="4"/>
  <c r="AW534" i="4" s="1"/>
  <c r="AV531" i="4"/>
  <c r="AV529" i="4"/>
  <c r="AF529" i="4"/>
  <c r="AF526" i="4"/>
  <c r="AR524" i="4"/>
  <c r="AT524" i="4" s="1"/>
  <c r="AF524" i="4"/>
  <c r="AF522" i="4"/>
  <c r="AV519" i="4"/>
  <c r="AY519" i="4" s="1"/>
  <c r="AR489" i="4"/>
  <c r="AR491" i="4"/>
  <c r="AR494" i="4"/>
  <c r="AS494" i="4" s="1"/>
  <c r="AR500" i="4"/>
  <c r="AR505" i="4"/>
  <c r="AU505" i="4" s="1"/>
  <c r="AR507" i="4"/>
  <c r="AF488" i="4"/>
  <c r="AF503" i="4"/>
  <c r="AP189" i="4"/>
  <c r="AQ189" i="4"/>
  <c r="AP421" i="4"/>
  <c r="AD420" i="4"/>
  <c r="AR419" i="4"/>
  <c r="AO414" i="4"/>
  <c r="AD413" i="4"/>
  <c r="AH411" i="4"/>
  <c r="AW407" i="4"/>
  <c r="AN403" i="4"/>
  <c r="AG399" i="4"/>
  <c r="AD399" i="4"/>
  <c r="AP390" i="4"/>
  <c r="AS386" i="4"/>
  <c r="BA384" i="4"/>
  <c r="AR383" i="4"/>
  <c r="AR376" i="4"/>
  <c r="AO371" i="4"/>
  <c r="AR369" i="4"/>
  <c r="AP359" i="4"/>
  <c r="AS358" i="4"/>
  <c r="BB357" i="4"/>
  <c r="AT357" i="4"/>
  <c r="AF356" i="4"/>
  <c r="AH353" i="4"/>
  <c r="AP352" i="4"/>
  <c r="AZ350" i="4"/>
  <c r="AT350" i="4"/>
  <c r="BA349" i="4"/>
  <c r="AT349" i="4"/>
  <c r="AZ348" i="4"/>
  <c r="AI348" i="4"/>
  <c r="AZ347" i="4"/>
  <c r="AZ346" i="4"/>
  <c r="AZ345" i="4"/>
  <c r="BB345" i="4" s="1"/>
  <c r="AN345" i="4"/>
  <c r="AZ344" i="4"/>
  <c r="AR344" i="4"/>
  <c r="AZ343" i="4"/>
  <c r="AZ339" i="4"/>
  <c r="BC339" i="4" s="1"/>
  <c r="AF339" i="4"/>
  <c r="AF331" i="4"/>
  <c r="AL330" i="4"/>
  <c r="AR329" i="4"/>
  <c r="AT329" i="4" s="1"/>
  <c r="AJ329" i="4"/>
  <c r="AR327" i="4"/>
  <c r="AS327" i="4" s="1"/>
  <c r="AR326" i="4"/>
  <c r="AF326" i="4"/>
  <c r="AU325" i="4"/>
  <c r="AW324" i="4"/>
  <c r="AH324" i="4"/>
  <c r="AO323" i="4"/>
  <c r="AF323" i="4"/>
  <c r="AI322" i="4"/>
  <c r="AR321" i="4"/>
  <c r="AQ320" i="4"/>
  <c r="AQ319" i="4"/>
  <c r="AT318" i="4"/>
  <c r="AF318" i="4"/>
  <c r="AI317" i="4"/>
  <c r="AI316" i="4"/>
  <c r="AR314" i="4"/>
  <c r="AF312" i="4"/>
  <c r="AF310" i="4"/>
  <c r="AR308" i="4"/>
  <c r="AF308" i="4"/>
  <c r="AV299" i="4"/>
  <c r="AV295" i="4"/>
  <c r="AN289" i="4"/>
  <c r="BC286" i="4"/>
  <c r="AG283" i="4"/>
  <c r="AF279" i="4"/>
  <c r="AJ271" i="4"/>
  <c r="AN270" i="4"/>
  <c r="AP270" i="4" s="1"/>
  <c r="AJ268" i="4"/>
  <c r="AJ267" i="4"/>
  <c r="AL267" i="4" s="1"/>
  <c r="AF266" i="4"/>
  <c r="AF264" i="4"/>
  <c r="AH264" i="4" s="1"/>
  <c r="AN263" i="4"/>
  <c r="AF262" i="4"/>
  <c r="AJ261" i="4"/>
  <c r="AN260" i="4"/>
  <c r="AJ259" i="4"/>
  <c r="AZ256" i="4"/>
  <c r="AY255" i="4"/>
  <c r="AJ254" i="4"/>
  <c r="AK254" i="4" s="1"/>
  <c r="AN253" i="4"/>
  <c r="AR252" i="4"/>
  <c r="AT252" i="4" s="1"/>
  <c r="AF251" i="4"/>
  <c r="AG251" i="4" s="1"/>
  <c r="AR248" i="4"/>
  <c r="AJ248" i="4"/>
  <c r="AD221" i="4"/>
  <c r="AD219" i="4"/>
  <c r="BB211" i="4"/>
  <c r="AZ194" i="4"/>
  <c r="AZ192" i="4"/>
  <c r="BB192" i="4" s="1"/>
  <c r="AN191" i="4"/>
  <c r="AP191" i="4" s="1"/>
  <c r="AT135" i="4"/>
  <c r="AS135" i="4"/>
  <c r="AO132" i="4"/>
  <c r="AP132" i="4"/>
  <c r="AK199" i="4"/>
  <c r="AL196" i="4"/>
  <c r="AR188" i="4"/>
  <c r="AU188" i="4" s="1"/>
  <c r="AR190" i="4"/>
  <c r="AU190" i="4" s="1"/>
  <c r="AR191" i="4"/>
  <c r="AR194" i="4"/>
  <c r="AT194" i="4" s="1"/>
  <c r="AR196" i="4"/>
  <c r="AR197" i="4"/>
  <c r="AR200" i="4"/>
  <c r="AR202" i="4"/>
  <c r="AF161" i="4"/>
  <c r="AF163" i="4"/>
  <c r="AF167" i="4"/>
  <c r="AF180" i="4"/>
  <c r="AF159" i="4"/>
  <c r="AF176" i="4"/>
  <c r="AF179" i="4"/>
  <c r="AO148" i="4"/>
  <c r="AP148" i="4"/>
  <c r="AP147" i="4"/>
  <c r="AO147" i="4"/>
  <c r="AP143" i="4"/>
  <c r="AO143" i="4"/>
  <c r="AR421" i="4"/>
  <c r="AD404" i="4"/>
  <c r="AR384" i="4"/>
  <c r="AR375" i="4"/>
  <c r="AZ369" i="4"/>
  <c r="AZ368" i="4"/>
  <c r="AQ368" i="4"/>
  <c r="AF346" i="4"/>
  <c r="AH346" i="4" s="1"/>
  <c r="AT342" i="4"/>
  <c r="AR331" i="4"/>
  <c r="AR330" i="4"/>
  <c r="AS330" i="4" s="1"/>
  <c r="AH330" i="4"/>
  <c r="AF328" i="4"/>
  <c r="AF327" i="4"/>
  <c r="AJ326" i="4"/>
  <c r="AV325" i="4"/>
  <c r="AR324" i="4"/>
  <c r="AJ319" i="4"/>
  <c r="AR317" i="4"/>
  <c r="AR316" i="4"/>
  <c r="AJ316" i="4"/>
  <c r="AV315" i="4"/>
  <c r="AJ315" i="4"/>
  <c r="AI314" i="4"/>
  <c r="AJ310" i="4"/>
  <c r="AP308" i="4"/>
  <c r="AN291" i="4"/>
  <c r="AR287" i="4"/>
  <c r="AS287" i="4" s="1"/>
  <c r="AN282" i="4"/>
  <c r="AN280" i="4"/>
  <c r="AT279" i="4"/>
  <c r="AN271" i="4"/>
  <c r="AJ269" i="4"/>
  <c r="AR268" i="4"/>
  <c r="AF268" i="4"/>
  <c r="AN266" i="4"/>
  <c r="AZ265" i="4"/>
  <c r="AF263" i="4"/>
  <c r="AQ261" i="4"/>
  <c r="AF256" i="4"/>
  <c r="AR255" i="4"/>
  <c r="AD254" i="4"/>
  <c r="AF253" i="4"/>
  <c r="AJ252" i="4"/>
  <c r="AN248" i="4"/>
  <c r="AF248" i="4"/>
  <c r="AV221" i="4"/>
  <c r="AZ189" i="4"/>
  <c r="AZ201" i="4"/>
  <c r="AN193" i="4"/>
  <c r="AN198" i="4"/>
  <c r="AN199" i="4"/>
  <c r="AR176" i="4"/>
  <c r="AR164" i="4"/>
  <c r="AR168" i="4"/>
  <c r="AM150" i="4"/>
  <c r="AL150" i="4"/>
  <c r="AV128" i="4"/>
  <c r="AV140" i="4"/>
  <c r="AV145" i="4"/>
  <c r="AV150" i="4"/>
  <c r="AY150" i="4" s="1"/>
  <c r="AV133" i="4"/>
  <c r="AX133" i="4" s="1"/>
  <c r="AV137" i="4"/>
  <c r="AV141" i="4"/>
  <c r="AV132" i="4"/>
  <c r="AV142" i="4"/>
  <c r="AV144" i="4"/>
  <c r="AV147" i="4"/>
  <c r="AV148" i="4"/>
  <c r="AV149" i="4"/>
  <c r="AZ506" i="4"/>
  <c r="AZ504" i="4"/>
  <c r="AZ503" i="4"/>
  <c r="BB503" i="4" s="1"/>
  <c r="AZ501" i="4"/>
  <c r="AR468" i="4"/>
  <c r="AF449" i="4"/>
  <c r="AR446" i="4"/>
  <c r="AR430" i="4"/>
  <c r="AZ430" i="4"/>
  <c r="AR432" i="4"/>
  <c r="AJ430" i="4"/>
  <c r="AW420" i="4"/>
  <c r="AN420" i="4"/>
  <c r="AF420" i="4"/>
  <c r="AL419" i="4"/>
  <c r="AV418" i="4"/>
  <c r="AL418" i="4"/>
  <c r="AD418" i="4"/>
  <c r="AN417" i="4"/>
  <c r="AV416" i="4"/>
  <c r="AX416" i="4" s="1"/>
  <c r="AX415" i="4"/>
  <c r="AV414" i="4"/>
  <c r="AV413" i="4"/>
  <c r="AF413" i="4"/>
  <c r="AV412" i="4"/>
  <c r="AJ412" i="4"/>
  <c r="AJ411" i="4"/>
  <c r="AJ410" i="4"/>
  <c r="AF409" i="4"/>
  <c r="AF408" i="4"/>
  <c r="AN407" i="4"/>
  <c r="AF407" i="4"/>
  <c r="AJ406" i="4"/>
  <c r="AJ405" i="4"/>
  <c r="AV403" i="4"/>
  <c r="AJ403" i="4"/>
  <c r="AN402" i="4"/>
  <c r="AD401" i="4"/>
  <c r="AN399" i="4"/>
  <c r="AV398" i="4"/>
  <c r="AR390" i="4"/>
  <c r="AR389" i="4"/>
  <c r="BB388" i="4"/>
  <c r="AZ376" i="4"/>
  <c r="AK376" i="4"/>
  <c r="AN373" i="4"/>
  <c r="AN372" i="4"/>
  <c r="AN370" i="4"/>
  <c r="AF354" i="4"/>
  <c r="AF343" i="4"/>
  <c r="AH343" i="4" s="1"/>
  <c r="AR323" i="4"/>
  <c r="AU323" i="4" s="1"/>
  <c r="AR320" i="4"/>
  <c r="AR312" i="4"/>
  <c r="AZ249" i="4"/>
  <c r="AZ207" i="4"/>
  <c r="AZ206" i="4"/>
  <c r="AZ205" i="4"/>
  <c r="AN202" i="4"/>
  <c r="AZ200" i="4"/>
  <c r="AZ199" i="4"/>
  <c r="AN197" i="4"/>
  <c r="AN194" i="4"/>
  <c r="AZ193" i="4"/>
  <c r="AN192" i="4"/>
  <c r="AN190" i="4"/>
  <c r="AP190" i="4" s="1"/>
  <c r="AU189" i="4"/>
  <c r="AN188" i="4"/>
  <c r="AR160" i="4"/>
  <c r="AX151" i="4"/>
  <c r="AY151" i="4"/>
  <c r="BB76" i="4"/>
  <c r="BC76" i="4"/>
  <c r="AL76" i="4"/>
  <c r="AK76" i="4"/>
  <c r="AJ71" i="4"/>
  <c r="AJ74" i="4"/>
  <c r="AJ81" i="4"/>
  <c r="AJ82" i="4"/>
  <c r="AJ85" i="4"/>
  <c r="AJ86" i="4"/>
  <c r="AJ68" i="4"/>
  <c r="AS59" i="4"/>
  <c r="AT59" i="4"/>
  <c r="AK45" i="4"/>
  <c r="AL45" i="4"/>
  <c r="AN8" i="4"/>
  <c r="AN29" i="4"/>
  <c r="AN30" i="4"/>
  <c r="AN31" i="4"/>
  <c r="AN13" i="4"/>
  <c r="AO13" i="4" s="1"/>
  <c r="AO65" i="9"/>
  <c r="AM98" i="9"/>
  <c r="AO98" i="9" s="1"/>
  <c r="BN43" i="9"/>
  <c r="BK76" i="9"/>
  <c r="AS27" i="9"/>
  <c r="AP27" i="9"/>
  <c r="AM60" i="9"/>
  <c r="BE21" i="9"/>
  <c r="BG21" i="9" s="1"/>
  <c r="BA21" i="9"/>
  <c r="AY54" i="9"/>
  <c r="CC20" i="9"/>
  <c r="CE20" i="9" s="1"/>
  <c r="BY20" i="9"/>
  <c r="BW53" i="9"/>
  <c r="AG18" i="9"/>
  <c r="AJ18" i="9" s="1"/>
  <c r="AD18" i="9"/>
  <c r="AA51" i="9"/>
  <c r="BB15" i="9"/>
  <c r="BE15" i="9"/>
  <c r="BH15" i="9" s="1"/>
  <c r="AY48" i="9"/>
  <c r="F15" i="9"/>
  <c r="C48" i="9"/>
  <c r="AV195" i="4"/>
  <c r="AV193" i="4"/>
  <c r="AX193" i="4" s="1"/>
  <c r="AV188" i="4"/>
  <c r="AS151" i="4"/>
  <c r="AM148" i="4"/>
  <c r="AP145" i="4"/>
  <c r="AD139" i="4"/>
  <c r="AN135" i="4"/>
  <c r="AR134" i="4"/>
  <c r="AS134" i="4" s="1"/>
  <c r="AD134" i="4"/>
  <c r="AL132" i="4"/>
  <c r="AN131" i="4"/>
  <c r="AR129" i="4"/>
  <c r="AR128" i="4"/>
  <c r="AD128" i="4"/>
  <c r="AS121" i="4"/>
  <c r="AP118" i="4"/>
  <c r="AX116" i="4"/>
  <c r="BC110" i="4"/>
  <c r="AS109" i="4"/>
  <c r="AY108" i="4"/>
  <c r="AP106" i="4"/>
  <c r="AU101" i="4"/>
  <c r="BB90" i="4"/>
  <c r="AJ90" i="4"/>
  <c r="AF89" i="4"/>
  <c r="AR88" i="4"/>
  <c r="AF88" i="4"/>
  <c r="AJ87" i="4"/>
  <c r="AT86" i="4"/>
  <c r="AJ84" i="4"/>
  <c r="AZ78" i="4"/>
  <c r="AZ77" i="4"/>
  <c r="AJ73" i="4"/>
  <c r="AJ72" i="4"/>
  <c r="AV72" i="4"/>
  <c r="AV70" i="4"/>
  <c r="AV75" i="4"/>
  <c r="AV82" i="4"/>
  <c r="AV87" i="4"/>
  <c r="AV89" i="4"/>
  <c r="AV68" i="4"/>
  <c r="AT61" i="4"/>
  <c r="AF57" i="4"/>
  <c r="AH57" i="4" s="1"/>
  <c r="AF52" i="4"/>
  <c r="AM51" i="4"/>
  <c r="AL51" i="4"/>
  <c r="AX40" i="4"/>
  <c r="AZ42" i="4"/>
  <c r="AZ50" i="4"/>
  <c r="AZ54" i="4"/>
  <c r="AZ58" i="4"/>
  <c r="AR38" i="4"/>
  <c r="AR40" i="4"/>
  <c r="AR58" i="4"/>
  <c r="AT58" i="4" s="1"/>
  <c r="AJ38" i="4"/>
  <c r="AJ43" i="4"/>
  <c r="AK43" i="4" s="1"/>
  <c r="AJ52" i="4"/>
  <c r="AM52" i="4" s="1"/>
  <c r="AJ56" i="4"/>
  <c r="AM56" i="4" s="1"/>
  <c r="AJ42" i="4"/>
  <c r="AJ46" i="4"/>
  <c r="AJ48" i="4"/>
  <c r="AK48" i="4" s="1"/>
  <c r="AJ50" i="4"/>
  <c r="AJ54" i="4"/>
  <c r="AJ58" i="4"/>
  <c r="AJ59" i="4"/>
  <c r="AL59" i="4" s="1"/>
  <c r="AY31" i="4"/>
  <c r="BC26" i="4"/>
  <c r="AH23" i="4"/>
  <c r="AI20" i="4"/>
  <c r="U60" i="9"/>
  <c r="F60" i="9"/>
  <c r="C93" i="9"/>
  <c r="F93" i="9" s="1"/>
  <c r="BY55" i="9"/>
  <c r="CC55" i="9"/>
  <c r="CE55" i="9" s="1"/>
  <c r="BW88" i="9"/>
  <c r="CC88" i="9" s="1"/>
  <c r="CE88" i="9" s="1"/>
  <c r="BM54" i="9"/>
  <c r="BQ54" i="9"/>
  <c r="BS54" i="9" s="1"/>
  <c r="BM47" i="9"/>
  <c r="BK80" i="9"/>
  <c r="AD151" i="4"/>
  <c r="AD150" i="4"/>
  <c r="AD141" i="4"/>
  <c r="AD136" i="4"/>
  <c r="AD131" i="4"/>
  <c r="AD129" i="4"/>
  <c r="BB119" i="4"/>
  <c r="AY115" i="4"/>
  <c r="AP113" i="4"/>
  <c r="AU102" i="4"/>
  <c r="AJ83" i="4"/>
  <c r="AJ80" i="4"/>
  <c r="AJ77" i="4"/>
  <c r="AJ70" i="4"/>
  <c r="AR68" i="4"/>
  <c r="AR69" i="4"/>
  <c r="AR71" i="4"/>
  <c r="AR78" i="4"/>
  <c r="AR79" i="4"/>
  <c r="AR80" i="4"/>
  <c r="AR84" i="4"/>
  <c r="AR70" i="4"/>
  <c r="AR72" i="4"/>
  <c r="AR74" i="4"/>
  <c r="AF72" i="4"/>
  <c r="AF73" i="4"/>
  <c r="AF90" i="4"/>
  <c r="AF69" i="4"/>
  <c r="AF75" i="4"/>
  <c r="AF76" i="4"/>
  <c r="AF42" i="4"/>
  <c r="AG42" i="4" s="1"/>
  <c r="AF45" i="4"/>
  <c r="AF48" i="4"/>
  <c r="AH48" i="4" s="1"/>
  <c r="AF50" i="4"/>
  <c r="AI50" i="4" s="1"/>
  <c r="AF54" i="4"/>
  <c r="AI54" i="4" s="1"/>
  <c r="AF58" i="4"/>
  <c r="AH58" i="4" s="1"/>
  <c r="AF61" i="4"/>
  <c r="AF39" i="4"/>
  <c r="AF44" i="4"/>
  <c r="AF60" i="4"/>
  <c r="AT29" i="4"/>
  <c r="AS29" i="4"/>
  <c r="AG28" i="4"/>
  <c r="AH28" i="4"/>
  <c r="AN27" i="4"/>
  <c r="AN25" i="4"/>
  <c r="AN23" i="4"/>
  <c r="AN17" i="4"/>
  <c r="AP17" i="4" s="1"/>
  <c r="BM82" i="9"/>
  <c r="BQ82" i="9"/>
  <c r="BS82" i="9" s="1"/>
  <c r="AZ174" i="4"/>
  <c r="AD148" i="4"/>
  <c r="AD147" i="4"/>
  <c r="AD140" i="4"/>
  <c r="AD138" i="4"/>
  <c r="AR137" i="4"/>
  <c r="AD137" i="4"/>
  <c r="AQ120" i="4"/>
  <c r="BC118" i="4"/>
  <c r="AY110" i="4"/>
  <c r="AQ110" i="4"/>
  <c r="AQ109" i="4"/>
  <c r="AS108" i="4"/>
  <c r="AS106" i="4"/>
  <c r="AT100" i="4"/>
  <c r="AJ91" i="4"/>
  <c r="AJ89" i="4"/>
  <c r="BC88" i="4"/>
  <c r="AJ88" i="4"/>
  <c r="AR87" i="4"/>
  <c r="AF86" i="4"/>
  <c r="AF84" i="4"/>
  <c r="AF83" i="4"/>
  <c r="AR82" i="4"/>
  <c r="AY81" i="4"/>
  <c r="AJ78" i="4"/>
  <c r="AF71" i="4"/>
  <c r="AZ68" i="4"/>
  <c r="AZ73" i="4"/>
  <c r="AZ81" i="4"/>
  <c r="AZ85" i="4"/>
  <c r="AZ69" i="4"/>
  <c r="AZ70" i="4"/>
  <c r="AF68" i="4"/>
  <c r="AL61" i="4"/>
  <c r="AM61" i="4"/>
  <c r="AL60" i="4"/>
  <c r="AF56" i="4"/>
  <c r="AM55" i="4"/>
  <c r="AL55" i="4"/>
  <c r="AF53" i="4"/>
  <c r="AI53" i="4" s="1"/>
  <c r="BC51" i="4"/>
  <c r="BB51" i="4"/>
  <c r="AF47" i="4"/>
  <c r="AH46" i="4"/>
  <c r="AF41" i="4"/>
  <c r="AG40" i="4"/>
  <c r="AN38" i="4"/>
  <c r="AN49" i="4"/>
  <c r="AN53" i="4"/>
  <c r="AN57" i="4"/>
  <c r="AN41" i="4"/>
  <c r="AN45" i="4"/>
  <c r="AN51" i="4"/>
  <c r="AQ51" i="4" s="1"/>
  <c r="AN52" i="4"/>
  <c r="AP52" i="4" s="1"/>
  <c r="AN55" i="4"/>
  <c r="AP55" i="4" s="1"/>
  <c r="AN56" i="4"/>
  <c r="AO56" i="4" s="1"/>
  <c r="AN60" i="4"/>
  <c r="AN61" i="4"/>
  <c r="AF38" i="4"/>
  <c r="AP28" i="4"/>
  <c r="AN26" i="4"/>
  <c r="AN22" i="4"/>
  <c r="AH18" i="4"/>
  <c r="AN9" i="4"/>
  <c r="AP9" i="4" s="1"/>
  <c r="AR17" i="4"/>
  <c r="AR10" i="4"/>
  <c r="AR21" i="4"/>
  <c r="AR26" i="4"/>
  <c r="BE99" i="9"/>
  <c r="BG99" i="9" s="1"/>
  <c r="BA99" i="9"/>
  <c r="AD29" i="4"/>
  <c r="AD26" i="4"/>
  <c r="AD24" i="4"/>
  <c r="AD23" i="4"/>
  <c r="AD20" i="4"/>
  <c r="AD19" i="4"/>
  <c r="AD18" i="4"/>
  <c r="AD11" i="4"/>
  <c r="U89" i="9"/>
  <c r="W89" i="9" s="1"/>
  <c r="I88" i="9"/>
  <c r="L88" i="9" s="1"/>
  <c r="O87" i="9"/>
  <c r="R87" i="9" s="1"/>
  <c r="BE80" i="9"/>
  <c r="BG80" i="9" s="1"/>
  <c r="BM73" i="9"/>
  <c r="BQ73" i="9"/>
  <c r="BS73" i="9" s="1"/>
  <c r="BK72" i="9"/>
  <c r="AC55" i="9"/>
  <c r="AG55" i="9"/>
  <c r="AI55" i="9" s="1"/>
  <c r="AV54" i="9"/>
  <c r="AS87" i="9"/>
  <c r="AV87" i="9" s="1"/>
  <c r="BA53" i="9"/>
  <c r="BE53" i="9"/>
  <c r="BG53" i="9" s="1"/>
  <c r="AY86" i="9"/>
  <c r="BE86" i="9" s="1"/>
  <c r="BG86" i="9" s="1"/>
  <c r="AC44" i="9"/>
  <c r="AA77" i="9"/>
  <c r="AG77" i="9" s="1"/>
  <c r="AI77" i="9" s="1"/>
  <c r="BA31" i="9"/>
  <c r="BE31" i="9"/>
  <c r="BG31" i="9" s="1"/>
  <c r="AY64" i="9"/>
  <c r="BE64" i="9" s="1"/>
  <c r="AV30" i="9"/>
  <c r="AS63" i="9"/>
  <c r="X30" i="9"/>
  <c r="U63" i="9"/>
  <c r="BM23" i="9"/>
  <c r="BQ23" i="9"/>
  <c r="BS23" i="9" s="1"/>
  <c r="BK56" i="9"/>
  <c r="F23" i="9"/>
  <c r="C56" i="9"/>
  <c r="AD44" i="4"/>
  <c r="AD39" i="4"/>
  <c r="AD27" i="4"/>
  <c r="C90" i="9"/>
  <c r="F90" i="9" s="1"/>
  <c r="C86" i="9"/>
  <c r="F86" i="9" s="1"/>
  <c r="AC66" i="9"/>
  <c r="AG66" i="9"/>
  <c r="BN58" i="9"/>
  <c r="BQ58" i="9"/>
  <c r="BT58" i="9" s="1"/>
  <c r="R38" i="9"/>
  <c r="O71" i="9"/>
  <c r="R71" i="9" s="1"/>
  <c r="Q26" i="9"/>
  <c r="O59" i="9"/>
  <c r="AC24" i="9"/>
  <c r="AG24" i="9"/>
  <c r="AI24" i="9" s="1"/>
  <c r="AA57" i="9"/>
  <c r="BY92" i="9"/>
  <c r="CC92" i="9"/>
  <c r="CF92" i="9" s="1"/>
  <c r="AG83" i="9"/>
  <c r="AJ83" i="9" s="1"/>
  <c r="AD83" i="9"/>
  <c r="BB57" i="9"/>
  <c r="BE57" i="9"/>
  <c r="BH57" i="9" s="1"/>
  <c r="AY90" i="9"/>
  <c r="BE90" i="9" s="1"/>
  <c r="BH90" i="9" s="1"/>
  <c r="AO56" i="9"/>
  <c r="AM89" i="9"/>
  <c r="AO89" i="9" s="1"/>
  <c r="AV28" i="9"/>
  <c r="AS61" i="9"/>
  <c r="BM40" i="9"/>
  <c r="BQ40" i="9"/>
  <c r="BS40" i="9" s="1"/>
  <c r="AS31" i="9"/>
  <c r="AP31" i="9"/>
  <c r="BY26" i="9"/>
  <c r="BZ26" i="9"/>
  <c r="CC26" i="9"/>
  <c r="BB24" i="9"/>
  <c r="BE24" i="9"/>
  <c r="BH24" i="9" s="1"/>
  <c r="U22" i="9"/>
  <c r="R22" i="9"/>
  <c r="BE84" i="9"/>
  <c r="BH84" i="9" s="1"/>
  <c r="CC80" i="9"/>
  <c r="CE80" i="9" s="1"/>
  <c r="BN38" i="9"/>
  <c r="BQ32" i="9"/>
  <c r="BT32" i="9" s="1"/>
  <c r="AS32" i="9"/>
  <c r="U32" i="9"/>
  <c r="CC30" i="9"/>
  <c r="CF30" i="9" s="1"/>
  <c r="BZ30" i="9"/>
  <c r="AG30" i="9"/>
  <c r="AJ30" i="9" s="1"/>
  <c r="AD30" i="9"/>
  <c r="BQ29" i="9"/>
  <c r="BS29" i="9" s="1"/>
  <c r="BM29" i="9"/>
  <c r="U29" i="9"/>
  <c r="Q29" i="9"/>
  <c r="BZ24" i="9"/>
  <c r="CC24" i="9"/>
  <c r="CF24" i="9" s="1"/>
  <c r="AS22" i="9"/>
  <c r="AO22" i="9"/>
  <c r="AG20" i="9"/>
  <c r="AI20" i="9" s="1"/>
  <c r="AC20" i="9"/>
  <c r="AP17" i="9"/>
  <c r="AS17" i="9"/>
  <c r="BY45" i="9"/>
  <c r="BZ45" i="9"/>
  <c r="BB42" i="9"/>
  <c r="BE42" i="9"/>
  <c r="BH42" i="9" s="1"/>
  <c r="BY40" i="9"/>
  <c r="CC40" i="9"/>
  <c r="CE40" i="9" s="1"/>
  <c r="AI33" i="9"/>
  <c r="AJ33" i="9"/>
  <c r="BM22" i="9"/>
  <c r="BQ22" i="9"/>
  <c r="BS22" i="9" s="1"/>
  <c r="BE20" i="9"/>
  <c r="BG20" i="9" s="1"/>
  <c r="BA20" i="9"/>
  <c r="R16" i="9"/>
  <c r="U16" i="9"/>
  <c r="BQ26" i="9"/>
  <c r="BT26" i="9" s="1"/>
  <c r="AS26" i="9"/>
  <c r="BQ25" i="9"/>
  <c r="BT25" i="9" s="1"/>
  <c r="AS25" i="9"/>
  <c r="U25" i="9"/>
  <c r="CC23" i="9"/>
  <c r="CF23" i="9" s="1"/>
  <c r="BE23" i="9"/>
  <c r="BG23" i="9" s="1"/>
  <c r="AG23" i="9"/>
  <c r="AI23" i="9" s="1"/>
  <c r="BM21" i="9"/>
  <c r="AP21" i="9"/>
  <c r="R21" i="9"/>
  <c r="CC19" i="9"/>
  <c r="AO16" i="9"/>
  <c r="AS15" i="9"/>
  <c r="CC14" i="9"/>
  <c r="CE14" i="9" s="1"/>
  <c r="AG14" i="9"/>
  <c r="AJ14" i="9" s="1"/>
  <c r="BQ13" i="9"/>
  <c r="BT13" i="9" s="1"/>
  <c r="U13" i="9"/>
  <c r="BQ11" i="9"/>
  <c r="BT11" i="9" s="1"/>
  <c r="BM8" i="9"/>
  <c r="BM7" i="9"/>
  <c r="BB5" i="9"/>
  <c r="D13" i="46"/>
  <c r="G13" i="46" s="1"/>
  <c r="M58" i="56"/>
  <c r="O24" i="1"/>
  <c r="CF12" i="9"/>
  <c r="D92" i="65"/>
  <c r="AF33" i="1"/>
  <c r="BE14" i="9"/>
  <c r="BG14" i="9" s="1"/>
  <c r="AS13" i="9"/>
  <c r="AS11" i="9"/>
  <c r="CC9" i="9"/>
  <c r="CF9" i="9" s="1"/>
  <c r="BY8" i="9"/>
  <c r="BB8" i="9"/>
  <c r="AG8" i="9"/>
  <c r="AI8" i="9" s="1"/>
  <c r="BB7" i="9"/>
  <c r="AG7" i="9"/>
  <c r="AI7" i="9" s="1"/>
  <c r="BN5" i="9"/>
  <c r="AO5" i="9"/>
  <c r="U5" i="9"/>
  <c r="AB17" i="1"/>
  <c r="G12" i="48"/>
  <c r="G14" i="48" s="1"/>
  <c r="J17" i="48" s="1"/>
  <c r="M20" i="3"/>
  <c r="D19" i="3"/>
  <c r="R354" i="63" s="1"/>
  <c r="Q355" i="63" s="1"/>
  <c r="C19" i="3"/>
  <c r="J19" i="3"/>
  <c r="N17" i="3"/>
  <c r="AB306" i="63" s="1"/>
  <c r="Q317" i="63" s="1"/>
  <c r="L17" i="3"/>
  <c r="Z306" i="63" s="1"/>
  <c r="Q315" i="63" s="1"/>
  <c r="AF244" i="62"/>
  <c r="Y251" i="62" s="1"/>
  <c r="I17" i="62" s="1"/>
  <c r="R17" i="62" s="1"/>
  <c r="M15" i="3"/>
  <c r="Q12" i="3"/>
  <c r="AM172" i="62" s="1"/>
  <c r="Y186" i="62" s="1"/>
  <c r="G30" i="62" s="1"/>
  <c r="P30" i="62" s="1"/>
  <c r="Z9" i="3"/>
  <c r="AV100" i="62" s="1"/>
  <c r="Y123" i="62" s="1"/>
  <c r="F6" i="62" s="1"/>
  <c r="O6" i="62" s="1"/>
  <c r="J9" i="3"/>
  <c r="L19" i="3"/>
  <c r="AH340" i="62" s="1"/>
  <c r="Y349" i="62" s="1"/>
  <c r="K37" i="62" s="1"/>
  <c r="T37" i="62" s="1"/>
  <c r="U27" i="3"/>
  <c r="O12" i="3"/>
  <c r="AK172" i="62" s="1"/>
  <c r="Y184" i="62" s="1"/>
  <c r="G28" i="62" s="1"/>
  <c r="P28" i="62" s="1"/>
  <c r="Y19" i="3"/>
  <c r="T19" i="3"/>
  <c r="P19" i="3"/>
  <c r="AL340" i="62" s="1"/>
  <c r="Y353" i="62" s="1"/>
  <c r="K41" i="62" s="1"/>
  <c r="T41" i="62" s="1"/>
  <c r="J17" i="3"/>
  <c r="T17" i="3"/>
  <c r="S27" i="3"/>
  <c r="K24" i="3"/>
  <c r="X20" i="3"/>
  <c r="V19" i="3"/>
  <c r="AR340" i="62" s="1"/>
  <c r="Y359" i="62" s="1"/>
  <c r="R19" i="3"/>
  <c r="AF354" i="63" s="1"/>
  <c r="Q369" i="63" s="1"/>
  <c r="G19" i="3"/>
  <c r="Q19" i="3"/>
  <c r="AE354" i="63" s="1"/>
  <c r="Q368" i="63" s="1"/>
  <c r="O17" i="3"/>
  <c r="AK292" i="62" s="1"/>
  <c r="Y304" i="62" s="1"/>
  <c r="J31" i="62" s="1"/>
  <c r="S31" i="62" s="1"/>
  <c r="P17" i="3"/>
  <c r="AL292" i="62" s="1"/>
  <c r="Y305" i="62" s="1"/>
  <c r="J32" i="62" s="1"/>
  <c r="S32" i="62" s="1"/>
  <c r="I9" i="3"/>
  <c r="AE100" i="62" s="1"/>
  <c r="Y106" i="62" s="1"/>
  <c r="E28" i="62" s="1"/>
  <c r="N28" i="62" s="1"/>
  <c r="X9" i="3"/>
  <c r="AT100" i="62" s="1"/>
  <c r="Y121" i="62" s="1"/>
  <c r="F4" i="62" s="1"/>
  <c r="D16" i="46"/>
  <c r="D25" i="46" s="1"/>
  <c r="D34" i="46" s="1"/>
  <c r="B8" i="3"/>
  <c r="B8" i="6" s="1"/>
  <c r="G23" i="48"/>
  <c r="J26" i="48" s="1"/>
  <c r="D31" i="46"/>
  <c r="F10" i="46"/>
  <c r="F39" i="46" s="1"/>
  <c r="D18" i="47"/>
  <c r="D4" i="47"/>
  <c r="D5" i="47" s="1"/>
  <c r="F5" i="47" s="1"/>
  <c r="H5" i="47" s="1"/>
  <c r="AF71" i="9"/>
  <c r="AR5" i="9"/>
  <c r="BD71" i="9"/>
  <c r="B71" i="9"/>
  <c r="CB5" i="9"/>
  <c r="N5" i="9"/>
  <c r="BD38" i="9"/>
  <c r="CB71" i="9"/>
  <c r="AF5" i="9"/>
  <c r="BD5" i="9"/>
  <c r="T5" i="9"/>
  <c r="H38" i="9"/>
  <c r="Z38" i="9"/>
  <c r="BP71" i="9"/>
  <c r="Z5" i="9"/>
  <c r="H5" i="9"/>
  <c r="BP38" i="9"/>
  <c r="BJ38" i="9"/>
  <c r="N71" i="9"/>
  <c r="BP5" i="9"/>
  <c r="BV71" i="9"/>
  <c r="B5" i="9"/>
  <c r="N38" i="9"/>
  <c r="AR38" i="9"/>
  <c r="AX5" i="9"/>
  <c r="AX38" i="9" s="1"/>
  <c r="AX71" i="9" s="1"/>
  <c r="AL71" i="9"/>
  <c r="BV5" i="9"/>
  <c r="Z71" i="9"/>
  <c r="BJ71" i="9"/>
  <c r="BJ5" i="9"/>
  <c r="AL5" i="9"/>
  <c r="B38" i="9"/>
  <c r="T38" i="9"/>
  <c r="H71" i="9"/>
  <c r="CB38" i="9"/>
  <c r="AF38" i="9"/>
  <c r="T71" i="9"/>
  <c r="AR71" i="9"/>
  <c r="AL38" i="9"/>
  <c r="AD64" i="4"/>
  <c r="AC92" i="4" s="1"/>
  <c r="B43" i="7"/>
  <c r="BP76" i="9" s="1"/>
  <c r="X28" i="62"/>
  <c r="B7" i="6"/>
  <c r="AD34" i="4"/>
  <c r="AC62" i="4" s="1"/>
  <c r="X52" i="62"/>
  <c r="B6" i="6"/>
  <c r="B42" i="63"/>
  <c r="V21" i="3"/>
  <c r="Q14" i="2"/>
  <c r="R21" i="3"/>
  <c r="X21" i="3"/>
  <c r="W21" i="3"/>
  <c r="O21" i="3"/>
  <c r="Y20" i="3"/>
  <c r="D20" i="3"/>
  <c r="Y354" i="63"/>
  <c r="Q362" i="63" s="1"/>
  <c r="L18" i="3"/>
  <c r="AH316" i="62" s="1"/>
  <c r="Y325" i="62" s="1"/>
  <c r="K13" i="62" s="1"/>
  <c r="T13" i="62" s="1"/>
  <c r="AA244" i="62"/>
  <c r="Y246" i="62" s="1"/>
  <c r="I12" i="62" s="1"/>
  <c r="R12" i="62" s="1"/>
  <c r="AJ100" i="62"/>
  <c r="Y111" i="62" s="1"/>
  <c r="E33" i="62" s="1"/>
  <c r="N33" i="62" s="1"/>
  <c r="D31" i="3"/>
  <c r="F21" i="3"/>
  <c r="M21" i="3"/>
  <c r="N21" i="3"/>
  <c r="E21" i="3"/>
  <c r="Q31" i="2"/>
  <c r="Z292" i="62"/>
  <c r="Y293" i="62" s="1"/>
  <c r="J20" i="62" s="1"/>
  <c r="S20" i="62" s="1"/>
  <c r="Q16" i="2"/>
  <c r="Q21" i="3"/>
  <c r="T21" i="3"/>
  <c r="G21" i="3"/>
  <c r="L21" i="3"/>
  <c r="U21" i="3"/>
  <c r="H21" i="3"/>
  <c r="I21" i="3"/>
  <c r="K21" i="3"/>
  <c r="W20" i="3"/>
  <c r="I19" i="3"/>
  <c r="W354" i="63" s="1"/>
  <c r="Q360" i="63" s="1"/>
  <c r="Z19" i="3"/>
  <c r="N19" i="3"/>
  <c r="AB354" i="63" s="1"/>
  <c r="Q365" i="63" s="1"/>
  <c r="H19" i="3"/>
  <c r="AD340" i="62" s="1"/>
  <c r="Y345" i="62" s="1"/>
  <c r="K33" i="62" s="1"/>
  <c r="T33" i="62" s="1"/>
  <c r="X19" i="3"/>
  <c r="C18" i="3"/>
  <c r="Q330" i="63" s="1"/>
  <c r="AB100" i="62"/>
  <c r="Y103" i="62" s="1"/>
  <c r="E25" i="62" s="1"/>
  <c r="N25" i="62" s="1"/>
  <c r="L9" i="3"/>
  <c r="M9" i="3"/>
  <c r="AG354" i="63"/>
  <c r="Q370" i="63" s="1"/>
  <c r="AO340" i="62"/>
  <c r="Y356" i="62" s="1"/>
  <c r="L20" i="3"/>
  <c r="N16" i="3"/>
  <c r="Y16" i="3"/>
  <c r="F16" i="3"/>
  <c r="D27" i="3"/>
  <c r="P26" i="3"/>
  <c r="M26" i="3"/>
  <c r="L24" i="3"/>
  <c r="D24" i="3"/>
  <c r="U20" i="3"/>
  <c r="Q20" i="3"/>
  <c r="I20" i="3"/>
  <c r="E20" i="3"/>
  <c r="P20" i="3"/>
  <c r="K20" i="3"/>
  <c r="F19" i="3"/>
  <c r="O19" i="3"/>
  <c r="W19" i="3"/>
  <c r="E19" i="3"/>
  <c r="U19" i="3"/>
  <c r="Q34" i="2"/>
  <c r="E18" i="3"/>
  <c r="AC306" i="63"/>
  <c r="Q318" i="63" s="1"/>
  <c r="D16" i="3"/>
  <c r="Z268" i="62" s="1"/>
  <c r="Y269" i="62" s="1"/>
  <c r="I35" i="62" s="1"/>
  <c r="R35" i="62" s="1"/>
  <c r="P16" i="3"/>
  <c r="V16" i="3"/>
  <c r="W16" i="3"/>
  <c r="AK282" i="63" s="1"/>
  <c r="Q302" i="63" s="1"/>
  <c r="G15" i="3"/>
  <c r="W15" i="3"/>
  <c r="AK258" i="63" s="1"/>
  <c r="Q278" i="63" s="1"/>
  <c r="Q15" i="3"/>
  <c r="AE258" i="63" s="1"/>
  <c r="Q272" i="63" s="1"/>
  <c r="K12" i="3"/>
  <c r="AG172" i="62" s="1"/>
  <c r="Y180" i="62" s="1"/>
  <c r="G24" i="62" s="1"/>
  <c r="P24" i="62" s="1"/>
  <c r="G36" i="2"/>
  <c r="G37" i="2" s="1"/>
  <c r="G9" i="3"/>
  <c r="K9" i="3"/>
  <c r="Y114" i="63" s="1"/>
  <c r="Q122" i="63" s="1"/>
  <c r="U9" i="3"/>
  <c r="Q20" i="2"/>
  <c r="Q22" i="2"/>
  <c r="Q23" i="2"/>
  <c r="X16" i="3"/>
  <c r="AT268" i="62" s="1"/>
  <c r="Y289" i="62" s="1"/>
  <c r="J16" i="62" s="1"/>
  <c r="S16" i="62" s="1"/>
  <c r="I16" i="3"/>
  <c r="K16" i="3"/>
  <c r="G16" i="3"/>
  <c r="H16" i="3"/>
  <c r="J26" i="3"/>
  <c r="Q26" i="3"/>
  <c r="Q24" i="3"/>
  <c r="H33" i="3"/>
  <c r="G26" i="3"/>
  <c r="Z26" i="3"/>
  <c r="J24" i="3"/>
  <c r="C20" i="3"/>
  <c r="F20" i="3"/>
  <c r="H20" i="3"/>
  <c r="R20" i="3"/>
  <c r="G20" i="3"/>
  <c r="V20" i="3"/>
  <c r="L16" i="3"/>
  <c r="T16" i="3"/>
  <c r="M16" i="3"/>
  <c r="S16" i="3"/>
  <c r="J16" i="3"/>
  <c r="V15" i="3"/>
  <c r="F15" i="3"/>
  <c r="AB244" i="62" s="1"/>
  <c r="Y247" i="62" s="1"/>
  <c r="I13" i="62" s="1"/>
  <c r="R13" i="62" s="1"/>
  <c r="S15" i="3"/>
  <c r="AG258" i="63" s="1"/>
  <c r="Q274" i="63" s="1"/>
  <c r="G33" i="3"/>
  <c r="D26" i="3"/>
  <c r="Y26" i="3"/>
  <c r="J20" i="3"/>
  <c r="O20" i="3"/>
  <c r="S20" i="3"/>
  <c r="Z20" i="3"/>
  <c r="U16" i="3"/>
  <c r="C15" i="3"/>
  <c r="U15" i="3"/>
  <c r="X15" i="3"/>
  <c r="L34" i="9"/>
  <c r="F34" i="9"/>
  <c r="C5" i="3"/>
  <c r="Q18" i="63" s="1"/>
  <c r="L5" i="3"/>
  <c r="AH4" i="62" s="1"/>
  <c r="Y13" i="62" s="1"/>
  <c r="C13" i="62" s="1"/>
  <c r="L13" i="62" s="1"/>
  <c r="AD9" i="1"/>
  <c r="V13" i="1"/>
  <c r="O13" i="1"/>
  <c r="AE13" i="1"/>
  <c r="AD15" i="1"/>
  <c r="W15" i="1"/>
  <c r="Z18" i="1"/>
  <c r="AD21" i="1"/>
  <c r="W21" i="1"/>
  <c r="V23" i="1"/>
  <c r="O23" i="1"/>
  <c r="AE23" i="1"/>
  <c r="Z26" i="1"/>
  <c r="Z28" i="1"/>
  <c r="AB14" i="1"/>
  <c r="T19" i="1"/>
  <c r="AF29" i="1"/>
  <c r="T32" i="1"/>
  <c r="AB33" i="1"/>
  <c r="R9" i="1"/>
  <c r="O9" i="1"/>
  <c r="Z13" i="1"/>
  <c r="S13" i="1"/>
  <c r="AI13" i="1"/>
  <c r="R15" i="1"/>
  <c r="AH15" i="1"/>
  <c r="AA15" i="1"/>
  <c r="AD18" i="1"/>
  <c r="R21" i="1"/>
  <c r="AH21" i="1"/>
  <c r="AA21" i="1"/>
  <c r="Z23" i="1"/>
  <c r="S23" i="1"/>
  <c r="AI23" i="1"/>
  <c r="AD26" i="1"/>
  <c r="AD28" i="1"/>
  <c r="AG28" i="1"/>
  <c r="AJ32" i="1"/>
  <c r="P32" i="1"/>
  <c r="V9" i="1"/>
  <c r="AD13" i="1"/>
  <c r="W13" i="1"/>
  <c r="V15" i="1"/>
  <c r="O15" i="1"/>
  <c r="AE15" i="1"/>
  <c r="R18" i="1"/>
  <c r="AH18" i="1"/>
  <c r="V21" i="1"/>
  <c r="O21" i="1"/>
  <c r="AE21" i="1"/>
  <c r="AD23" i="1"/>
  <c r="W23" i="1"/>
  <c r="R26" i="1"/>
  <c r="AH26" i="1"/>
  <c r="R28" i="1"/>
  <c r="AH28" i="1"/>
  <c r="T15" i="1"/>
  <c r="X23" i="1"/>
  <c r="W24" i="1"/>
  <c r="AG26" i="1"/>
  <c r="W28" i="1"/>
  <c r="AH9" i="1"/>
  <c r="AF10" i="1"/>
  <c r="T11" i="1"/>
  <c r="X14" i="1"/>
  <c r="AJ15" i="1"/>
  <c r="AG16" i="1"/>
  <c r="T17" i="1"/>
  <c r="AJ19" i="1"/>
  <c r="AF20" i="1"/>
  <c r="AB28" i="1"/>
  <c r="Q28" i="1"/>
  <c r="X9" i="1"/>
  <c r="AB10" i="1"/>
  <c r="AJ14" i="1"/>
  <c r="T14" i="1"/>
  <c r="AB15" i="1"/>
  <c r="Y16" i="1"/>
  <c r="X19" i="1"/>
  <c r="AB23" i="1"/>
  <c r="Y28" i="1"/>
  <c r="O28" i="1"/>
  <c r="AF34" i="1"/>
  <c r="AB36" i="1"/>
  <c r="AC8" i="1"/>
  <c r="S9" i="1"/>
  <c r="P10" i="1"/>
  <c r="AB12" i="1"/>
  <c r="AF14" i="1"/>
  <c r="P14" i="1"/>
  <c r="W18" i="1"/>
  <c r="AE28" i="1"/>
  <c r="T28" i="1"/>
  <c r="Y8" i="1"/>
  <c r="X10" i="1"/>
  <c r="AJ11" i="1"/>
  <c r="AJ12" i="1"/>
  <c r="T12" i="1"/>
  <c r="AB13" i="1"/>
  <c r="T20" i="1"/>
  <c r="AB21" i="1"/>
  <c r="T23" i="1"/>
  <c r="W26" i="1"/>
  <c r="AB29" i="1"/>
  <c r="AF30" i="1"/>
  <c r="T33" i="1"/>
  <c r="AB34" i="1"/>
  <c r="X36" i="1"/>
  <c r="AJ37" i="1"/>
  <c r="AK8" i="1"/>
  <c r="U8" i="1"/>
  <c r="AC9" i="1"/>
  <c r="AJ10" i="1"/>
  <c r="T10" i="1"/>
  <c r="AB11" i="1"/>
  <c r="AF12" i="1"/>
  <c r="P12" i="1"/>
  <c r="T13" i="1"/>
  <c r="AJ17" i="1"/>
  <c r="AB19" i="1"/>
  <c r="AJ20" i="1"/>
  <c r="P20" i="1"/>
  <c r="P21" i="1"/>
  <c r="AJ23" i="1"/>
  <c r="P23" i="1"/>
  <c r="T29" i="1"/>
  <c r="AB30" i="1"/>
  <c r="AJ33" i="1"/>
  <c r="AJ36" i="1"/>
  <c r="T36" i="1"/>
  <c r="AB37" i="1"/>
  <c r="AG8" i="1"/>
  <c r="Q8" i="1"/>
  <c r="AB27" i="1"/>
  <c r="AJ29" i="1"/>
  <c r="AF36" i="1"/>
  <c r="P36" i="1"/>
  <c r="T37" i="1"/>
  <c r="X12" i="1"/>
  <c r="AJ13" i="1"/>
  <c r="AG316" i="62"/>
  <c r="Y324" i="62" s="1"/>
  <c r="K12" i="62" s="1"/>
  <c r="T12" i="62" s="1"/>
  <c r="Y330" i="63"/>
  <c r="Q338" i="63" s="1"/>
  <c r="Q26" i="2"/>
  <c r="AE428" i="4" a="1"/>
  <c r="AE434" i="4" s="1"/>
  <c r="Q30" i="2"/>
  <c r="AK330" i="63"/>
  <c r="Q350" i="63" s="1"/>
  <c r="N18" i="3"/>
  <c r="P18" i="3"/>
  <c r="AH292" i="62"/>
  <c r="Y301" i="62" s="1"/>
  <c r="J28" i="62" s="1"/>
  <c r="S28" i="62" s="1"/>
  <c r="AE76" i="62"/>
  <c r="Y82" i="62" s="1"/>
  <c r="E4" i="62" s="1"/>
  <c r="N4" i="62" s="1"/>
  <c r="W90" i="63"/>
  <c r="Q96" i="63" s="1"/>
  <c r="Z33" i="3"/>
  <c r="F33" i="3"/>
  <c r="U33" i="3"/>
  <c r="V33" i="3"/>
  <c r="C31" i="3"/>
  <c r="T26" i="3"/>
  <c r="L26" i="3"/>
  <c r="N26" i="3"/>
  <c r="I26" i="3"/>
  <c r="J33" i="3"/>
  <c r="K33" i="3"/>
  <c r="L33" i="3"/>
  <c r="J31" i="3"/>
  <c r="V26" i="3"/>
  <c r="U26" i="3"/>
  <c r="O26" i="3"/>
  <c r="W26" i="3"/>
  <c r="H26" i="3"/>
  <c r="S21" i="3"/>
  <c r="C21" i="3"/>
  <c r="D21" i="3"/>
  <c r="Z21" i="3"/>
  <c r="J21" i="3"/>
  <c r="Y21" i="3"/>
  <c r="AM316" i="62"/>
  <c r="Y330" i="62" s="1"/>
  <c r="K18" i="62" s="1"/>
  <c r="T18" i="62" s="1"/>
  <c r="Z330" i="63"/>
  <c r="Q339" i="63" s="1"/>
  <c r="M18" i="3"/>
  <c r="R18" i="3"/>
  <c r="R282" i="63"/>
  <c r="Q283" i="63" s="1"/>
  <c r="AS268" i="62"/>
  <c r="Y288" i="62" s="1"/>
  <c r="J15" i="62" s="1"/>
  <c r="S15" i="62" s="1"/>
  <c r="M13" i="3"/>
  <c r="AA210" i="63" s="1"/>
  <c r="Q220" i="63" s="1"/>
  <c r="D13" i="3"/>
  <c r="R13" i="3"/>
  <c r="AN196" i="62" s="1"/>
  <c r="Y211" i="62" s="1"/>
  <c r="H16" i="62" s="1"/>
  <c r="Q16" i="62" s="1"/>
  <c r="E13" i="3"/>
  <c r="K13" i="3"/>
  <c r="W13" i="3"/>
  <c r="Q32" i="2"/>
  <c r="Q17" i="2"/>
  <c r="N33" i="3"/>
  <c r="E33" i="3"/>
  <c r="N31" i="3"/>
  <c r="AJ354" i="63"/>
  <c r="Q373" i="63" s="1"/>
  <c r="Y18" i="3"/>
  <c r="AM330" i="63" s="1"/>
  <c r="Q352" i="63" s="1"/>
  <c r="D18" i="3"/>
  <c r="J18" i="3"/>
  <c r="I18" i="3"/>
  <c r="U18" i="3"/>
  <c r="H18" i="3"/>
  <c r="F18" i="3"/>
  <c r="Z18" i="3"/>
  <c r="V18" i="3"/>
  <c r="G18" i="3"/>
  <c r="S18" i="3"/>
  <c r="AI292" i="62"/>
  <c r="Y302" i="62" s="1"/>
  <c r="J29" i="62" s="1"/>
  <c r="S29" i="62" s="1"/>
  <c r="AA306" i="63"/>
  <c r="Q316" i="63" s="1"/>
  <c r="H36" i="2"/>
  <c r="H37" i="2" s="1"/>
  <c r="M8" i="3"/>
  <c r="O8" i="3"/>
  <c r="S8" i="3"/>
  <c r="Y8" i="3"/>
  <c r="U8" i="3"/>
  <c r="X8" i="3"/>
  <c r="K8" i="3"/>
  <c r="Z8" i="3"/>
  <c r="E8" i="3"/>
  <c r="P8" i="3"/>
  <c r="C8" i="3"/>
  <c r="G8" i="3"/>
  <c r="V8" i="3"/>
  <c r="L8" i="3"/>
  <c r="F8" i="3"/>
  <c r="W8" i="3"/>
  <c r="Q8" i="3"/>
  <c r="N8" i="3"/>
  <c r="H8" i="3"/>
  <c r="T8" i="3"/>
  <c r="D8" i="3"/>
  <c r="R8" i="3"/>
  <c r="J8" i="3"/>
  <c r="E36" i="2"/>
  <c r="E37" i="2" s="1"/>
  <c r="Q18" i="2"/>
  <c r="Q282" i="63"/>
  <c r="Q27" i="2"/>
  <c r="O36" i="2"/>
  <c r="O37" i="2" s="1"/>
  <c r="W17" i="3"/>
  <c r="U17" i="3"/>
  <c r="X17" i="3"/>
  <c r="AN114" i="63"/>
  <c r="Q137" i="63" s="1"/>
  <c r="W114" i="63"/>
  <c r="Q120" i="63" s="1"/>
  <c r="AA114" i="63"/>
  <c r="Q124" i="63" s="1"/>
  <c r="AI100" i="62"/>
  <c r="Y110" i="62" s="1"/>
  <c r="E32" i="62" s="1"/>
  <c r="N32" i="62" s="1"/>
  <c r="AM244" i="62"/>
  <c r="Y258" i="62" s="1"/>
  <c r="I24" i="62" s="1"/>
  <c r="R24" i="62" s="1"/>
  <c r="J12" i="3"/>
  <c r="AF172" i="62" s="1"/>
  <c r="Y179" i="62" s="1"/>
  <c r="G23" i="62" s="1"/>
  <c r="P23" i="62" s="1"/>
  <c r="AJ114" i="63"/>
  <c r="Q133" i="63" s="1"/>
  <c r="AR100" i="62"/>
  <c r="Y119" i="62" s="1"/>
  <c r="E41" i="62" s="1"/>
  <c r="N41" i="62" s="1"/>
  <c r="Q24" i="2"/>
  <c r="J36" i="2"/>
  <c r="J37" i="2" s="1"/>
  <c r="O16" i="3"/>
  <c r="E16" i="3"/>
  <c r="Z16" i="3"/>
  <c r="Q16" i="3"/>
  <c r="R16" i="3"/>
  <c r="Q28" i="2"/>
  <c r="Q21" i="2"/>
  <c r="C12" i="3"/>
  <c r="Y172" i="62" s="1"/>
  <c r="G16" i="62" s="1"/>
  <c r="P16" i="62" s="1"/>
  <c r="G12" i="3"/>
  <c r="AC172" i="62" s="1"/>
  <c r="Y176" i="62" s="1"/>
  <c r="G20" i="62" s="1"/>
  <c r="P20" i="62" s="1"/>
  <c r="F36" i="2"/>
  <c r="F37" i="2" s="1"/>
  <c r="C9" i="3"/>
  <c r="E9" i="3"/>
  <c r="S9" i="3"/>
  <c r="Q9" i="3"/>
  <c r="H9" i="3"/>
  <c r="P9" i="3"/>
  <c r="S5" i="3"/>
  <c r="T5" i="3"/>
  <c r="AP4" i="62" s="1"/>
  <c r="Y21" i="62" s="1"/>
  <c r="C21" i="62" s="1"/>
  <c r="L21" i="62" s="1"/>
  <c r="Y9" i="3"/>
  <c r="T9" i="3"/>
  <c r="W9" i="3"/>
  <c r="R9" i="3"/>
  <c r="D9" i="3"/>
  <c r="F5" i="3"/>
  <c r="U5" i="3"/>
  <c r="C36" i="2"/>
  <c r="C37" i="2" s="1"/>
  <c r="R23" i="3"/>
  <c r="Q23" i="3"/>
  <c r="D23" i="3"/>
  <c r="G23" i="3"/>
  <c r="V23" i="3"/>
  <c r="X23" i="3"/>
  <c r="M23" i="3"/>
  <c r="P23" i="3"/>
  <c r="T23" i="3"/>
  <c r="I23" i="3"/>
  <c r="F23" i="3"/>
  <c r="J23" i="3"/>
  <c r="N23" i="3"/>
  <c r="Z23" i="3"/>
  <c r="L23" i="3"/>
  <c r="O23" i="3"/>
  <c r="E23" i="3"/>
  <c r="Y23" i="3"/>
  <c r="S23" i="3"/>
  <c r="C23" i="3"/>
  <c r="H23" i="3"/>
  <c r="U23" i="3"/>
  <c r="W23" i="3"/>
  <c r="K23" i="3"/>
  <c r="P36" i="2"/>
  <c r="P37" i="2" s="1"/>
  <c r="Q25" i="2"/>
  <c r="C32" i="3" a="1"/>
  <c r="U31" i="3"/>
  <c r="P31" i="3"/>
  <c r="E31" i="3"/>
  <c r="L31" i="3"/>
  <c r="R31" i="3"/>
  <c r="X31" i="3"/>
  <c r="G31" i="3"/>
  <c r="V31" i="3"/>
  <c r="H31" i="3"/>
  <c r="T31" i="3"/>
  <c r="I31" i="3"/>
  <c r="F31" i="3"/>
  <c r="S31" i="3"/>
  <c r="M31" i="3"/>
  <c r="Y31" i="3"/>
  <c r="Z31" i="3"/>
  <c r="Q31" i="3"/>
  <c r="C30" i="3" a="1"/>
  <c r="Y33" i="3"/>
  <c r="X33" i="3"/>
  <c r="D33" i="3"/>
  <c r="C33" i="3"/>
  <c r="S33" i="3"/>
  <c r="R33" i="3"/>
  <c r="O33" i="3"/>
  <c r="I33" i="3"/>
  <c r="T33" i="3"/>
  <c r="W33" i="3"/>
  <c r="M33" i="3"/>
  <c r="Q33" i="3"/>
  <c r="C29" i="3" a="1"/>
  <c r="T22" i="3"/>
  <c r="R22" i="3"/>
  <c r="O22" i="3"/>
  <c r="P22" i="3"/>
  <c r="S22" i="3"/>
  <c r="N22" i="3"/>
  <c r="V22" i="3"/>
  <c r="Q22" i="3"/>
  <c r="U22" i="3"/>
  <c r="I22" i="3"/>
  <c r="M22" i="3"/>
  <c r="H22" i="3"/>
  <c r="G22" i="3"/>
  <c r="C22" i="3"/>
  <c r="Z22" i="3"/>
  <c r="X22" i="3"/>
  <c r="K22" i="3"/>
  <c r="W22" i="3"/>
  <c r="J22" i="3"/>
  <c r="E22" i="3"/>
  <c r="Y22" i="3"/>
  <c r="F22" i="3"/>
  <c r="D22" i="3"/>
  <c r="L22" i="3"/>
  <c r="C28" i="3" a="1"/>
  <c r="K31" i="3"/>
  <c r="W31" i="3"/>
  <c r="W27" i="3"/>
  <c r="X27" i="3"/>
  <c r="V27" i="3"/>
  <c r="G27" i="3"/>
  <c r="P27" i="3"/>
  <c r="Z27" i="3"/>
  <c r="R27" i="3"/>
  <c r="N27" i="3"/>
  <c r="L27" i="3"/>
  <c r="I27" i="3"/>
  <c r="T27" i="3"/>
  <c r="H27" i="3"/>
  <c r="Q27" i="3"/>
  <c r="Y27" i="3"/>
  <c r="O27" i="3"/>
  <c r="J27" i="3"/>
  <c r="C27" i="3"/>
  <c r="F27" i="3"/>
  <c r="E27" i="3"/>
  <c r="X25" i="3"/>
  <c r="N25" i="3"/>
  <c r="F25" i="3"/>
  <c r="O25" i="3"/>
  <c r="W25" i="3"/>
  <c r="I25" i="3"/>
  <c r="V25" i="3"/>
  <c r="M25" i="3"/>
  <c r="D25" i="3"/>
  <c r="Y25" i="3"/>
  <c r="P25" i="3"/>
  <c r="E25" i="3"/>
  <c r="T25" i="3"/>
  <c r="J25" i="3"/>
  <c r="Q25" i="3"/>
  <c r="S25" i="3"/>
  <c r="K25" i="3"/>
  <c r="G25" i="3"/>
  <c r="Z25" i="3"/>
  <c r="C25" i="3"/>
  <c r="H25" i="3"/>
  <c r="L25" i="3"/>
  <c r="U25" i="3"/>
  <c r="R25" i="3"/>
  <c r="I24" i="3"/>
  <c r="T24" i="3"/>
  <c r="G24" i="3"/>
  <c r="R24" i="3"/>
  <c r="S24" i="3"/>
  <c r="O24" i="3"/>
  <c r="L36" i="2"/>
  <c r="L37" i="2" s="1"/>
  <c r="Q15" i="2"/>
  <c r="N36" i="2"/>
  <c r="N37" i="2" s="1"/>
  <c r="Q29" i="2"/>
  <c r="E26" i="3"/>
  <c r="F26" i="3"/>
  <c r="K26" i="3"/>
  <c r="C26" i="3"/>
  <c r="R26" i="3"/>
  <c r="S26" i="3"/>
  <c r="U24" i="3"/>
  <c r="C24" i="3"/>
  <c r="P24" i="3"/>
  <c r="H24" i="3"/>
  <c r="V24" i="3"/>
  <c r="N24" i="3"/>
  <c r="AJ306" i="63"/>
  <c r="Q325" i="63" s="1"/>
  <c r="AR292" i="62"/>
  <c r="Y311" i="62" s="1"/>
  <c r="J38" i="62" s="1"/>
  <c r="S38" i="62" s="1"/>
  <c r="Q12" i="2"/>
  <c r="M36" i="2"/>
  <c r="M37" i="2" s="1"/>
  <c r="K36" i="2"/>
  <c r="K37" i="2" s="1"/>
  <c r="Q19" i="2"/>
  <c r="Y24" i="3"/>
  <c r="M24" i="3"/>
  <c r="X24" i="3"/>
  <c r="W24" i="3"/>
  <c r="Z24" i="3"/>
  <c r="Z354" i="63"/>
  <c r="AU244" i="62"/>
  <c r="Y266" i="62" s="1"/>
  <c r="I32" i="62" s="1"/>
  <c r="R32" i="62" s="1"/>
  <c r="AM258" i="63"/>
  <c r="Q280" i="63" s="1"/>
  <c r="Y14" i="3"/>
  <c r="E14" i="3"/>
  <c r="C14" i="3"/>
  <c r="H14" i="3"/>
  <c r="O14" i="3"/>
  <c r="M14" i="3"/>
  <c r="D14" i="3"/>
  <c r="F14" i="3"/>
  <c r="K14" i="3"/>
  <c r="U14" i="3"/>
  <c r="V14" i="3"/>
  <c r="J14" i="3"/>
  <c r="L14" i="3"/>
  <c r="W14" i="3"/>
  <c r="S14" i="3"/>
  <c r="I14" i="3"/>
  <c r="N14" i="3"/>
  <c r="R14" i="3"/>
  <c r="Z14" i="3"/>
  <c r="Q14" i="3"/>
  <c r="T14" i="3"/>
  <c r="G14" i="3"/>
  <c r="X14" i="3"/>
  <c r="P14" i="3"/>
  <c r="AO172" i="62"/>
  <c r="Y188" i="62" s="1"/>
  <c r="G32" i="62" s="1"/>
  <c r="P32" i="62" s="1"/>
  <c r="AG186" i="63"/>
  <c r="Q202" i="63" s="1"/>
  <c r="I15" i="3"/>
  <c r="R15" i="3"/>
  <c r="O15" i="3"/>
  <c r="T15" i="3"/>
  <c r="L15" i="3"/>
  <c r="P15" i="3"/>
  <c r="AF210" i="63"/>
  <c r="Q225" i="63" s="1"/>
  <c r="X210" i="63"/>
  <c r="Q217" i="63" s="1"/>
  <c r="Q13" i="3"/>
  <c r="H13" i="3"/>
  <c r="T13" i="3"/>
  <c r="S13" i="3"/>
  <c r="C13" i="3"/>
  <c r="V13" i="3"/>
  <c r="Y186" i="63"/>
  <c r="Q194" i="63" s="1"/>
  <c r="AC186" i="63"/>
  <c r="Q198" i="63" s="1"/>
  <c r="AE186" i="63"/>
  <c r="Q200" i="63" s="1"/>
  <c r="D12" i="3"/>
  <c r="Z12" i="3"/>
  <c r="V12" i="3"/>
  <c r="F12" i="3"/>
  <c r="M12" i="3"/>
  <c r="T12" i="3"/>
  <c r="Z15" i="3"/>
  <c r="H15" i="3"/>
  <c r="D15" i="3"/>
  <c r="K15" i="3"/>
  <c r="N15" i="3"/>
  <c r="I13" i="3"/>
  <c r="Y13" i="3"/>
  <c r="Z13" i="3"/>
  <c r="U13" i="3"/>
  <c r="N13" i="3"/>
  <c r="X13" i="3"/>
  <c r="Y12" i="3"/>
  <c r="U12" i="3"/>
  <c r="R12" i="3"/>
  <c r="E12" i="3"/>
  <c r="X12" i="3"/>
  <c r="N12" i="3"/>
  <c r="O4" i="62"/>
  <c r="S17" i="3"/>
  <c r="Z17" i="3"/>
  <c r="Q17" i="3"/>
  <c r="Y17" i="3"/>
  <c r="K17" i="3"/>
  <c r="E17" i="3"/>
  <c r="G13" i="3"/>
  <c r="O13" i="3"/>
  <c r="F13" i="3"/>
  <c r="L13" i="3"/>
  <c r="P13" i="3"/>
  <c r="H12" i="3"/>
  <c r="W12" i="3"/>
  <c r="L12" i="3"/>
  <c r="P12" i="3"/>
  <c r="I12" i="3"/>
  <c r="M10" i="3"/>
  <c r="X10" i="3"/>
  <c r="I10" i="3"/>
  <c r="G10" i="3"/>
  <c r="K10" i="3"/>
  <c r="S10" i="3"/>
  <c r="J10" i="3"/>
  <c r="U10" i="3"/>
  <c r="R10" i="3"/>
  <c r="F10" i="3"/>
  <c r="H10" i="3"/>
  <c r="L10" i="3"/>
  <c r="V10" i="3"/>
  <c r="O10" i="3"/>
  <c r="P10" i="3"/>
  <c r="W10" i="3"/>
  <c r="Y10" i="3"/>
  <c r="D10" i="3"/>
  <c r="N10" i="3"/>
  <c r="Z10" i="3"/>
  <c r="C10" i="3"/>
  <c r="Q10" i="3"/>
  <c r="T10" i="3"/>
  <c r="E10" i="3"/>
  <c r="X18" i="3"/>
  <c r="T18" i="3"/>
  <c r="R17" i="3"/>
  <c r="F17" i="3"/>
  <c r="I17" i="3"/>
  <c r="G17" i="3"/>
  <c r="C17" i="3"/>
  <c r="K11" i="3"/>
  <c r="J11" i="3"/>
  <c r="X11" i="3"/>
  <c r="Q11" i="3"/>
  <c r="Y11" i="3"/>
  <c r="I11" i="3"/>
  <c r="D11" i="3"/>
  <c r="Z11" i="3"/>
  <c r="M11" i="3"/>
  <c r="S11" i="3"/>
  <c r="T11" i="3"/>
  <c r="L11" i="3"/>
  <c r="P11" i="3"/>
  <c r="V11" i="3"/>
  <c r="C11" i="3"/>
  <c r="F11" i="3"/>
  <c r="O11" i="3"/>
  <c r="G11" i="3"/>
  <c r="E11" i="3"/>
  <c r="R11" i="3"/>
  <c r="U11" i="3"/>
  <c r="W11" i="3"/>
  <c r="N11" i="3"/>
  <c r="H11" i="3"/>
  <c r="C7" i="3" a="1"/>
  <c r="M64" i="56"/>
  <c r="B120" i="56"/>
  <c r="I33" i="2"/>
  <c r="Q33" i="2" s="1"/>
  <c r="Q117" i="63"/>
  <c r="AM4" i="62"/>
  <c r="Y18" i="62" s="1"/>
  <c r="C18" i="62" s="1"/>
  <c r="L18" i="62" s="1"/>
  <c r="AE18" i="63"/>
  <c r="Q32" i="63" s="1"/>
  <c r="D28" i="47"/>
  <c r="D26" i="47"/>
  <c r="F26" i="47" s="1"/>
  <c r="H26" i="47" s="1"/>
  <c r="H25" i="47"/>
  <c r="V6" i="3"/>
  <c r="I6" i="3"/>
  <c r="Z6" i="3"/>
  <c r="H6" i="3"/>
  <c r="W6" i="3"/>
  <c r="G6" i="3"/>
  <c r="Y6" i="3"/>
  <c r="O6" i="3"/>
  <c r="L6" i="3"/>
  <c r="R6" i="3"/>
  <c r="E6" i="3"/>
  <c r="X6" i="3"/>
  <c r="S6" i="3"/>
  <c r="K6" i="3"/>
  <c r="F6" i="3"/>
  <c r="Q6" i="3"/>
  <c r="C6" i="3"/>
  <c r="D6" i="3"/>
  <c r="U6" i="3"/>
  <c r="T6" i="3"/>
  <c r="N6" i="3"/>
  <c r="J6" i="3"/>
  <c r="M6" i="3"/>
  <c r="P6" i="3"/>
  <c r="D36" i="2"/>
  <c r="D37" i="2" s="1"/>
  <c r="F36" i="48"/>
  <c r="G14" i="52" s="1"/>
  <c r="G15" i="53" s="1"/>
  <c r="E14" i="52"/>
  <c r="E15" i="53" s="1"/>
  <c r="F35" i="48"/>
  <c r="J14" i="52" s="1"/>
  <c r="J15" i="53" s="1"/>
  <c r="F37" i="48"/>
  <c r="K14" i="52" s="1"/>
  <c r="K15" i="53" s="1"/>
  <c r="B36" i="2"/>
  <c r="H9" i="60"/>
  <c r="B10" i="60"/>
  <c r="AH18" i="63"/>
  <c r="Q35" i="63" s="1"/>
  <c r="Y5" i="3"/>
  <c r="W5" i="3"/>
  <c r="R5" i="3"/>
  <c r="G5" i="3"/>
  <c r="H5" i="3"/>
  <c r="M5" i="3"/>
  <c r="D11" i="47"/>
  <c r="D5" i="3"/>
  <c r="I5" i="3"/>
  <c r="J5" i="3"/>
  <c r="V5" i="3"/>
  <c r="O5" i="3"/>
  <c r="Z5" i="3"/>
  <c r="D7" i="47"/>
  <c r="B5" i="33"/>
  <c r="E5" i="3"/>
  <c r="P5" i="3"/>
  <c r="N5" i="3"/>
  <c r="K5" i="3"/>
  <c r="X5" i="3"/>
  <c r="AS871" i="4"/>
  <c r="AS870" i="4"/>
  <c r="AW869" i="4"/>
  <c r="AG866" i="4"/>
  <c r="AZ848" i="4"/>
  <c r="AZ854" i="4"/>
  <c r="AZ855" i="4"/>
  <c r="AZ862" i="4"/>
  <c r="AZ850" i="4"/>
  <c r="AZ851" i="4"/>
  <c r="AZ858" i="4"/>
  <c r="AZ859" i="4"/>
  <c r="AZ864" i="4"/>
  <c r="AJ848" i="4"/>
  <c r="AJ856" i="4"/>
  <c r="AJ852" i="4"/>
  <c r="AJ866" i="4"/>
  <c r="AJ867" i="4"/>
  <c r="AJ871" i="4"/>
  <c r="AD848" i="4"/>
  <c r="AD851" i="4"/>
  <c r="AD859" i="4"/>
  <c r="AD860" i="4"/>
  <c r="AD849" i="4"/>
  <c r="AD855" i="4"/>
  <c r="AD863" i="4"/>
  <c r="AD866" i="4"/>
  <c r="AD868" i="4"/>
  <c r="AQ840" i="4"/>
  <c r="AH839" i="4"/>
  <c r="AX838" i="4"/>
  <c r="AP837" i="4"/>
  <c r="AT836" i="4"/>
  <c r="AM834" i="4"/>
  <c r="AQ832" i="4"/>
  <c r="AQ828" i="4"/>
  <c r="AU820" i="4"/>
  <c r="AT820" i="4"/>
  <c r="AH819" i="4"/>
  <c r="AG819" i="4"/>
  <c r="AT818" i="4"/>
  <c r="AU818" i="4"/>
  <c r="AU729" i="4"/>
  <c r="AT729" i="4"/>
  <c r="AV849" i="4"/>
  <c r="AV851" i="4"/>
  <c r="AV857" i="4"/>
  <c r="AV859" i="4"/>
  <c r="AV848" i="4"/>
  <c r="AV853" i="4"/>
  <c r="AV855" i="4"/>
  <c r="AV861" i="4"/>
  <c r="AV867" i="4"/>
  <c r="AV870" i="4"/>
  <c r="AV871" i="4"/>
  <c r="AH838" i="4"/>
  <c r="AU835" i="4"/>
  <c r="AM833" i="4"/>
  <c r="AX826" i="4"/>
  <c r="AW826" i="4"/>
  <c r="AT698" i="4"/>
  <c r="AU698" i="4"/>
  <c r="AY865" i="4"/>
  <c r="AR848" i="4"/>
  <c r="AR853" i="4"/>
  <c r="AR861" i="4"/>
  <c r="AR849" i="4"/>
  <c r="AR857" i="4"/>
  <c r="AR863" i="4"/>
  <c r="AR864" i="4"/>
  <c r="AR866" i="4"/>
  <c r="AR869" i="4"/>
  <c r="AX827" i="4"/>
  <c r="AW827" i="4"/>
  <c r="AL825" i="4"/>
  <c r="AK825" i="4"/>
  <c r="AH823" i="4"/>
  <c r="AG823" i="4"/>
  <c r="AP821" i="4"/>
  <c r="AO821" i="4"/>
  <c r="AV818" i="4"/>
  <c r="AV823" i="4"/>
  <c r="AV824" i="4"/>
  <c r="AV819" i="4"/>
  <c r="AV820" i="4"/>
  <c r="AV834" i="4"/>
  <c r="AV835" i="4"/>
  <c r="AV836" i="4"/>
  <c r="AV822" i="4"/>
  <c r="AV821" i="4"/>
  <c r="AV837" i="4"/>
  <c r="AM807" i="4"/>
  <c r="AL807" i="4"/>
  <c r="BB698" i="4"/>
  <c r="BC698" i="4"/>
  <c r="AP698" i="4"/>
  <c r="AQ698" i="4"/>
  <c r="AO868" i="4"/>
  <c r="AO867" i="4"/>
  <c r="AT858" i="4"/>
  <c r="AZ852" i="4"/>
  <c r="AP851" i="4"/>
  <c r="AN849" i="4"/>
  <c r="AN857" i="4"/>
  <c r="AN848" i="4"/>
  <c r="AN853" i="4"/>
  <c r="AN860" i="4"/>
  <c r="AN861" i="4"/>
  <c r="BB833" i="4"/>
  <c r="AY831" i="4"/>
  <c r="AY830" i="4"/>
  <c r="AP824" i="4"/>
  <c r="AO824" i="4"/>
  <c r="AL818" i="4"/>
  <c r="AM810" i="4"/>
  <c r="AL810" i="4"/>
  <c r="AU804" i="4"/>
  <c r="AT804" i="4"/>
  <c r="AY732" i="4"/>
  <c r="AW732" i="4"/>
  <c r="AK698" i="4"/>
  <c r="AL698" i="4"/>
  <c r="AF869" i="4"/>
  <c r="AF864" i="4"/>
  <c r="AF862" i="4"/>
  <c r="AF857" i="4"/>
  <c r="AF856" i="4"/>
  <c r="AN841" i="4"/>
  <c r="AR840" i="4"/>
  <c r="AD840" i="4"/>
  <c r="AR839" i="4"/>
  <c r="AJ839" i="4"/>
  <c r="AJ838" i="4"/>
  <c r="AJ837" i="4"/>
  <c r="AN836" i="4"/>
  <c r="AF836" i="4"/>
  <c r="AF835" i="4"/>
  <c r="AR834" i="4"/>
  <c r="AF834" i="4"/>
  <c r="AN831" i="4"/>
  <c r="AN829" i="4"/>
  <c r="AR828" i="4"/>
  <c r="AR827" i="4"/>
  <c r="AJ827" i="4"/>
  <c r="AJ826" i="4"/>
  <c r="AN823" i="4"/>
  <c r="AN822" i="4"/>
  <c r="AJ821" i="4"/>
  <c r="AN820" i="4"/>
  <c r="AF820" i="4"/>
  <c r="AN819" i="4"/>
  <c r="AD811" i="4"/>
  <c r="AD810" i="4"/>
  <c r="AV809" i="4"/>
  <c r="AV808" i="4"/>
  <c r="AR807" i="4"/>
  <c r="AF807" i="4"/>
  <c r="AZ806" i="4"/>
  <c r="AR806" i="4"/>
  <c r="AF806" i="4"/>
  <c r="AR805" i="4"/>
  <c r="AD805" i="4"/>
  <c r="AF804" i="4"/>
  <c r="AV803" i="4"/>
  <c r="AN803" i="4"/>
  <c r="AV802" i="4"/>
  <c r="AP802" i="4"/>
  <c r="AR800" i="4"/>
  <c r="AD800" i="4"/>
  <c r="AH799" i="4"/>
  <c r="BA798" i="4"/>
  <c r="AN798" i="4"/>
  <c r="AZ797" i="4"/>
  <c r="AP797" i="4"/>
  <c r="AZ796" i="4"/>
  <c r="AR795" i="4"/>
  <c r="AK795" i="4"/>
  <c r="AF795" i="4"/>
  <c r="AR794" i="4"/>
  <c r="AZ793" i="4"/>
  <c r="AO793" i="4"/>
  <c r="AZ792" i="4"/>
  <c r="AV790" i="4"/>
  <c r="AK790" i="4"/>
  <c r="AD790" i="4"/>
  <c r="AV789" i="4"/>
  <c r="AD789" i="4"/>
  <c r="AD788" i="4"/>
  <c r="AD781" i="4"/>
  <c r="AD779" i="4"/>
  <c r="AJ778" i="4"/>
  <c r="AD777" i="4"/>
  <c r="AD775" i="4"/>
  <c r="AJ774" i="4"/>
  <c r="AV771" i="4"/>
  <c r="AD770" i="4"/>
  <c r="AR768" i="4"/>
  <c r="AN765" i="4"/>
  <c r="AD762" i="4"/>
  <c r="AR760" i="4"/>
  <c r="AV762" i="4"/>
  <c r="AN760" i="4"/>
  <c r="AF762" i="4"/>
  <c r="AV751" i="4"/>
  <c r="AD751" i="4"/>
  <c r="AN750" i="4"/>
  <c r="AX749" i="4"/>
  <c r="AL749" i="4"/>
  <c r="AR748" i="4"/>
  <c r="AH748" i="4"/>
  <c r="AV747" i="4"/>
  <c r="AG747" i="4"/>
  <c r="AD746" i="4"/>
  <c r="AN745" i="4"/>
  <c r="AV744" i="4"/>
  <c r="AM744" i="4"/>
  <c r="AM743" i="4"/>
  <c r="AU742" i="4"/>
  <c r="AN742" i="4"/>
  <c r="AW741" i="4"/>
  <c r="AL741" i="4"/>
  <c r="AT740" i="4"/>
  <c r="AX739" i="4"/>
  <c r="AR737" i="4"/>
  <c r="AV736" i="4"/>
  <c r="AN734" i="4"/>
  <c r="AR733" i="4"/>
  <c r="AV731" i="4"/>
  <c r="AL731" i="4"/>
  <c r="AN730" i="4"/>
  <c r="AV729" i="4"/>
  <c r="AV728" i="4"/>
  <c r="AR728" i="4"/>
  <c r="AN728" i="4"/>
  <c r="AD719" i="4"/>
  <c r="AD716" i="4"/>
  <c r="AZ702" i="4"/>
  <c r="AZ699" i="4"/>
  <c r="AT699" i="4"/>
  <c r="AD691" i="4"/>
  <c r="AD690" i="4"/>
  <c r="AJ689" i="4"/>
  <c r="AJ688" i="4"/>
  <c r="AD686" i="4"/>
  <c r="AJ685" i="4"/>
  <c r="AJ684" i="4"/>
  <c r="AD681" i="4"/>
  <c r="AR678" i="4"/>
  <c r="AR675" i="4"/>
  <c r="AR671" i="4"/>
  <c r="BA625" i="4"/>
  <c r="AP620" i="4"/>
  <c r="AT618" i="4"/>
  <c r="AS618" i="4"/>
  <c r="BC616" i="4"/>
  <c r="BB616" i="4"/>
  <c r="AD614" i="4"/>
  <c r="AD622" i="4"/>
  <c r="AD624" i="4"/>
  <c r="AD626" i="4"/>
  <c r="AD627" i="4"/>
  <c r="AD609" i="4"/>
  <c r="AD611" i="4"/>
  <c r="AD619" i="4"/>
  <c r="AD620" i="4"/>
  <c r="AD628" i="4"/>
  <c r="AD630" i="4"/>
  <c r="AD631" i="4"/>
  <c r="AX599" i="4"/>
  <c r="AW599" i="4"/>
  <c r="AW598" i="4"/>
  <c r="AO597" i="4"/>
  <c r="AS596" i="4"/>
  <c r="BB594" i="4"/>
  <c r="BA594" i="4"/>
  <c r="AH594" i="4"/>
  <c r="AY590" i="4"/>
  <c r="AX590" i="4"/>
  <c r="AL582" i="4"/>
  <c r="AK582" i="4"/>
  <c r="AK581" i="4"/>
  <c r="AP580" i="4"/>
  <c r="AK578" i="4"/>
  <c r="BC537" i="4"/>
  <c r="BB537" i="4"/>
  <c r="AP491" i="4"/>
  <c r="AO491" i="4"/>
  <c r="AG488" i="4"/>
  <c r="AH488" i="4"/>
  <c r="AH719" i="4"/>
  <c r="BC718" i="4"/>
  <c r="AH718" i="4"/>
  <c r="AG717" i="4"/>
  <c r="AI714" i="4"/>
  <c r="AM713" i="4"/>
  <c r="AQ712" i="4"/>
  <c r="AY710" i="4"/>
  <c r="AQ708" i="4"/>
  <c r="AT707" i="4"/>
  <c r="AX706" i="4"/>
  <c r="AP704" i="4"/>
  <c r="AU703" i="4"/>
  <c r="AL702" i="4"/>
  <c r="AU700" i="4"/>
  <c r="AY699" i="4"/>
  <c r="AH691" i="4"/>
  <c r="AD688" i="4"/>
  <c r="AH687" i="4"/>
  <c r="AD684" i="4"/>
  <c r="AD682" i="4"/>
  <c r="AD677" i="4"/>
  <c r="AR674" i="4"/>
  <c r="AD670" i="4"/>
  <c r="AR668" i="4"/>
  <c r="AJ642" i="4"/>
  <c r="AJ646" i="4"/>
  <c r="AJ650" i="4"/>
  <c r="AJ654" i="4"/>
  <c r="AJ658" i="4"/>
  <c r="AJ641" i="4"/>
  <c r="AY630" i="4"/>
  <c r="AW630" i="4"/>
  <c r="AM621" i="4"/>
  <c r="AL621" i="4"/>
  <c r="AP615" i="4"/>
  <c r="AO615" i="4"/>
  <c r="AJ614" i="4"/>
  <c r="AJ615" i="4"/>
  <c r="AJ617" i="4"/>
  <c r="AJ622" i="4"/>
  <c r="AJ623" i="4"/>
  <c r="AJ626" i="4"/>
  <c r="AJ608" i="4"/>
  <c r="AJ616" i="4"/>
  <c r="AJ624" i="4"/>
  <c r="AJ625" i="4"/>
  <c r="AJ627" i="4"/>
  <c r="AJ630" i="4"/>
  <c r="AM598" i="4"/>
  <c r="AL598" i="4"/>
  <c r="AH571" i="4"/>
  <c r="AG571" i="4"/>
  <c r="AI564" i="4"/>
  <c r="AH564" i="4"/>
  <c r="BA491" i="4"/>
  <c r="BB491" i="4"/>
  <c r="AF809" i="4"/>
  <c r="AF808" i="4"/>
  <c r="AF803" i="4"/>
  <c r="AF802" i="4"/>
  <c r="AF801" i="4"/>
  <c r="AD799" i="4"/>
  <c r="AD798" i="4"/>
  <c r="AD797" i="4"/>
  <c r="AF796" i="4"/>
  <c r="AD794" i="4"/>
  <c r="AD793" i="4"/>
  <c r="AF792" i="4"/>
  <c r="AF791" i="4"/>
  <c r="AR780" i="4"/>
  <c r="AZ778" i="4"/>
  <c r="AR776" i="4"/>
  <c r="AZ774" i="4"/>
  <c r="AD772" i="4"/>
  <c r="AN769" i="4"/>
  <c r="AD766" i="4"/>
  <c r="AR764" i="4"/>
  <c r="AN751" i="4"/>
  <c r="AR750" i="4"/>
  <c r="AN749" i="4"/>
  <c r="AR746" i="4"/>
  <c r="AN744" i="4"/>
  <c r="AN743" i="4"/>
  <c r="AN741" i="4"/>
  <c r="AV740" i="4"/>
  <c r="AR738" i="4"/>
  <c r="AV737" i="4"/>
  <c r="AN735" i="4"/>
  <c r="AR734" i="4"/>
  <c r="AN733" i="4"/>
  <c r="AR691" i="4"/>
  <c r="AJ690" i="4"/>
  <c r="AR687" i="4"/>
  <c r="AR686" i="4"/>
  <c r="AF685" i="4"/>
  <c r="AR683" i="4"/>
  <c r="AD680" i="4"/>
  <c r="AV678" i="4"/>
  <c r="AD678" i="4"/>
  <c r="AJ677" i="4"/>
  <c r="AJ676" i="4"/>
  <c r="AF674" i="4"/>
  <c r="AV673" i="4"/>
  <c r="AD673" i="4"/>
  <c r="AD672" i="4"/>
  <c r="AR670" i="4"/>
  <c r="AD669" i="4"/>
  <c r="AV668" i="4"/>
  <c r="AF668" i="4"/>
  <c r="AW629" i="4"/>
  <c r="AM629" i="4"/>
  <c r="AL629" i="4"/>
  <c r="AY625" i="4"/>
  <c r="AX625" i="4"/>
  <c r="AZ624" i="4"/>
  <c r="AP624" i="4"/>
  <c r="AO624" i="4"/>
  <c r="AZ623" i="4"/>
  <c r="AJ620" i="4"/>
  <c r="AZ619" i="4"/>
  <c r="AH617" i="4"/>
  <c r="AK612" i="4"/>
  <c r="AR612" i="4"/>
  <c r="AR614" i="4"/>
  <c r="AR620" i="4"/>
  <c r="AR622" i="4"/>
  <c r="AR625" i="4"/>
  <c r="AR626" i="4"/>
  <c r="AR627" i="4"/>
  <c r="AR628" i="4"/>
  <c r="AR608" i="4"/>
  <c r="AR613" i="4"/>
  <c r="AR621" i="4"/>
  <c r="AR629" i="4"/>
  <c r="AR630" i="4"/>
  <c r="AR631" i="4"/>
  <c r="BB601" i="4"/>
  <c r="BA601" i="4"/>
  <c r="AM597" i="4"/>
  <c r="AL597" i="4"/>
  <c r="AP596" i="4"/>
  <c r="AO596" i="4"/>
  <c r="BB593" i="4"/>
  <c r="BA593" i="4"/>
  <c r="AY591" i="4"/>
  <c r="AW591" i="4"/>
  <c r="BB590" i="4"/>
  <c r="AQ588" i="4"/>
  <c r="AP588" i="4"/>
  <c r="AI587" i="4"/>
  <c r="AH587" i="4"/>
  <c r="AZ583" i="4"/>
  <c r="AZ579" i="4"/>
  <c r="AQ569" i="4"/>
  <c r="AP569" i="4"/>
  <c r="AX556" i="4"/>
  <c r="AW556" i="4"/>
  <c r="AF800" i="4"/>
  <c r="AD796" i="4"/>
  <c r="AF790" i="4"/>
  <c r="AF789" i="4"/>
  <c r="AV767" i="4"/>
  <c r="AR736" i="4"/>
  <c r="AV735" i="4"/>
  <c r="AM628" i="4"/>
  <c r="AL628" i="4"/>
  <c r="AP623" i="4"/>
  <c r="AO623" i="4"/>
  <c r="AL613" i="4"/>
  <c r="AK613" i="4"/>
  <c r="AZ612" i="4"/>
  <c r="AZ620" i="4"/>
  <c r="AZ628" i="4"/>
  <c r="AZ629" i="4"/>
  <c r="AZ631" i="4"/>
  <c r="AZ608" i="4"/>
  <c r="AZ614" i="4"/>
  <c r="AZ615" i="4"/>
  <c r="AZ622" i="4"/>
  <c r="AL589" i="4"/>
  <c r="AK589" i="4"/>
  <c r="AI586" i="4"/>
  <c r="AH586" i="4"/>
  <c r="AY583" i="4"/>
  <c r="AX583" i="4"/>
  <c r="AZ584" i="4"/>
  <c r="AZ592" i="4"/>
  <c r="AZ597" i="4"/>
  <c r="AZ598" i="4"/>
  <c r="AZ600" i="4"/>
  <c r="AZ578" i="4"/>
  <c r="AZ586" i="4"/>
  <c r="AZ587" i="4"/>
  <c r="AZ595" i="4"/>
  <c r="AG578" i="4"/>
  <c r="BB570" i="4"/>
  <c r="BA570" i="4"/>
  <c r="AX563" i="4"/>
  <c r="AW563" i="4"/>
  <c r="AQ561" i="4"/>
  <c r="AP561" i="4"/>
  <c r="AT489" i="4"/>
  <c r="AU489" i="4"/>
  <c r="AV558" i="4"/>
  <c r="AV557" i="4"/>
  <c r="AV553" i="4"/>
  <c r="AJ553" i="4"/>
  <c r="AV550" i="4"/>
  <c r="AG550" i="4"/>
  <c r="AV549" i="4"/>
  <c r="AV541" i="4"/>
  <c r="AS540" i="4"/>
  <c r="AG539" i="4"/>
  <c r="AZ538" i="4"/>
  <c r="AR538" i="4"/>
  <c r="AV537" i="4"/>
  <c r="AM537" i="4"/>
  <c r="AZ536" i="4"/>
  <c r="AG536" i="4"/>
  <c r="AX535" i="4"/>
  <c r="AR535" i="4"/>
  <c r="AY534" i="4"/>
  <c r="AO534" i="4"/>
  <c r="BB533" i="4"/>
  <c r="AO533" i="4"/>
  <c r="AR532" i="4"/>
  <c r="AR531" i="4"/>
  <c r="AV530" i="4"/>
  <c r="AN530" i="4"/>
  <c r="AZ529" i="4"/>
  <c r="AN529" i="4"/>
  <c r="AS528" i="4"/>
  <c r="AH527" i="4"/>
  <c r="AZ526" i="4"/>
  <c r="AR526" i="4"/>
  <c r="AZ525" i="4"/>
  <c r="AN525" i="4"/>
  <c r="AS524" i="4"/>
  <c r="BA522" i="4"/>
  <c r="AR522" i="4"/>
  <c r="AZ521" i="4"/>
  <c r="AN521" i="4"/>
  <c r="AZ520" i="4"/>
  <c r="AW519" i="4"/>
  <c r="AN519" i="4"/>
  <c r="AV518" i="4"/>
  <c r="AR518" i="4"/>
  <c r="AN518" i="4"/>
  <c r="AP511" i="4"/>
  <c r="AV510" i="4"/>
  <c r="AZ509" i="4"/>
  <c r="AF509" i="4"/>
  <c r="AN507" i="4"/>
  <c r="AF507" i="4"/>
  <c r="AO506" i="4"/>
  <c r="AF506" i="4"/>
  <c r="AT505" i="4"/>
  <c r="AN504" i="4"/>
  <c r="BA503" i="4"/>
  <c r="AR503" i="4"/>
  <c r="AZ502" i="4"/>
  <c r="AT502" i="4"/>
  <c r="AN502" i="4"/>
  <c r="AD502" i="4"/>
  <c r="AW501" i="4"/>
  <c r="AR501" i="4"/>
  <c r="BB500" i="4"/>
  <c r="AV500" i="4"/>
  <c r="AR499" i="4"/>
  <c r="AZ498" i="4"/>
  <c r="AR497" i="4"/>
  <c r="AF497" i="4"/>
  <c r="AI496" i="4"/>
  <c r="AT494" i="4"/>
  <c r="AZ493" i="4"/>
  <c r="AG493" i="4"/>
  <c r="AZ490" i="4"/>
  <c r="AF490" i="4"/>
  <c r="AQ488" i="4"/>
  <c r="AJ489" i="4"/>
  <c r="AJ490" i="4"/>
  <c r="AJ492" i="4"/>
  <c r="AJ498" i="4"/>
  <c r="AZ479" i="4"/>
  <c r="AJ471" i="4"/>
  <c r="AV468" i="4"/>
  <c r="AJ467" i="4"/>
  <c r="AZ466" i="4"/>
  <c r="AV464" i="4"/>
  <c r="AZ448" i="4"/>
  <c r="AZ440" i="4"/>
  <c r="AS421" i="4"/>
  <c r="AT421" i="4"/>
  <c r="AX403" i="4"/>
  <c r="AY403" i="4"/>
  <c r="AG400" i="4"/>
  <c r="AH400" i="4"/>
  <c r="AU368" i="4"/>
  <c r="AT368" i="4"/>
  <c r="AZ494" i="4"/>
  <c r="AZ496" i="4"/>
  <c r="AV492" i="4"/>
  <c r="AV489" i="4"/>
  <c r="AV497" i="4"/>
  <c r="AN494" i="4"/>
  <c r="AN497" i="4"/>
  <c r="AV462" i="4"/>
  <c r="AV467" i="4"/>
  <c r="AV472" i="4"/>
  <c r="AV458" i="4"/>
  <c r="AN460" i="4"/>
  <c r="AN462" i="4"/>
  <c r="AN465" i="4"/>
  <c r="AN478" i="4"/>
  <c r="AN458" i="4"/>
  <c r="AN461" i="4"/>
  <c r="AF462" i="4"/>
  <c r="AF467" i="4"/>
  <c r="AF472" i="4"/>
  <c r="AF458" i="4"/>
  <c r="AD429" i="4"/>
  <c r="AD431" i="4"/>
  <c r="AD433" i="4"/>
  <c r="AD435" i="4"/>
  <c r="AD437" i="4"/>
  <c r="AD439" i="4"/>
  <c r="AD441" i="4"/>
  <c r="AD443" i="4"/>
  <c r="AD445" i="4"/>
  <c r="AD447" i="4"/>
  <c r="AD449" i="4"/>
  <c r="AD451" i="4"/>
  <c r="AD430" i="4"/>
  <c r="AD434" i="4"/>
  <c r="AD438" i="4"/>
  <c r="AD442" i="4"/>
  <c r="AD446" i="4"/>
  <c r="AD450" i="4"/>
  <c r="AD428" i="4"/>
  <c r="BC411" i="4"/>
  <c r="AW408" i="4"/>
  <c r="AY408" i="4"/>
  <c r="AO405" i="4"/>
  <c r="AP405" i="4"/>
  <c r="AR398" i="4"/>
  <c r="AR407" i="4"/>
  <c r="AR408" i="4"/>
  <c r="AR409" i="4"/>
  <c r="AR415" i="4"/>
  <c r="AR416" i="4"/>
  <c r="AR417" i="4"/>
  <c r="AR418" i="4"/>
  <c r="AR399" i="4"/>
  <c r="AR403" i="4"/>
  <c r="AR406" i="4"/>
  <c r="AR414" i="4"/>
  <c r="AR400" i="4"/>
  <c r="AR402" i="4"/>
  <c r="AR404" i="4"/>
  <c r="AR405" i="4"/>
  <c r="AR411" i="4"/>
  <c r="AR412" i="4"/>
  <c r="AR413" i="4"/>
  <c r="AK398" i="4"/>
  <c r="AL398" i="4"/>
  <c r="AV566" i="4"/>
  <c r="AV562" i="4"/>
  <c r="AV561" i="4"/>
  <c r="AV552" i="4"/>
  <c r="AR527" i="4"/>
  <c r="AR523" i="4"/>
  <c r="AN520" i="4"/>
  <c r="AZ489" i="4"/>
  <c r="AZ488" i="4"/>
  <c r="AR490" i="4"/>
  <c r="AR493" i="4"/>
  <c r="AR495" i="4"/>
  <c r="AR498" i="4"/>
  <c r="AF459" i="4"/>
  <c r="BB410" i="4"/>
  <c r="BC410" i="4"/>
  <c r="AK407" i="4"/>
  <c r="AL407" i="4"/>
  <c r="AK406" i="4"/>
  <c r="AL406" i="4"/>
  <c r="AH404" i="4"/>
  <c r="AI404" i="4"/>
  <c r="AO402" i="4"/>
  <c r="AP402" i="4"/>
  <c r="AT401" i="4"/>
  <c r="AU401" i="4"/>
  <c r="AW399" i="4"/>
  <c r="AY399" i="4"/>
  <c r="AZ398" i="4"/>
  <c r="AZ401" i="4"/>
  <c r="AZ404" i="4"/>
  <c r="AZ412" i="4"/>
  <c r="AZ418" i="4"/>
  <c r="AZ419" i="4"/>
  <c r="AZ421" i="4"/>
  <c r="AZ400" i="4"/>
  <c r="AZ406" i="4"/>
  <c r="AZ407" i="4"/>
  <c r="AZ409" i="4"/>
  <c r="AZ414" i="4"/>
  <c r="AZ415" i="4"/>
  <c r="AZ417" i="4"/>
  <c r="AZ420" i="4"/>
  <c r="AZ402" i="4"/>
  <c r="AZ408" i="4"/>
  <c r="AZ416" i="4"/>
  <c r="AN600" i="4"/>
  <c r="AR597" i="4"/>
  <c r="AJ596" i="4"/>
  <c r="AJ594" i="4"/>
  <c r="AJ593" i="4"/>
  <c r="AN592" i="4"/>
  <c r="AF592" i="4"/>
  <c r="AF591" i="4"/>
  <c r="AR590" i="4"/>
  <c r="AF590" i="4"/>
  <c r="AR589" i="4"/>
  <c r="AF589" i="4"/>
  <c r="AJ588" i="4"/>
  <c r="AN586" i="4"/>
  <c r="AN584" i="4"/>
  <c r="AF584" i="4"/>
  <c r="AF583" i="4"/>
  <c r="AR580" i="4"/>
  <c r="AV571" i="4"/>
  <c r="AV570" i="4"/>
  <c r="AJ570" i="4"/>
  <c r="AJ569" i="4"/>
  <c r="AJ568" i="4"/>
  <c r="AJ562" i="4"/>
  <c r="AJ561" i="4"/>
  <c r="AJ560" i="4"/>
  <c r="AZ555" i="4"/>
  <c r="AZ541" i="4"/>
  <c r="AR541" i="4"/>
  <c r="AZ540" i="4"/>
  <c r="AN540" i="4"/>
  <c r="AV539" i="4"/>
  <c r="AN539" i="4"/>
  <c r="AV538" i="4"/>
  <c r="AN538" i="4"/>
  <c r="AR537" i="4"/>
  <c r="AR536" i="4"/>
  <c r="AN532" i="4"/>
  <c r="AN528" i="4"/>
  <c r="AV527" i="4"/>
  <c r="AN527" i="4"/>
  <c r="AV526" i="4"/>
  <c r="AN524" i="4"/>
  <c r="AV523" i="4"/>
  <c r="AR520" i="4"/>
  <c r="AZ511" i="4"/>
  <c r="AR510" i="4"/>
  <c r="AV509" i="4"/>
  <c r="AN509" i="4"/>
  <c r="AZ508" i="4"/>
  <c r="AR508" i="4"/>
  <c r="AV507" i="4"/>
  <c r="AV506" i="4"/>
  <c r="AZ505" i="4"/>
  <c r="AN503" i="4"/>
  <c r="AN500" i="4"/>
  <c r="AN499" i="4"/>
  <c r="AN498" i="4"/>
  <c r="AZ497" i="4"/>
  <c r="AR496" i="4"/>
  <c r="AV494" i="4"/>
  <c r="AZ492" i="4"/>
  <c r="AV488" i="4"/>
  <c r="AR488" i="4"/>
  <c r="AV480" i="4"/>
  <c r="AV476" i="4"/>
  <c r="AF468" i="4"/>
  <c r="AF464" i="4"/>
  <c r="AV463" i="4"/>
  <c r="AV460" i="4"/>
  <c r="AZ461" i="4"/>
  <c r="AZ459" i="4"/>
  <c r="AZ470" i="4"/>
  <c r="AZ475" i="4"/>
  <c r="AZ458" i="4"/>
  <c r="AR459" i="4"/>
  <c r="AR464" i="4"/>
  <c r="AR473" i="4"/>
  <c r="AR480" i="4"/>
  <c r="AR458" i="4"/>
  <c r="AR460" i="4"/>
  <c r="AJ461" i="4"/>
  <c r="AJ459" i="4"/>
  <c r="AJ470" i="4"/>
  <c r="AJ475" i="4"/>
  <c r="AJ458" i="4"/>
  <c r="AD458" i="4"/>
  <c r="AD463" i="4"/>
  <c r="AD466" i="4"/>
  <c r="AD468" i="4"/>
  <c r="AD479" i="4"/>
  <c r="AD481" i="4"/>
  <c r="AD459" i="4"/>
  <c r="AR450" i="4"/>
  <c r="AD444" i="4"/>
  <c r="AR442" i="4"/>
  <c r="AD436" i="4"/>
  <c r="AS420" i="4"/>
  <c r="AT420" i="4"/>
  <c r="AG419" i="4"/>
  <c r="AH419" i="4"/>
  <c r="AL415" i="4"/>
  <c r="AM415" i="4"/>
  <c r="AL414" i="4"/>
  <c r="AM414" i="4"/>
  <c r="AH412" i="4"/>
  <c r="AI412" i="4"/>
  <c r="AP398" i="4"/>
  <c r="AQ398" i="4"/>
  <c r="AG398" i="4"/>
  <c r="AH398" i="4"/>
  <c r="BB323" i="4"/>
  <c r="BA323" i="4"/>
  <c r="AT322" i="4"/>
  <c r="AU322" i="4"/>
  <c r="AZ314" i="4"/>
  <c r="AZ316" i="4"/>
  <c r="AZ322" i="4"/>
  <c r="AZ308" i="4"/>
  <c r="AZ311" i="4"/>
  <c r="AZ312" i="4"/>
  <c r="AZ315" i="4"/>
  <c r="AZ318" i="4"/>
  <c r="AZ320" i="4"/>
  <c r="AZ324" i="4"/>
  <c r="AZ310" i="4"/>
  <c r="AZ319" i="4"/>
  <c r="AD308" i="4"/>
  <c r="AD324" i="4"/>
  <c r="AD309" i="4"/>
  <c r="AD314" i="4"/>
  <c r="AD322" i="4"/>
  <c r="AD326" i="4"/>
  <c r="AD327" i="4"/>
  <c r="AD330" i="4"/>
  <c r="AD318" i="4"/>
  <c r="AD319" i="4"/>
  <c r="AW298" i="4"/>
  <c r="AX298" i="4"/>
  <c r="AS296" i="4"/>
  <c r="AT296" i="4"/>
  <c r="AX295" i="4"/>
  <c r="AY295" i="4"/>
  <c r="AK281" i="4"/>
  <c r="AL281" i="4"/>
  <c r="AP249" i="4"/>
  <c r="AQ249" i="4"/>
  <c r="AV391" i="4"/>
  <c r="AF390" i="4"/>
  <c r="AF389" i="4"/>
  <c r="AV387" i="4"/>
  <c r="AF386" i="4"/>
  <c r="AV381" i="4"/>
  <c r="AD381" i="4"/>
  <c r="AF375" i="4"/>
  <c r="AV374" i="4"/>
  <c r="AD374" i="4"/>
  <c r="AF373" i="4"/>
  <c r="AV371" i="4"/>
  <c r="AV369" i="4"/>
  <c r="AW341" i="4"/>
  <c r="AF340" i="4"/>
  <c r="AD338" i="4"/>
  <c r="AD339" i="4"/>
  <c r="AD341" i="4"/>
  <c r="AZ328" i="4"/>
  <c r="AP328" i="4"/>
  <c r="AT327" i="4"/>
  <c r="AO326" i="4"/>
  <c r="AI325" i="4"/>
  <c r="AO311" i="4"/>
  <c r="AP311" i="4"/>
  <c r="AT310" i="4"/>
  <c r="AV311" i="4"/>
  <c r="AV317" i="4"/>
  <c r="AV323" i="4"/>
  <c r="AV327" i="4"/>
  <c r="AV328" i="4"/>
  <c r="AV329" i="4"/>
  <c r="AV308" i="4"/>
  <c r="AV309" i="4"/>
  <c r="AV316" i="4"/>
  <c r="AV319" i="4"/>
  <c r="AV330" i="4"/>
  <c r="AV313" i="4"/>
  <c r="AV320" i="4"/>
  <c r="AV321" i="4"/>
  <c r="BA301" i="4"/>
  <c r="BB301" i="4"/>
  <c r="BA293" i="4"/>
  <c r="BB293" i="4"/>
  <c r="BB290" i="4"/>
  <c r="BC290" i="4"/>
  <c r="BB278" i="4"/>
  <c r="AP159" i="4"/>
  <c r="AQ159" i="4"/>
  <c r="AD390" i="4"/>
  <c r="AD389" i="4"/>
  <c r="AM388" i="4"/>
  <c r="AD386" i="4"/>
  <c r="AF385" i="4"/>
  <c r="AI384" i="4"/>
  <c r="AV383" i="4"/>
  <c r="AI381" i="4"/>
  <c r="AR380" i="4"/>
  <c r="AF380" i="4"/>
  <c r="AR379" i="4"/>
  <c r="AR378" i="4"/>
  <c r="AF378" i="4"/>
  <c r="AX377" i="4"/>
  <c r="AI376" i="4"/>
  <c r="AV375" i="4"/>
  <c r="AT374" i="4"/>
  <c r="AV373" i="4"/>
  <c r="BB372" i="4"/>
  <c r="AR372" i="4"/>
  <c r="AH369" i="4"/>
  <c r="AV368" i="4"/>
  <c r="AF368" i="4"/>
  <c r="AM360" i="4"/>
  <c r="AT359" i="4"/>
  <c r="AO358" i="4"/>
  <c r="AY357" i="4"/>
  <c r="AM357" i="4"/>
  <c r="AL355" i="4"/>
  <c r="AY354" i="4"/>
  <c r="AW352" i="4"/>
  <c r="AM352" i="4"/>
  <c r="AU351" i="4"/>
  <c r="AP350" i="4"/>
  <c r="AY349" i="4"/>
  <c r="AL349" i="4"/>
  <c r="AT346" i="4"/>
  <c r="AI346" i="4"/>
  <c r="BC345" i="4"/>
  <c r="AF345" i="4"/>
  <c r="AF344" i="4"/>
  <c r="AG343" i="4"/>
  <c r="BA342" i="4"/>
  <c r="AV342" i="4"/>
  <c r="AN342" i="4"/>
  <c r="AV339" i="4"/>
  <c r="AZ326" i="4"/>
  <c r="AD315" i="4"/>
  <c r="AD310" i="4"/>
  <c r="AS300" i="4"/>
  <c r="AT300" i="4"/>
  <c r="AW299" i="4"/>
  <c r="AX299" i="4"/>
  <c r="AW294" i="4"/>
  <c r="AY294" i="4"/>
  <c r="AP289" i="4"/>
  <c r="AQ289" i="4"/>
  <c r="AK286" i="4"/>
  <c r="AL286" i="4"/>
  <c r="AG279" i="4"/>
  <c r="AH279" i="4"/>
  <c r="AJ448" i="4"/>
  <c r="AJ444" i="4"/>
  <c r="AJ440" i="4"/>
  <c r="AJ436" i="4"/>
  <c r="AD417" i="4"/>
  <c r="AD416" i="4"/>
  <c r="AV411" i="4"/>
  <c r="AD409" i="4"/>
  <c r="AD408" i="4"/>
  <c r="AR391" i="4"/>
  <c r="AF391" i="4"/>
  <c r="AV390" i="4"/>
  <c r="AV389" i="4"/>
  <c r="AR388" i="4"/>
  <c r="AF388" i="4"/>
  <c r="AR387" i="4"/>
  <c r="AF387" i="4"/>
  <c r="AV386" i="4"/>
  <c r="AV385" i="4"/>
  <c r="AD385" i="4"/>
  <c r="AN383" i="4"/>
  <c r="AR382" i="4"/>
  <c r="AF382" i="4"/>
  <c r="AN381" i="4"/>
  <c r="AF379" i="4"/>
  <c r="AV378" i="4"/>
  <c r="AD378" i="4"/>
  <c r="AF377" i="4"/>
  <c r="AN375" i="4"/>
  <c r="AR371" i="4"/>
  <c r="AR370" i="4"/>
  <c r="AF370" i="4"/>
  <c r="AN356" i="4"/>
  <c r="AN353" i="4"/>
  <c r="AF352" i="4"/>
  <c r="AN351" i="4"/>
  <c r="AF349" i="4"/>
  <c r="AN348" i="4"/>
  <c r="AV347" i="4"/>
  <c r="AF347" i="4"/>
  <c r="AN346" i="4"/>
  <c r="AV345" i="4"/>
  <c r="AJ345" i="4"/>
  <c r="AL342" i="4"/>
  <c r="AT339" i="4"/>
  <c r="AF341" i="4"/>
  <c r="AZ331" i="4"/>
  <c r="AZ330" i="4"/>
  <c r="AH329" i="4"/>
  <c r="AZ327" i="4"/>
  <c r="AP324" i="4"/>
  <c r="AD323" i="4"/>
  <c r="AS314" i="4"/>
  <c r="AT314" i="4"/>
  <c r="AG313" i="4"/>
  <c r="AH313" i="4"/>
  <c r="BB297" i="4"/>
  <c r="BC297" i="4"/>
  <c r="AS288" i="4"/>
  <c r="AT288" i="4"/>
  <c r="BA282" i="4"/>
  <c r="BB282" i="4"/>
  <c r="AO281" i="4"/>
  <c r="AP280" i="4"/>
  <c r="AQ280" i="4"/>
  <c r="AN301" i="4"/>
  <c r="AF301" i="4"/>
  <c r="AF300" i="4"/>
  <c r="AJ299" i="4"/>
  <c r="AD299" i="4"/>
  <c r="AJ298" i="4"/>
  <c r="AN297" i="4"/>
  <c r="AF297" i="4"/>
  <c r="AF296" i="4"/>
  <c r="AJ295" i="4"/>
  <c r="AD295" i="4"/>
  <c r="AJ294" i="4"/>
  <c r="AN293" i="4"/>
  <c r="AR292" i="4"/>
  <c r="AD292" i="4"/>
  <c r="AR291" i="4"/>
  <c r="AJ291" i="4"/>
  <c r="AJ290" i="4"/>
  <c r="AN287" i="4"/>
  <c r="AN285" i="4"/>
  <c r="AR284" i="4"/>
  <c r="AD284" i="4"/>
  <c r="AR283" i="4"/>
  <c r="AJ283" i="4"/>
  <c r="AR282" i="4"/>
  <c r="AF282" i="4"/>
  <c r="AR281" i="4"/>
  <c r="AF281" i="4"/>
  <c r="AV280" i="4"/>
  <c r="AJ280" i="4"/>
  <c r="AV279" i="4"/>
  <c r="AV278" i="4"/>
  <c r="AR278" i="4"/>
  <c r="AN278" i="4"/>
  <c r="AJ278" i="4"/>
  <c r="AF278" i="4"/>
  <c r="AQ270" i="4"/>
  <c r="AQ269" i="4"/>
  <c r="AM267" i="4"/>
  <c r="AI264" i="4"/>
  <c r="AX263" i="4"/>
  <c r="AM262" i="4"/>
  <c r="AU260" i="4"/>
  <c r="BB258" i="4"/>
  <c r="AL254" i="4"/>
  <c r="AU252" i="4"/>
  <c r="AV250" i="4"/>
  <c r="AV249" i="4"/>
  <c r="AZ248" i="4"/>
  <c r="AV248" i="4"/>
  <c r="AX200" i="4"/>
  <c r="AY200" i="4"/>
  <c r="AO195" i="4"/>
  <c r="AP195" i="4"/>
  <c r="AF188" i="4"/>
  <c r="AF190" i="4"/>
  <c r="AF191" i="4"/>
  <c r="AF194" i="4"/>
  <c r="AF199" i="4"/>
  <c r="AF204" i="4"/>
  <c r="AF196" i="4"/>
  <c r="AF197" i="4"/>
  <c r="AF201" i="4"/>
  <c r="AF205" i="4"/>
  <c r="AF207" i="4"/>
  <c r="AJ160" i="4"/>
  <c r="AJ162" i="4"/>
  <c r="AJ170" i="4"/>
  <c r="AD160" i="4"/>
  <c r="AD168" i="4"/>
  <c r="AD172" i="4"/>
  <c r="AD179" i="4"/>
  <c r="AD159" i="4"/>
  <c r="AD163" i="4"/>
  <c r="AD167" i="4"/>
  <c r="AD175" i="4"/>
  <c r="AD178" i="4"/>
  <c r="BA149" i="4"/>
  <c r="BB149" i="4"/>
  <c r="AG147" i="4"/>
  <c r="AH147" i="4"/>
  <c r="AW142" i="4"/>
  <c r="AX142" i="4"/>
  <c r="AL142" i="4"/>
  <c r="AZ139" i="4"/>
  <c r="AZ145" i="4"/>
  <c r="AZ151" i="4"/>
  <c r="AZ131" i="4"/>
  <c r="AZ135" i="4"/>
  <c r="AZ140" i="4"/>
  <c r="AZ147" i="4"/>
  <c r="AZ148" i="4"/>
  <c r="AP121" i="4"/>
  <c r="AQ121" i="4"/>
  <c r="AW112" i="4"/>
  <c r="AX112" i="4"/>
  <c r="AI106" i="4"/>
  <c r="AH106" i="4"/>
  <c r="BB22" i="4"/>
  <c r="BC22" i="4"/>
  <c r="AJ317" i="4"/>
  <c r="AJ314" i="4"/>
  <c r="AR301" i="4"/>
  <c r="AN300" i="4"/>
  <c r="AD300" i="4"/>
  <c r="AR299" i="4"/>
  <c r="AN298" i="4"/>
  <c r="AR297" i="4"/>
  <c r="AN296" i="4"/>
  <c r="AD296" i="4"/>
  <c r="AR295" i="4"/>
  <c r="AN294" i="4"/>
  <c r="AR293" i="4"/>
  <c r="AF293" i="4"/>
  <c r="AV292" i="4"/>
  <c r="AJ292" i="4"/>
  <c r="AV291" i="4"/>
  <c r="AV290" i="4"/>
  <c r="AN290" i="4"/>
  <c r="AV289" i="4"/>
  <c r="AJ289" i="4"/>
  <c r="AN288" i="4"/>
  <c r="AF288" i="4"/>
  <c r="AF287" i="4"/>
  <c r="AR286" i="4"/>
  <c r="AF286" i="4"/>
  <c r="AR285" i="4"/>
  <c r="AF285" i="4"/>
  <c r="AV284" i="4"/>
  <c r="AJ284" i="4"/>
  <c r="AV283" i="4"/>
  <c r="AJ282" i="4"/>
  <c r="AN279" i="4"/>
  <c r="AV282" i="4"/>
  <c r="AD282" i="4"/>
  <c r="AV271" i="4"/>
  <c r="AV270" i="4"/>
  <c r="AZ268" i="4"/>
  <c r="AR267" i="4"/>
  <c r="AZ266" i="4"/>
  <c r="AR266" i="4"/>
  <c r="AN265" i="4"/>
  <c r="AN264" i="4"/>
  <c r="AJ263" i="4"/>
  <c r="AV262" i="4"/>
  <c r="AV261" i="4"/>
  <c r="AF260" i="4"/>
  <c r="AV259" i="4"/>
  <c r="AN259" i="4"/>
  <c r="AJ258" i="4"/>
  <c r="AJ257" i="4"/>
  <c r="AR256" i="4"/>
  <c r="AJ256" i="4"/>
  <c r="AV254" i="4"/>
  <c r="AV253" i="4"/>
  <c r="AR251" i="4"/>
  <c r="AJ250" i="4"/>
  <c r="AJ249" i="4"/>
  <c r="AZ251" i="4"/>
  <c r="AV252" i="4"/>
  <c r="AR249" i="4"/>
  <c r="AN250" i="4"/>
  <c r="AJ251" i="4"/>
  <c r="AF252" i="4"/>
  <c r="AF206" i="4"/>
  <c r="AW201" i="4"/>
  <c r="AY201" i="4"/>
  <c r="BA199" i="4"/>
  <c r="BB199" i="4"/>
  <c r="BC194" i="4"/>
  <c r="BB194" i="4"/>
  <c r="AW192" i="4"/>
  <c r="AY192" i="4"/>
  <c r="AF192" i="4"/>
  <c r="AO191" i="4"/>
  <c r="AQ190" i="4"/>
  <c r="AT188" i="4"/>
  <c r="AD171" i="4"/>
  <c r="AV167" i="4"/>
  <c r="AD166" i="4"/>
  <c r="AD162" i="4"/>
  <c r="AT150" i="4"/>
  <c r="AS150" i="4"/>
  <c r="AP149" i="4"/>
  <c r="AQ149" i="4"/>
  <c r="AT143" i="4"/>
  <c r="AU143" i="4"/>
  <c r="AL117" i="4"/>
  <c r="AM117" i="4"/>
  <c r="AU115" i="4"/>
  <c r="AT115" i="4"/>
  <c r="BA84" i="4"/>
  <c r="BB84" i="4"/>
  <c r="AU68" i="4"/>
  <c r="AT68" i="4"/>
  <c r="AV239" i="4"/>
  <c r="AV235" i="4"/>
  <c r="AV231" i="4"/>
  <c r="AV227" i="4"/>
  <c r="AV223" i="4"/>
  <c r="AS211" i="4"/>
  <c r="AG211" i="4"/>
  <c r="AF209" i="4"/>
  <c r="AH208" i="4"/>
  <c r="AL207" i="4"/>
  <c r="AM207" i="4"/>
  <c r="AF203" i="4"/>
  <c r="AL198" i="4"/>
  <c r="AK198" i="4"/>
  <c r="AS197" i="4"/>
  <c r="AT197" i="4"/>
  <c r="AW196" i="4"/>
  <c r="AX196" i="4"/>
  <c r="AF193" i="4"/>
  <c r="AF189" i="4"/>
  <c r="AD205" i="4"/>
  <c r="AD193" i="4"/>
  <c r="AD206" i="4"/>
  <c r="AD208" i="4"/>
  <c r="AJ174" i="4"/>
  <c r="AD170" i="4"/>
  <c r="AN161" i="4"/>
  <c r="AQ151" i="4"/>
  <c r="AP151" i="4"/>
  <c r="AG150" i="4"/>
  <c r="AH150" i="4"/>
  <c r="AX146" i="4"/>
  <c r="AY146" i="4"/>
  <c r="AL146" i="4"/>
  <c r="AM146" i="4"/>
  <c r="AI145" i="4"/>
  <c r="AZ144" i="4"/>
  <c r="AO144" i="4"/>
  <c r="AH143" i="4"/>
  <c r="AI143" i="4"/>
  <c r="AP135" i="4"/>
  <c r="AO135" i="4"/>
  <c r="AS116" i="4"/>
  <c r="AT116" i="4"/>
  <c r="AY114" i="4"/>
  <c r="AW114" i="4"/>
  <c r="AJ328" i="4"/>
  <c r="AJ327" i="4"/>
  <c r="AJ325" i="4"/>
  <c r="AJ324" i="4"/>
  <c r="AJ321" i="4"/>
  <c r="AJ320" i="4"/>
  <c r="AR313" i="4"/>
  <c r="AJ313" i="4"/>
  <c r="AJ312" i="4"/>
  <c r="AJ311" i="4"/>
  <c r="AV301" i="4"/>
  <c r="AJ301" i="4"/>
  <c r="AV300" i="4"/>
  <c r="AF299" i="4"/>
  <c r="AR298" i="4"/>
  <c r="AF298" i="4"/>
  <c r="AV297" i="4"/>
  <c r="AJ297" i="4"/>
  <c r="AV296" i="4"/>
  <c r="AF295" i="4"/>
  <c r="AR294" i="4"/>
  <c r="AF294" i="4"/>
  <c r="AV293" i="4"/>
  <c r="AJ293" i="4"/>
  <c r="AN292" i="4"/>
  <c r="AF292" i="4"/>
  <c r="AF291" i="4"/>
  <c r="AR290" i="4"/>
  <c r="AF290" i="4"/>
  <c r="AR289" i="4"/>
  <c r="AF289" i="4"/>
  <c r="AV288" i="4"/>
  <c r="AJ288" i="4"/>
  <c r="AV287" i="4"/>
  <c r="AV286" i="4"/>
  <c r="AN286" i="4"/>
  <c r="AJ285" i="4"/>
  <c r="AN284" i="4"/>
  <c r="AF284" i="4"/>
  <c r="AR280" i="4"/>
  <c r="AR271" i="4"/>
  <c r="AZ270" i="4"/>
  <c r="AR270" i="4"/>
  <c r="AR269" i="4"/>
  <c r="AV267" i="4"/>
  <c r="AN267" i="4"/>
  <c r="AJ266" i="4"/>
  <c r="AJ265" i="4"/>
  <c r="AR264" i="4"/>
  <c r="AZ262" i="4"/>
  <c r="AR262" i="4"/>
  <c r="AZ261" i="4"/>
  <c r="AZ260" i="4"/>
  <c r="AR259" i="4"/>
  <c r="AF259" i="4"/>
  <c r="AF258" i="4"/>
  <c r="AN257" i="4"/>
  <c r="AF257" i="4"/>
  <c r="AN256" i="4"/>
  <c r="AF255" i="4"/>
  <c r="AZ253" i="4"/>
  <c r="AN251" i="4"/>
  <c r="AF250" i="4"/>
  <c r="AF210" i="4"/>
  <c r="AW204" i="4"/>
  <c r="AF202" i="4"/>
  <c r="AH200" i="4"/>
  <c r="AF198" i="4"/>
  <c r="BA192" i="4"/>
  <c r="AK191" i="4"/>
  <c r="AL191" i="4"/>
  <c r="AZ191" i="4"/>
  <c r="AZ203" i="4"/>
  <c r="AZ188" i="4"/>
  <c r="AZ197" i="4"/>
  <c r="AZ198" i="4"/>
  <c r="AZ202" i="4"/>
  <c r="AZ204" i="4"/>
  <c r="AD180" i="4"/>
  <c r="AJ178" i="4"/>
  <c r="AD176" i="4"/>
  <c r="AD174" i="4"/>
  <c r="AD164" i="4"/>
  <c r="AN177" i="4"/>
  <c r="AN165" i="4"/>
  <c r="AN173" i="4"/>
  <c r="AD158" i="4"/>
  <c r="AW150" i="4"/>
  <c r="AS147" i="4"/>
  <c r="AT147" i="4"/>
  <c r="AP141" i="4"/>
  <c r="AQ141" i="4"/>
  <c r="AI137" i="4"/>
  <c r="AZ136" i="4"/>
  <c r="AT134" i="4"/>
  <c r="AY133" i="4"/>
  <c r="AH133" i="4"/>
  <c r="AZ132" i="4"/>
  <c r="AZ128" i="4"/>
  <c r="AT120" i="4"/>
  <c r="AX119" i="4"/>
  <c r="AW119" i="4"/>
  <c r="AG119" i="4"/>
  <c r="AH119" i="4"/>
  <c r="AH115" i="4"/>
  <c r="AI115" i="4"/>
  <c r="AQ112" i="4"/>
  <c r="AP112" i="4"/>
  <c r="AJ98" i="4"/>
  <c r="AJ104" i="4"/>
  <c r="AJ106" i="4"/>
  <c r="AJ109" i="4"/>
  <c r="AJ115" i="4"/>
  <c r="AJ118" i="4"/>
  <c r="AJ120" i="4"/>
  <c r="AJ121" i="4"/>
  <c r="AJ99" i="4"/>
  <c r="AJ100" i="4"/>
  <c r="AJ101" i="4"/>
  <c r="AJ102" i="4"/>
  <c r="AJ107" i="4"/>
  <c r="AJ108" i="4"/>
  <c r="AJ110" i="4"/>
  <c r="AJ103" i="4"/>
  <c r="AJ105" i="4"/>
  <c r="AJ113" i="4"/>
  <c r="AJ111" i="4"/>
  <c r="AJ119" i="4"/>
  <c r="AJ112" i="4"/>
  <c r="AJ114" i="4"/>
  <c r="AJ116" i="4"/>
  <c r="AS105" i="4"/>
  <c r="AT105" i="4"/>
  <c r="AX104" i="4"/>
  <c r="AY104" i="4"/>
  <c r="AO102" i="4"/>
  <c r="AP102" i="4"/>
  <c r="BB100" i="4"/>
  <c r="BC100" i="4"/>
  <c r="AF98" i="4"/>
  <c r="AF101" i="4"/>
  <c r="AF111" i="4"/>
  <c r="AF114" i="4"/>
  <c r="AF117" i="4"/>
  <c r="AF109" i="4"/>
  <c r="AF112" i="4"/>
  <c r="AF99" i="4"/>
  <c r="AF100" i="4"/>
  <c r="AF102" i="4"/>
  <c r="AF105" i="4"/>
  <c r="BB59" i="4"/>
  <c r="BA59" i="4"/>
  <c r="AL57" i="4"/>
  <c r="AM57" i="4"/>
  <c r="AL53" i="4"/>
  <c r="AM53" i="4"/>
  <c r="AJ151" i="4"/>
  <c r="AF149" i="4"/>
  <c r="AJ145" i="4"/>
  <c r="AR144" i="4"/>
  <c r="AF144" i="4"/>
  <c r="AF141" i="4"/>
  <c r="AJ140" i="4"/>
  <c r="AR139" i="4"/>
  <c r="AF139" i="4"/>
  <c r="AR138" i="4"/>
  <c r="AF138" i="4"/>
  <c r="AJ137" i="4"/>
  <c r="AJ135" i="4"/>
  <c r="AJ134" i="4"/>
  <c r="AJ133" i="4"/>
  <c r="AF131" i="4"/>
  <c r="AR130" i="4"/>
  <c r="AF130" i="4"/>
  <c r="AV129" i="4"/>
  <c r="AF129" i="4"/>
  <c r="AF120" i="4"/>
  <c r="AF110" i="4"/>
  <c r="AF108" i="4"/>
  <c r="AP98" i="4"/>
  <c r="AQ98" i="4"/>
  <c r="AH85" i="4"/>
  <c r="AI85" i="4"/>
  <c r="AX73" i="4"/>
  <c r="AY73" i="4"/>
  <c r="AO71" i="4"/>
  <c r="AP71" i="4"/>
  <c r="AN69" i="4"/>
  <c r="AN75" i="4"/>
  <c r="AN86" i="4"/>
  <c r="AN70" i="4"/>
  <c r="AN79" i="4"/>
  <c r="AN80" i="4"/>
  <c r="AN81" i="4"/>
  <c r="AN83" i="4"/>
  <c r="AN84" i="4"/>
  <c r="AN85" i="4"/>
  <c r="AN68" i="4"/>
  <c r="AN72" i="4"/>
  <c r="AN73" i="4"/>
  <c r="AN90" i="4"/>
  <c r="AN91" i="4"/>
  <c r="AP59" i="4"/>
  <c r="AQ59" i="4"/>
  <c r="AT17" i="4"/>
  <c r="AS17" i="4"/>
  <c r="AJ149" i="4"/>
  <c r="AR148" i="4"/>
  <c r="AF148" i="4"/>
  <c r="AR146" i="4"/>
  <c r="AF146" i="4"/>
  <c r="AR142" i="4"/>
  <c r="AF142" i="4"/>
  <c r="AJ141" i="4"/>
  <c r="AJ139" i="4"/>
  <c r="AJ138" i="4"/>
  <c r="AF136" i="4"/>
  <c r="AF132" i="4"/>
  <c r="AJ131" i="4"/>
  <c r="AJ130" i="4"/>
  <c r="AJ129" i="4"/>
  <c r="AF118" i="4"/>
  <c r="AF116" i="4"/>
  <c r="AF107" i="4"/>
  <c r="AF104" i="4"/>
  <c r="AF103" i="4"/>
  <c r="AH91" i="4"/>
  <c r="AG91" i="4"/>
  <c r="AO87" i="4"/>
  <c r="AP87" i="4"/>
  <c r="AH60" i="4"/>
  <c r="AG60" i="4"/>
  <c r="AM59" i="4"/>
  <c r="AS58" i="4"/>
  <c r="AG58" i="4"/>
  <c r="AT57" i="4"/>
  <c r="AG57" i="4"/>
  <c r="AY56" i="4"/>
  <c r="AO55" i="4"/>
  <c r="AH54" i="4"/>
  <c r="AU53" i="4"/>
  <c r="AX52" i="4"/>
  <c r="AL52" i="4"/>
  <c r="AP51" i="4"/>
  <c r="AH50" i="4"/>
  <c r="AT49" i="4"/>
  <c r="AL49" i="4"/>
  <c r="AH49" i="4"/>
  <c r="AY48" i="4"/>
  <c r="AL48" i="4"/>
  <c r="AI48" i="4"/>
  <c r="BB47" i="4"/>
  <c r="AK47" i="4"/>
  <c r="AO46" i="4"/>
  <c r="AL43" i="4"/>
  <c r="AP42" i="4"/>
  <c r="AH42" i="4"/>
  <c r="AT41" i="4"/>
  <c r="AK39" i="4"/>
  <c r="AH30" i="4"/>
  <c r="AM29" i="4"/>
  <c r="AW28" i="4"/>
  <c r="AZ24" i="4"/>
  <c r="AU24" i="4"/>
  <c r="AI22" i="4"/>
  <c r="AM21" i="4"/>
  <c r="AR20" i="4"/>
  <c r="AK19" i="4"/>
  <c r="AR18" i="4"/>
  <c r="AL18" i="4"/>
  <c r="AQ17" i="4"/>
  <c r="AH16" i="4"/>
  <c r="AJ15" i="4"/>
  <c r="AJ14" i="4"/>
  <c r="AP13" i="4"/>
  <c r="AG12" i="4"/>
  <c r="AJ11" i="4"/>
  <c r="AJ10" i="4"/>
  <c r="AQ9" i="4"/>
  <c r="CE99" i="9"/>
  <c r="BZ98" i="9"/>
  <c r="CC98" i="9"/>
  <c r="AZ102" i="4"/>
  <c r="AV78" i="4"/>
  <c r="AV77" i="4"/>
  <c r="AV74" i="4"/>
  <c r="AV71" i="4"/>
  <c r="AV69" i="4"/>
  <c r="AZ31" i="4"/>
  <c r="AR30" i="4"/>
  <c r="AR28" i="4"/>
  <c r="AZ27" i="4"/>
  <c r="AJ27" i="4"/>
  <c r="AR25" i="4"/>
  <c r="AR22" i="4"/>
  <c r="AV21" i="4"/>
  <c r="AV20" i="4"/>
  <c r="AV19" i="4"/>
  <c r="AR16" i="4"/>
  <c r="AN15" i="4"/>
  <c r="AN14" i="4"/>
  <c r="AD14" i="4"/>
  <c r="AR12" i="4"/>
  <c r="AN11" i="4"/>
  <c r="AN10" i="4"/>
  <c r="AD10" i="4"/>
  <c r="AZ8" i="4"/>
  <c r="AR8" i="4"/>
  <c r="AJ8" i="4"/>
  <c r="AD9" i="4"/>
  <c r="BN98" i="9"/>
  <c r="BQ98" i="9"/>
  <c r="BY99" i="9"/>
  <c r="BZ99" i="9"/>
  <c r="BA98" i="9"/>
  <c r="BE98" i="9"/>
  <c r="AD98" i="9"/>
  <c r="AG98" i="9"/>
  <c r="AZ112" i="4"/>
  <c r="AZ108" i="4"/>
  <c r="AZ106" i="4"/>
  <c r="AV105" i="4"/>
  <c r="AZ104" i="4"/>
  <c r="AZ101" i="4"/>
  <c r="AV99" i="4"/>
  <c r="AF80" i="4"/>
  <c r="AF78" i="4"/>
  <c r="AF77" i="4"/>
  <c r="AF70" i="4"/>
  <c r="AR31" i="4"/>
  <c r="AZ30" i="4"/>
  <c r="AJ30" i="4"/>
  <c r="AD30" i="4"/>
  <c r="AZ28" i="4"/>
  <c r="AJ25" i="4"/>
  <c r="AV24" i="4"/>
  <c r="AV23" i="4"/>
  <c r="AJ22" i="4"/>
  <c r="AD22" i="4"/>
  <c r="AN21" i="4"/>
  <c r="AN19" i="4"/>
  <c r="AN18" i="4"/>
  <c r="AJ16" i="4"/>
  <c r="AD16" i="4"/>
  <c r="AF15" i="4"/>
  <c r="AV13" i="4"/>
  <c r="AF11" i="4"/>
  <c r="AV9" i="4"/>
  <c r="BN99" i="9"/>
  <c r="AG99" i="9"/>
  <c r="AD99" i="9"/>
  <c r="CC97" i="9"/>
  <c r="BQ97" i="9"/>
  <c r="AG97" i="9"/>
  <c r="CC96" i="9"/>
  <c r="BQ96" i="9"/>
  <c r="BE96" i="9"/>
  <c r="AG96" i="9"/>
  <c r="BQ95" i="9"/>
  <c r="BE95" i="9"/>
  <c r="BQ94" i="9"/>
  <c r="BE94" i="9"/>
  <c r="AG94" i="9"/>
  <c r="BQ93" i="9"/>
  <c r="BE93" i="9"/>
  <c r="AG93" i="9"/>
  <c r="CE92" i="9"/>
  <c r="AC92" i="9"/>
  <c r="BZ91" i="9"/>
  <c r="BN91" i="9"/>
  <c r="BB91" i="9"/>
  <c r="BZ90" i="9"/>
  <c r="BM90" i="9"/>
  <c r="BB90" i="9"/>
  <c r="BZ89" i="9"/>
  <c r="AC89" i="9"/>
  <c r="BY88" i="9"/>
  <c r="BM88" i="9"/>
  <c r="BA88" i="9"/>
  <c r="AC88" i="9"/>
  <c r="BY87" i="9"/>
  <c r="BM87" i="9"/>
  <c r="AC87" i="9"/>
  <c r="BA86" i="9"/>
  <c r="AC86" i="9"/>
  <c r="BA85" i="9"/>
  <c r="AC78" i="9"/>
  <c r="BA77" i="9"/>
  <c r="AC77" i="9"/>
  <c r="BZ75" i="9"/>
  <c r="AC73" i="9"/>
  <c r="AG40" i="9"/>
  <c r="BY38" i="9"/>
  <c r="BB38" i="9"/>
  <c r="BB18" i="9"/>
  <c r="BE18" i="9"/>
  <c r="BM16" i="9"/>
  <c r="BQ16" i="9"/>
  <c r="BY33" i="9"/>
  <c r="BZ33" i="9"/>
  <c r="BE33" i="9"/>
  <c r="BA33" i="9"/>
  <c r="AG26" i="9"/>
  <c r="AC26" i="9"/>
  <c r="BB16" i="9"/>
  <c r="BE16" i="9"/>
  <c r="AI12" i="9"/>
  <c r="G14" i="46"/>
  <c r="J17" i="46" s="1"/>
  <c r="F17" i="46"/>
  <c r="BE85" i="9"/>
  <c r="BQ79" i="9"/>
  <c r="BE79" i="9"/>
  <c r="AG79" i="9"/>
  <c r="AG78" i="9"/>
  <c r="BE72" i="9"/>
  <c r="AG72" i="9"/>
  <c r="AD71" i="9"/>
  <c r="AD66" i="9"/>
  <c r="CC65" i="9"/>
  <c r="BQ65" i="9"/>
  <c r="BE65" i="9"/>
  <c r="AG65" i="9"/>
  <c r="CC64" i="9"/>
  <c r="BQ64" i="9"/>
  <c r="AG64" i="9"/>
  <c r="CC63" i="9"/>
  <c r="BQ63" i="9"/>
  <c r="BE63" i="9"/>
  <c r="AG63" i="9"/>
  <c r="BQ62" i="9"/>
  <c r="BE62" i="9"/>
  <c r="AG62" i="9"/>
  <c r="CC61" i="9"/>
  <c r="BQ61" i="9"/>
  <c r="BE61" i="9"/>
  <c r="AG61" i="9"/>
  <c r="CC60" i="9"/>
  <c r="BQ60" i="9"/>
  <c r="BE60" i="9"/>
  <c r="AG60" i="9"/>
  <c r="BQ41" i="9"/>
  <c r="BE41" i="9"/>
  <c r="AG38" i="9"/>
  <c r="U26" i="9"/>
  <c r="BB19" i="9"/>
  <c r="BE19" i="9"/>
  <c r="BA19" i="9"/>
  <c r="R19" i="9"/>
  <c r="U19" i="9"/>
  <c r="BZ18" i="9"/>
  <c r="CC18" i="9"/>
  <c r="AC38" i="9"/>
  <c r="BQ33" i="9"/>
  <c r="BN33" i="9"/>
  <c r="AS33" i="9"/>
  <c r="AO33" i="9"/>
  <c r="CC25" i="9"/>
  <c r="AS19" i="9"/>
  <c r="AP19" i="9"/>
  <c r="BN18" i="9"/>
  <c r="BQ18" i="9"/>
  <c r="R17" i="9"/>
  <c r="U17" i="9"/>
  <c r="BZ16" i="9"/>
  <c r="CC16" i="9"/>
  <c r="AC19" i="9"/>
  <c r="AD12" i="9"/>
  <c r="E10" i="53"/>
  <c r="J18" i="52"/>
  <c r="J10" i="53" s="1"/>
  <c r="B6" i="56"/>
  <c r="B7" i="57"/>
  <c r="AF16" i="1"/>
  <c r="X16" i="1"/>
  <c r="P18" i="1"/>
  <c r="U18" i="1"/>
  <c r="AA18" i="1"/>
  <c r="AF18" i="1"/>
  <c r="AK18" i="1"/>
  <c r="N18" i="1"/>
  <c r="S18" i="1"/>
  <c r="X18" i="1"/>
  <c r="AC18" i="1"/>
  <c r="AI18" i="1"/>
  <c r="Q22" i="1"/>
  <c r="Y22" i="1"/>
  <c r="AG22" i="1"/>
  <c r="N22" i="1"/>
  <c r="U22" i="1"/>
  <c r="AC22" i="1"/>
  <c r="AK22" i="1"/>
  <c r="Q25" i="1"/>
  <c r="Y25" i="1"/>
  <c r="AG25" i="1"/>
  <c r="N25" i="1"/>
  <c r="U25" i="1"/>
  <c r="AC25" i="1"/>
  <c r="AK25" i="1"/>
  <c r="AB26" i="1"/>
  <c r="Q26" i="1"/>
  <c r="AF27" i="1"/>
  <c r="Q31" i="1"/>
  <c r="Y31" i="1"/>
  <c r="AG31" i="1"/>
  <c r="N31" i="1"/>
  <c r="U31" i="1"/>
  <c r="AC31" i="1"/>
  <c r="AK31" i="1"/>
  <c r="Q35" i="1"/>
  <c r="Y35" i="1"/>
  <c r="AG35" i="1"/>
  <c r="N35" i="1"/>
  <c r="U35" i="1"/>
  <c r="AC35" i="1"/>
  <c r="AK35" i="1"/>
  <c r="AJ8" i="1"/>
  <c r="AF8" i="1"/>
  <c r="AB8" i="1"/>
  <c r="X8" i="1"/>
  <c r="T8" i="1"/>
  <c r="P8" i="1"/>
  <c r="AK9" i="1"/>
  <c r="AG9" i="1"/>
  <c r="AB9" i="1"/>
  <c r="W9" i="1"/>
  <c r="Q9" i="1"/>
  <c r="AK10" i="1"/>
  <c r="AC10" i="1"/>
  <c r="U10" i="1"/>
  <c r="N10" i="1"/>
  <c r="AG11" i="1"/>
  <c r="Y11" i="1"/>
  <c r="Q11" i="1"/>
  <c r="AK12" i="1"/>
  <c r="AC12" i="1"/>
  <c r="U12" i="1"/>
  <c r="N12" i="1"/>
  <c r="AG13" i="1"/>
  <c r="Y13" i="1"/>
  <c r="Q13" i="1"/>
  <c r="AK14" i="1"/>
  <c r="AC14" i="1"/>
  <c r="U14" i="1"/>
  <c r="N14" i="1"/>
  <c r="AG15" i="1"/>
  <c r="Y15" i="1"/>
  <c r="Q15" i="1"/>
  <c r="AK16" i="1"/>
  <c r="AC16" i="1"/>
  <c r="T16" i="1"/>
  <c r="AF17" i="1"/>
  <c r="AE18" i="1"/>
  <c r="T18" i="1"/>
  <c r="N21" i="1"/>
  <c r="U21" i="1"/>
  <c r="AC21" i="1"/>
  <c r="AK21" i="1"/>
  <c r="Q21" i="1"/>
  <c r="Y21" i="1"/>
  <c r="AG21" i="1"/>
  <c r="X22" i="1"/>
  <c r="N24" i="1"/>
  <c r="S24" i="1"/>
  <c r="X24" i="1"/>
  <c r="AC24" i="1"/>
  <c r="AI24" i="1"/>
  <c r="P24" i="1"/>
  <c r="U24" i="1"/>
  <c r="AA24" i="1"/>
  <c r="AF24" i="1"/>
  <c r="AK24" i="1"/>
  <c r="X25" i="1"/>
  <c r="AJ26" i="1"/>
  <c r="Y26" i="1"/>
  <c r="N27" i="1"/>
  <c r="U27" i="1"/>
  <c r="AC27" i="1"/>
  <c r="AK27" i="1"/>
  <c r="Q27" i="1"/>
  <c r="Y27" i="1"/>
  <c r="AG27" i="1"/>
  <c r="N30" i="1"/>
  <c r="U30" i="1"/>
  <c r="AC30" i="1"/>
  <c r="AK30" i="1"/>
  <c r="Q30" i="1"/>
  <c r="Y30" i="1"/>
  <c r="AG30" i="1"/>
  <c r="X31" i="1"/>
  <c r="N34" i="1"/>
  <c r="U34" i="1"/>
  <c r="AC34" i="1"/>
  <c r="AK34" i="1"/>
  <c r="Q34" i="1"/>
  <c r="Y34" i="1"/>
  <c r="AG34" i="1"/>
  <c r="X35" i="1"/>
  <c r="AI8" i="1"/>
  <c r="AE8" i="1"/>
  <c r="AA8" i="1"/>
  <c r="W8" i="1"/>
  <c r="S8" i="1"/>
  <c r="O8" i="1"/>
  <c r="AJ9" i="1"/>
  <c r="AF9" i="1"/>
  <c r="AA9" i="1"/>
  <c r="U9" i="1"/>
  <c r="P9" i="1"/>
  <c r="AF11" i="1"/>
  <c r="X11" i="1"/>
  <c r="P11" i="1"/>
  <c r="AF13" i="1"/>
  <c r="X13" i="1"/>
  <c r="P13" i="1"/>
  <c r="AF15" i="1"/>
  <c r="X15" i="1"/>
  <c r="P15" i="1"/>
  <c r="AJ16" i="1"/>
  <c r="AB16" i="1"/>
  <c r="Q17" i="1"/>
  <c r="Y17" i="1"/>
  <c r="AG17" i="1"/>
  <c r="N17" i="1"/>
  <c r="U17" i="1"/>
  <c r="AC17" i="1"/>
  <c r="AK17" i="1"/>
  <c r="AB18" i="1"/>
  <c r="Q18" i="1"/>
  <c r="AF19" i="1"/>
  <c r="Q20" i="1"/>
  <c r="Y20" i="1"/>
  <c r="AG20" i="1"/>
  <c r="N20" i="1"/>
  <c r="U20" i="1"/>
  <c r="AC20" i="1"/>
  <c r="AK20" i="1"/>
  <c r="X21" i="1"/>
  <c r="AJ22" i="1"/>
  <c r="T22" i="1"/>
  <c r="AE24" i="1"/>
  <c r="T24" i="1"/>
  <c r="AJ25" i="1"/>
  <c r="T25" i="1"/>
  <c r="P26" i="1"/>
  <c r="U26" i="1"/>
  <c r="AA26" i="1"/>
  <c r="AF26" i="1"/>
  <c r="AK26" i="1"/>
  <c r="N26" i="1"/>
  <c r="S26" i="1"/>
  <c r="X26" i="1"/>
  <c r="AC26" i="1"/>
  <c r="AI26" i="1"/>
  <c r="X27" i="1"/>
  <c r="Q29" i="1"/>
  <c r="Y29" i="1"/>
  <c r="AG29" i="1"/>
  <c r="N29" i="1"/>
  <c r="U29" i="1"/>
  <c r="AC29" i="1"/>
  <c r="AK29" i="1"/>
  <c r="X30" i="1"/>
  <c r="AJ31" i="1"/>
  <c r="T31" i="1"/>
  <c r="Q33" i="1"/>
  <c r="Y33" i="1"/>
  <c r="AG33" i="1"/>
  <c r="N33" i="1"/>
  <c r="U33" i="1"/>
  <c r="AC33" i="1"/>
  <c r="AK33" i="1"/>
  <c r="X34" i="1"/>
  <c r="AJ35" i="1"/>
  <c r="T35" i="1"/>
  <c r="AH8" i="1"/>
  <c r="AD8" i="1"/>
  <c r="Z8" i="1"/>
  <c r="V8" i="1"/>
  <c r="R8" i="1"/>
  <c r="AI9" i="1"/>
  <c r="AE9" i="1"/>
  <c r="Y9" i="1"/>
  <c r="T9" i="1"/>
  <c r="AG10" i="1"/>
  <c r="Y10" i="1"/>
  <c r="AK11" i="1"/>
  <c r="AC11" i="1"/>
  <c r="U11" i="1"/>
  <c r="AG12" i="1"/>
  <c r="Y12" i="1"/>
  <c r="AK13" i="1"/>
  <c r="AC13" i="1"/>
  <c r="U13" i="1"/>
  <c r="AG14" i="1"/>
  <c r="Y14" i="1"/>
  <c r="AK15" i="1"/>
  <c r="AC15" i="1"/>
  <c r="U15" i="1"/>
  <c r="N16" i="1"/>
  <c r="U16" i="1"/>
  <c r="Q16" i="1"/>
  <c r="X17" i="1"/>
  <c r="AJ18" i="1"/>
  <c r="Y18" i="1"/>
  <c r="O18" i="1"/>
  <c r="N19" i="1"/>
  <c r="U19" i="1"/>
  <c r="AC19" i="1"/>
  <c r="AK19" i="1"/>
  <c r="Q19" i="1"/>
  <c r="Y19" i="1"/>
  <c r="AG19" i="1"/>
  <c r="X20" i="1"/>
  <c r="AJ21" i="1"/>
  <c r="T21" i="1"/>
  <c r="AF22" i="1"/>
  <c r="P22" i="1"/>
  <c r="N23" i="1"/>
  <c r="U23" i="1"/>
  <c r="AC23" i="1"/>
  <c r="AK23" i="1"/>
  <c r="Q23" i="1"/>
  <c r="Y23" i="1"/>
  <c r="AG23" i="1"/>
  <c r="AB24" i="1"/>
  <c r="Q24" i="1"/>
  <c r="AF25" i="1"/>
  <c r="P25" i="1"/>
  <c r="AE26" i="1"/>
  <c r="T26" i="1"/>
  <c r="AJ27" i="1"/>
  <c r="T27" i="1"/>
  <c r="N28" i="1"/>
  <c r="S28" i="1"/>
  <c r="X28" i="1"/>
  <c r="AC28" i="1"/>
  <c r="AI28" i="1"/>
  <c r="P28" i="1"/>
  <c r="U28" i="1"/>
  <c r="AA28" i="1"/>
  <c r="AF28" i="1"/>
  <c r="AK28" i="1"/>
  <c r="X29" i="1"/>
  <c r="AJ30" i="1"/>
  <c r="T30" i="1"/>
  <c r="AF31" i="1"/>
  <c r="P31" i="1"/>
  <c r="N32" i="1"/>
  <c r="U32" i="1"/>
  <c r="AC32" i="1"/>
  <c r="AK32" i="1"/>
  <c r="Q32" i="1"/>
  <c r="Y32" i="1"/>
  <c r="AG32" i="1"/>
  <c r="X33" i="1"/>
  <c r="AJ34" i="1"/>
  <c r="T34" i="1"/>
  <c r="AF35" i="1"/>
  <c r="P35" i="1"/>
  <c r="AG36" i="1"/>
  <c r="Y36" i="1"/>
  <c r="Q36" i="1"/>
  <c r="AK37" i="1"/>
  <c r="AC37" i="1"/>
  <c r="U37" i="1"/>
  <c r="N37" i="1"/>
  <c r="AK36" i="1"/>
  <c r="AC36" i="1"/>
  <c r="U36" i="1"/>
  <c r="AG37" i="1"/>
  <c r="Y37" i="1"/>
  <c r="Q37" i="1"/>
  <c r="AF37" i="1"/>
  <c r="X37" i="1"/>
  <c r="BY48" i="9" l="1"/>
  <c r="BW81" i="9"/>
  <c r="CC48" i="9"/>
  <c r="CE48" i="9" s="1"/>
  <c r="AH81" i="4"/>
  <c r="BB80" i="4"/>
  <c r="AO206" i="4"/>
  <c r="BB339" i="4"/>
  <c r="AK558" i="4"/>
  <c r="AL567" i="4"/>
  <c r="AI595" i="4"/>
  <c r="AY811" i="4"/>
  <c r="AG100" i="62"/>
  <c r="Y108" i="62" s="1"/>
  <c r="E30" i="62" s="1"/>
  <c r="N30" i="62" s="1"/>
  <c r="AI134" i="4"/>
  <c r="AG280" i="4"/>
  <c r="AH280" i="4"/>
  <c r="F41" i="9"/>
  <c r="C74" i="9"/>
  <c r="F74" i="9" s="1"/>
  <c r="AH59" i="4"/>
  <c r="AG59" i="4"/>
  <c r="AU99" i="4"/>
  <c r="AT99" i="4"/>
  <c r="AQ721" i="4"/>
  <c r="AP721" i="4"/>
  <c r="BB222" i="4"/>
  <c r="BA222" i="4"/>
  <c r="AL532" i="4"/>
  <c r="AM532" i="4"/>
  <c r="AL383" i="4"/>
  <c r="AM383" i="4"/>
  <c r="AQ608" i="4"/>
  <c r="AP608" i="4"/>
  <c r="AK404" i="4"/>
  <c r="AL404" i="4"/>
  <c r="AO582" i="4"/>
  <c r="AP582" i="4"/>
  <c r="AT582" i="4"/>
  <c r="AU582" i="4"/>
  <c r="AI19" i="9"/>
  <c r="AJ19" i="9"/>
  <c r="AY39" i="4"/>
  <c r="AW39" i="4"/>
  <c r="AL358" i="4"/>
  <c r="AM358" i="4"/>
  <c r="AL401" i="4"/>
  <c r="AK401" i="4"/>
  <c r="AL735" i="4"/>
  <c r="AK735" i="4"/>
  <c r="AL381" i="4"/>
  <c r="AM381" i="4"/>
  <c r="AS476" i="4"/>
  <c r="AT476" i="4"/>
  <c r="AL338" i="4"/>
  <c r="AK338" i="4"/>
  <c r="AU56" i="9"/>
  <c r="AS89" i="9"/>
  <c r="AU89" i="9" s="1"/>
  <c r="AL378" i="4"/>
  <c r="AK378" i="4"/>
  <c r="AL564" i="4"/>
  <c r="AM564" i="4"/>
  <c r="AG810" i="4"/>
  <c r="AH810" i="4"/>
  <c r="AW801" i="4"/>
  <c r="AY801" i="4"/>
  <c r="AW401" i="4"/>
  <c r="AX401" i="4"/>
  <c r="AW533" i="4"/>
  <c r="AX533" i="4"/>
  <c r="AL773" i="4"/>
  <c r="AM773" i="4"/>
  <c r="AL592" i="4"/>
  <c r="AM592" i="4"/>
  <c r="AS511" i="4"/>
  <c r="AT511" i="4"/>
  <c r="AP481" i="4"/>
  <c r="AQ481" i="4"/>
  <c r="AP418" i="4"/>
  <c r="AO418" i="4"/>
  <c r="AL763" i="4"/>
  <c r="AK763" i="4"/>
  <c r="AX406" i="4"/>
  <c r="AW406" i="4"/>
  <c r="AH647" i="4"/>
  <c r="AI647" i="4"/>
  <c r="AL772" i="4"/>
  <c r="AM772" i="4"/>
  <c r="AT551" i="4"/>
  <c r="AU551" i="4"/>
  <c r="W43" i="9"/>
  <c r="U76" i="9"/>
  <c r="W76" i="9" s="1"/>
  <c r="AH53" i="4"/>
  <c r="AD292" i="62"/>
  <c r="Y297" i="62" s="1"/>
  <c r="J24" i="62" s="1"/>
  <c r="S24" i="62" s="1"/>
  <c r="AG27" i="4"/>
  <c r="AH27" i="4"/>
  <c r="AM23" i="4"/>
  <c r="AL23" i="4"/>
  <c r="AO203" i="4"/>
  <c r="AP203" i="4"/>
  <c r="AP317" i="4"/>
  <c r="AQ317" i="4"/>
  <c r="W14" i="9"/>
  <c r="U47" i="9"/>
  <c r="AU110" i="4"/>
  <c r="AT110" i="4"/>
  <c r="AG87" i="4"/>
  <c r="AH87" i="4"/>
  <c r="AD47" i="9"/>
  <c r="AA80" i="9"/>
  <c r="AG47" i="9"/>
  <c r="AJ47" i="9" s="1"/>
  <c r="AW490" i="4"/>
  <c r="AX490" i="4"/>
  <c r="AK730" i="4"/>
  <c r="AL730" i="4"/>
  <c r="AH826" i="4"/>
  <c r="AI826" i="4"/>
  <c r="AY433" i="4"/>
  <c r="AX433" i="4"/>
  <c r="AP611" i="4"/>
  <c r="AO611" i="4"/>
  <c r="AK408" i="4"/>
  <c r="AL408" i="4"/>
  <c r="AX589" i="4"/>
  <c r="AY589" i="4"/>
  <c r="AP387" i="4"/>
  <c r="AO387" i="4"/>
  <c r="AY38" i="4"/>
  <c r="AX38" i="4"/>
  <c r="AK341" i="4"/>
  <c r="AL341" i="4"/>
  <c r="AI195" i="4"/>
  <c r="AH195" i="4"/>
  <c r="AM143" i="4"/>
  <c r="AL143" i="4"/>
  <c r="AT534" i="4"/>
  <c r="AU534" i="4"/>
  <c r="AL494" i="4"/>
  <c r="AK494" i="4"/>
  <c r="AK368" i="4"/>
  <c r="AL368" i="4"/>
  <c r="AM390" i="4"/>
  <c r="AL390" i="4"/>
  <c r="AH797" i="4"/>
  <c r="AI797" i="4"/>
  <c r="AT250" i="4"/>
  <c r="AU250" i="4"/>
  <c r="F64" i="9"/>
  <c r="C97" i="9"/>
  <c r="F97" i="9" s="1"/>
  <c r="BC802" i="4"/>
  <c r="BB802" i="4"/>
  <c r="AW521" i="4"/>
  <c r="AX521" i="4"/>
  <c r="AK580" i="4"/>
  <c r="AL580" i="4"/>
  <c r="AO473" i="4"/>
  <c r="AP473" i="4"/>
  <c r="AP774" i="4"/>
  <c r="AO774" i="4"/>
  <c r="AP406" i="4"/>
  <c r="AO406" i="4"/>
  <c r="AY402" i="4"/>
  <c r="AW402" i="4"/>
  <c r="AL780" i="4"/>
  <c r="AM780" i="4"/>
  <c r="AH655" i="4"/>
  <c r="AI655" i="4"/>
  <c r="AL769" i="4"/>
  <c r="AK769" i="4"/>
  <c r="AT562" i="4"/>
  <c r="AU562" i="4"/>
  <c r="AH17" i="4"/>
  <c r="AI17" i="4"/>
  <c r="AQ330" i="4"/>
  <c r="AP330" i="4"/>
  <c r="AT75" i="4"/>
  <c r="AS75" i="4"/>
  <c r="AT119" i="4"/>
  <c r="AS119" i="4"/>
  <c r="AI113" i="4"/>
  <c r="AH113" i="4"/>
  <c r="AU111" i="4"/>
  <c r="AT111" i="4"/>
  <c r="AL527" i="4"/>
  <c r="AK527" i="4"/>
  <c r="AL322" i="4"/>
  <c r="AM322" i="4"/>
  <c r="F46" i="9"/>
  <c r="C79" i="9"/>
  <c r="F79" i="9" s="1"/>
  <c r="AY445" i="4"/>
  <c r="AX445" i="4"/>
  <c r="AP617" i="4"/>
  <c r="AQ617" i="4"/>
  <c r="AS361" i="4"/>
  <c r="AT361" i="4"/>
  <c r="AP391" i="4"/>
  <c r="AQ391" i="4"/>
  <c r="AK346" i="4"/>
  <c r="AL346" i="4"/>
  <c r="AW370" i="4"/>
  <c r="AX370" i="4"/>
  <c r="F51" i="9"/>
  <c r="C84" i="9"/>
  <c r="F84" i="9" s="1"/>
  <c r="AK371" i="4"/>
  <c r="AL371" i="4"/>
  <c r="AU354" i="4"/>
  <c r="AT354" i="4"/>
  <c r="BY62" i="9"/>
  <c r="BW95" i="9"/>
  <c r="AG788" i="4"/>
  <c r="AH788" i="4"/>
  <c r="AK764" i="4"/>
  <c r="AL764" i="4"/>
  <c r="AS258" i="4"/>
  <c r="AT258" i="4"/>
  <c r="AS837" i="4"/>
  <c r="AT837" i="4"/>
  <c r="AG643" i="4"/>
  <c r="AH643" i="4"/>
  <c r="AL591" i="4"/>
  <c r="AM591" i="4"/>
  <c r="BA853" i="4"/>
  <c r="BB853" i="4"/>
  <c r="AP410" i="4"/>
  <c r="AQ410" i="4"/>
  <c r="BB444" i="4"/>
  <c r="BA444" i="4"/>
  <c r="AO563" i="4"/>
  <c r="AP563" i="4"/>
  <c r="AS567" i="4"/>
  <c r="AT567" i="4"/>
  <c r="AT190" i="4"/>
  <c r="AW360" i="4"/>
  <c r="BC380" i="4"/>
  <c r="AI830" i="4"/>
  <c r="AL822" i="4"/>
  <c r="AW269" i="4"/>
  <c r="AX269" i="4"/>
  <c r="AP221" i="4"/>
  <c r="AO221" i="4"/>
  <c r="AH24" i="4"/>
  <c r="AI24" i="4"/>
  <c r="BA361" i="4"/>
  <c r="BB361" i="4"/>
  <c r="AH43" i="4"/>
  <c r="AG43" i="4"/>
  <c r="AX113" i="4"/>
  <c r="AW113" i="4"/>
  <c r="AK136" i="4"/>
  <c r="AL136" i="4"/>
  <c r="AX356" i="4"/>
  <c r="AY356" i="4"/>
  <c r="AL536" i="4"/>
  <c r="AM536" i="4"/>
  <c r="X39" i="9"/>
  <c r="U72" i="9"/>
  <c r="X72" i="9" s="1"/>
  <c r="AH561" i="4"/>
  <c r="AI561" i="4"/>
  <c r="AM296" i="4"/>
  <c r="AL296" i="4"/>
  <c r="AG463" i="4"/>
  <c r="AH463" i="4"/>
  <c r="AP621" i="4"/>
  <c r="AQ621" i="4"/>
  <c r="AS656" i="4"/>
  <c r="AT656" i="4"/>
  <c r="AK369" i="4"/>
  <c r="AL369" i="4"/>
  <c r="BA685" i="4"/>
  <c r="BB685" i="4"/>
  <c r="CC71" i="9"/>
  <c r="BZ71" i="9"/>
  <c r="BY71" i="9"/>
  <c r="BY60" i="9"/>
  <c r="BW93" i="9"/>
  <c r="AH494" i="4"/>
  <c r="AI494" i="4"/>
  <c r="AY92" i="9"/>
  <c r="BB59" i="9"/>
  <c r="BE59" i="9"/>
  <c r="BH59" i="9" s="1"/>
  <c r="AK525" i="4"/>
  <c r="AL525" i="4"/>
  <c r="Q42" i="9"/>
  <c r="O75" i="9"/>
  <c r="Q75" i="9" s="1"/>
  <c r="AP40" i="9"/>
  <c r="AM73" i="9"/>
  <c r="AP73" i="9" s="1"/>
  <c r="AU47" i="9"/>
  <c r="AS80" i="9"/>
  <c r="AU80" i="9" s="1"/>
  <c r="AU263" i="4"/>
  <c r="AT263" i="4"/>
  <c r="AG763" i="4"/>
  <c r="AH763" i="4"/>
  <c r="BB869" i="4"/>
  <c r="BA869" i="4"/>
  <c r="AW856" i="4"/>
  <c r="AX856" i="4"/>
  <c r="AK766" i="4"/>
  <c r="AL766" i="4"/>
  <c r="BA809" i="4"/>
  <c r="BB809" i="4"/>
  <c r="AL811" i="4"/>
  <c r="AM811" i="4"/>
  <c r="AY522" i="4"/>
  <c r="AW522" i="4"/>
  <c r="AK587" i="4"/>
  <c r="AL587" i="4"/>
  <c r="BA43" i="9"/>
  <c r="AY76" i="9"/>
  <c r="BE43" i="9"/>
  <c r="BG43" i="9" s="1"/>
  <c r="AK760" i="4"/>
  <c r="AL760" i="4"/>
  <c r="BC436" i="4"/>
  <c r="BB436" i="4"/>
  <c r="AP559" i="4"/>
  <c r="AQ559" i="4"/>
  <c r="AP781" i="4"/>
  <c r="AQ781" i="4"/>
  <c r="AT554" i="4"/>
  <c r="AS554" i="4"/>
  <c r="AI235" i="4"/>
  <c r="AH235" i="4"/>
  <c r="AH223" i="4"/>
  <c r="AG223" i="4"/>
  <c r="AX197" i="4"/>
  <c r="AW197" i="4"/>
  <c r="AL308" i="4"/>
  <c r="AK308" i="4"/>
  <c r="AQ589" i="4"/>
  <c r="AP589" i="4"/>
  <c r="AK287" i="4"/>
  <c r="AL287" i="4"/>
  <c r="AP447" i="4"/>
  <c r="AO447" i="4"/>
  <c r="BB668" i="4"/>
  <c r="BC668" i="4"/>
  <c r="AL380" i="4"/>
  <c r="AM380" i="4"/>
  <c r="F65" i="9"/>
  <c r="C98" i="9"/>
  <c r="F98" i="9" s="1"/>
  <c r="AM350" i="4"/>
  <c r="AL350" i="4"/>
  <c r="AU530" i="4"/>
  <c r="AT530" i="4"/>
  <c r="W9" i="9"/>
  <c r="U42" i="9"/>
  <c r="AT347" i="4"/>
  <c r="AS347" i="4"/>
  <c r="AP431" i="4"/>
  <c r="AO431" i="4"/>
  <c r="AS254" i="4"/>
  <c r="AT254" i="4"/>
  <c r="AO807" i="4"/>
  <c r="AP807" i="4"/>
  <c r="AL861" i="4"/>
  <c r="AM861" i="4"/>
  <c r="F58" i="9"/>
  <c r="C91" i="9"/>
  <c r="F91" i="9" s="1"/>
  <c r="BB789" i="4"/>
  <c r="BC789" i="4"/>
  <c r="AK823" i="4"/>
  <c r="AL823" i="4"/>
  <c r="BB432" i="4"/>
  <c r="BA432" i="4"/>
  <c r="AL56" i="4"/>
  <c r="AL144" i="4"/>
  <c r="AT287" i="4"/>
  <c r="AT610" i="4"/>
  <c r="AX733" i="4"/>
  <c r="AP746" i="4"/>
  <c r="T258" i="63"/>
  <c r="Q261" i="63" s="1"/>
  <c r="BA55" i="4"/>
  <c r="AW540" i="4"/>
  <c r="AP88" i="4"/>
  <c r="AO88" i="4"/>
  <c r="AP316" i="4"/>
  <c r="AO316" i="4"/>
  <c r="AU39" i="9"/>
  <c r="AS72" i="9"/>
  <c r="AU72" i="9" s="1"/>
  <c r="L51" i="9"/>
  <c r="I84" i="9"/>
  <c r="L84" i="9" s="1"/>
  <c r="AI140" i="4"/>
  <c r="AH140" i="4"/>
  <c r="AI51" i="4"/>
  <c r="AH51" i="4"/>
  <c r="AM80" i="9"/>
  <c r="AO80" i="9" s="1"/>
  <c r="AO47" i="9"/>
  <c r="AT353" i="4"/>
  <c r="AU353" i="4"/>
  <c r="AK279" i="4"/>
  <c r="AL279" i="4"/>
  <c r="AO675" i="4"/>
  <c r="AP675" i="4"/>
  <c r="AT465" i="4"/>
  <c r="AS465" i="4"/>
  <c r="AM384" i="4"/>
  <c r="AL384" i="4"/>
  <c r="BC280" i="4"/>
  <c r="BB280" i="4"/>
  <c r="AT352" i="4"/>
  <c r="AU352" i="4"/>
  <c r="AT343" i="4"/>
  <c r="AU343" i="4"/>
  <c r="AH460" i="4"/>
  <c r="AG460" i="4"/>
  <c r="AL253" i="4"/>
  <c r="AK253" i="4"/>
  <c r="AH361" i="4"/>
  <c r="AG361" i="4"/>
  <c r="AO804" i="4"/>
  <c r="AP804" i="4"/>
  <c r="BC868" i="4"/>
  <c r="BB868" i="4"/>
  <c r="BB788" i="4"/>
  <c r="BC788" i="4"/>
  <c r="AS717" i="4"/>
  <c r="AT717" i="4"/>
  <c r="AP401" i="4"/>
  <c r="AO401" i="4"/>
  <c r="AO568" i="4"/>
  <c r="AP568" i="4"/>
  <c r="AS558" i="4"/>
  <c r="AT558" i="4"/>
  <c r="AP329" i="4"/>
  <c r="AQ329" i="4"/>
  <c r="AW101" i="4"/>
  <c r="AX101" i="4"/>
  <c r="BZ76" i="9"/>
  <c r="CC76" i="9"/>
  <c r="CF76" i="9" s="1"/>
  <c r="F61" i="9"/>
  <c r="C94" i="9"/>
  <c r="F94" i="9" s="1"/>
  <c r="AY258" i="4"/>
  <c r="AW258" i="4"/>
  <c r="AU103" i="4"/>
  <c r="AT103" i="4"/>
  <c r="AX202" i="4"/>
  <c r="AW202" i="4"/>
  <c r="BE56" i="9"/>
  <c r="BG56" i="9" s="1"/>
  <c r="BA56" i="9"/>
  <c r="AY89" i="9"/>
  <c r="AW351" i="4"/>
  <c r="AY351" i="4"/>
  <c r="AG567" i="4"/>
  <c r="AH567" i="4"/>
  <c r="BB291" i="4"/>
  <c r="BC291" i="4"/>
  <c r="AW502" i="4"/>
  <c r="AX502" i="4"/>
  <c r="AP283" i="4"/>
  <c r="AO283" i="4"/>
  <c r="AH498" i="4"/>
  <c r="AI498" i="4"/>
  <c r="BA721" i="4"/>
  <c r="BB721" i="4"/>
  <c r="BC226" i="4"/>
  <c r="BB226" i="4"/>
  <c r="AX449" i="4"/>
  <c r="AW449" i="4"/>
  <c r="AT240" i="4"/>
  <c r="AS240" i="4"/>
  <c r="AP429" i="4"/>
  <c r="AQ429" i="4"/>
  <c r="AC42" i="9"/>
  <c r="AA75" i="9"/>
  <c r="AG42" i="9"/>
  <c r="AI42" i="9" s="1"/>
  <c r="AM386" i="4"/>
  <c r="AL386" i="4"/>
  <c r="AP43" i="9"/>
  <c r="AM76" i="9"/>
  <c r="AP76" i="9" s="1"/>
  <c r="AG479" i="4"/>
  <c r="AH479" i="4"/>
  <c r="AL260" i="4"/>
  <c r="AM260" i="4"/>
  <c r="AW748" i="4"/>
  <c r="AX748" i="4"/>
  <c r="AM777" i="4"/>
  <c r="AL777" i="4"/>
  <c r="AG359" i="4"/>
  <c r="AH359" i="4"/>
  <c r="AP800" i="4"/>
  <c r="AQ800" i="4"/>
  <c r="AO763" i="4"/>
  <c r="AP763" i="4"/>
  <c r="AO535" i="4"/>
  <c r="AP535" i="4"/>
  <c r="AM779" i="4"/>
  <c r="AL779" i="4"/>
  <c r="AY795" i="4"/>
  <c r="AW795" i="4"/>
  <c r="AL767" i="4"/>
  <c r="AK767" i="4"/>
  <c r="AP827" i="4"/>
  <c r="AQ827" i="4"/>
  <c r="AL770" i="4"/>
  <c r="AM770" i="4"/>
  <c r="AK583" i="4"/>
  <c r="AL583" i="4"/>
  <c r="AP833" i="4"/>
  <c r="AO833" i="4"/>
  <c r="AG779" i="4"/>
  <c r="AH779" i="4"/>
  <c r="AP416" i="4"/>
  <c r="AO416" i="4"/>
  <c r="AW471" i="4"/>
  <c r="AY471" i="4"/>
  <c r="AY410" i="4"/>
  <c r="AX410" i="4"/>
  <c r="AO565" i="4"/>
  <c r="AP565" i="4"/>
  <c r="AT830" i="4"/>
  <c r="AU830" i="4"/>
  <c r="AU564" i="4"/>
  <c r="AT564" i="4"/>
  <c r="AL771" i="4"/>
  <c r="AM771" i="4"/>
  <c r="AI321" i="4"/>
  <c r="AY193" i="4"/>
  <c r="AT323" i="4"/>
  <c r="AP413" i="4"/>
  <c r="AW504" i="4"/>
  <c r="AU862" i="4"/>
  <c r="BB841" i="4"/>
  <c r="AL830" i="4"/>
  <c r="AW111" i="4"/>
  <c r="AY111" i="4"/>
  <c r="BC352" i="4"/>
  <c r="BB352" i="4"/>
  <c r="X8" i="9"/>
  <c r="U41" i="9"/>
  <c r="AQ130" i="4"/>
  <c r="AP130" i="4"/>
  <c r="R64" i="9"/>
  <c r="O97" i="9"/>
  <c r="R97" i="9" s="1"/>
  <c r="BB109" i="4"/>
  <c r="BA109" i="4"/>
  <c r="AX265" i="4"/>
  <c r="AY265" i="4"/>
  <c r="AG58" i="9"/>
  <c r="AI58" i="9" s="1"/>
  <c r="AA91" i="9"/>
  <c r="AC58" i="9"/>
  <c r="AP205" i="4"/>
  <c r="AO205" i="4"/>
  <c r="AL128" i="4"/>
  <c r="AK128" i="4"/>
  <c r="AX344" i="4"/>
  <c r="AY344" i="4"/>
  <c r="AG570" i="4"/>
  <c r="AH570" i="4"/>
  <c r="BA673" i="4"/>
  <c r="BB673" i="4"/>
  <c r="AI744" i="4"/>
  <c r="AH744" i="4"/>
  <c r="AK522" i="4"/>
  <c r="AL522" i="4"/>
  <c r="AO718" i="4"/>
  <c r="AP718" i="4"/>
  <c r="AG733" i="4"/>
  <c r="AH733" i="4"/>
  <c r="AX47" i="4"/>
  <c r="AW47" i="4"/>
  <c r="AK493" i="4"/>
  <c r="AL493" i="4"/>
  <c r="AY60" i="4"/>
  <c r="AW60" i="4"/>
  <c r="BB294" i="4"/>
  <c r="BA294" i="4"/>
  <c r="AH475" i="4"/>
  <c r="AI475" i="4"/>
  <c r="BB74" i="4"/>
  <c r="BC74" i="4"/>
  <c r="AX437" i="4"/>
  <c r="AW437" i="4"/>
  <c r="AX346" i="4"/>
  <c r="AW346" i="4"/>
  <c r="AK549" i="4"/>
  <c r="AL549" i="4"/>
  <c r="AU232" i="4"/>
  <c r="AT232" i="4"/>
  <c r="AT410" i="4"/>
  <c r="AU410" i="4"/>
  <c r="AL264" i="4"/>
  <c r="AM264" i="4"/>
  <c r="AW743" i="4"/>
  <c r="AX743" i="4"/>
  <c r="AH357" i="4"/>
  <c r="AG357" i="4"/>
  <c r="AO791" i="4"/>
  <c r="AP791" i="4"/>
  <c r="AO776" i="4"/>
  <c r="AP776" i="4"/>
  <c r="AL599" i="4"/>
  <c r="AM599" i="4"/>
  <c r="AK759" i="4"/>
  <c r="AL759" i="4"/>
  <c r="AX806" i="4"/>
  <c r="AY806" i="4"/>
  <c r="AP531" i="4"/>
  <c r="AQ531" i="4"/>
  <c r="AK765" i="4"/>
  <c r="AL765" i="4"/>
  <c r="AK858" i="4"/>
  <c r="AL858" i="4"/>
  <c r="AK792" i="4"/>
  <c r="AL792" i="4"/>
  <c r="AL600" i="4"/>
  <c r="AM600" i="4"/>
  <c r="AK859" i="4"/>
  <c r="AL859" i="4"/>
  <c r="AG759" i="4"/>
  <c r="AH759" i="4"/>
  <c r="AP409" i="4"/>
  <c r="AQ409" i="4"/>
  <c r="AX475" i="4"/>
  <c r="AY475" i="4"/>
  <c r="AW417" i="4"/>
  <c r="AY417" i="4"/>
  <c r="BB510" i="4"/>
  <c r="BA510" i="4"/>
  <c r="AP555" i="4"/>
  <c r="AO555" i="4"/>
  <c r="AT833" i="4"/>
  <c r="AU833" i="4"/>
  <c r="CC62" i="9"/>
  <c r="AY750" i="4"/>
  <c r="BA113" i="4"/>
  <c r="BB113" i="4"/>
  <c r="AU112" i="4"/>
  <c r="AT112" i="4"/>
  <c r="AX281" i="4"/>
  <c r="AW281" i="4"/>
  <c r="AP39" i="4"/>
  <c r="AQ39" i="4"/>
  <c r="AP201" i="4"/>
  <c r="AQ201" i="4"/>
  <c r="Q45" i="9"/>
  <c r="O78" i="9"/>
  <c r="Q78" i="9" s="1"/>
  <c r="AH219" i="4"/>
  <c r="AG219" i="4"/>
  <c r="AX343" i="4"/>
  <c r="AY343" i="4"/>
  <c r="AQ379" i="4"/>
  <c r="AP379" i="4"/>
  <c r="AH749" i="4"/>
  <c r="AG749" i="4"/>
  <c r="AK528" i="4"/>
  <c r="AL528" i="4"/>
  <c r="AT481" i="4"/>
  <c r="AS481" i="4"/>
  <c r="AH740" i="4"/>
  <c r="AI740" i="4"/>
  <c r="AX503" i="4"/>
  <c r="AW503" i="4"/>
  <c r="BC284" i="4"/>
  <c r="BB284" i="4"/>
  <c r="BB89" i="4"/>
  <c r="BA89" i="4"/>
  <c r="BA295" i="4"/>
  <c r="BB295" i="4"/>
  <c r="AQ451" i="4"/>
  <c r="AP451" i="4"/>
  <c r="AG552" i="4"/>
  <c r="AH552" i="4"/>
  <c r="AT224" i="4"/>
  <c r="AS224" i="4"/>
  <c r="BK81" i="9"/>
  <c r="BM48" i="9"/>
  <c r="BQ48" i="9"/>
  <c r="BS48" i="9" s="1"/>
  <c r="AY429" i="4"/>
  <c r="AW429" i="4"/>
  <c r="AL496" i="4"/>
  <c r="AK496" i="4"/>
  <c r="AU550" i="4"/>
  <c r="AT550" i="4"/>
  <c r="AH355" i="4"/>
  <c r="AI355" i="4"/>
  <c r="AP811" i="4"/>
  <c r="AQ811" i="4"/>
  <c r="AP349" i="4"/>
  <c r="AQ349" i="4"/>
  <c r="AK820" i="4"/>
  <c r="AL820" i="4"/>
  <c r="AK798" i="4"/>
  <c r="AL798" i="4"/>
  <c r="AM775" i="4"/>
  <c r="AL775" i="4"/>
  <c r="AH775" i="4"/>
  <c r="AI775" i="4"/>
  <c r="AQ412" i="4"/>
  <c r="AP412" i="4"/>
  <c r="AW479" i="4"/>
  <c r="AX479" i="4"/>
  <c r="AX409" i="4"/>
  <c r="AY409" i="4"/>
  <c r="AP550" i="4"/>
  <c r="AQ550" i="4"/>
  <c r="AS570" i="4"/>
  <c r="AT570" i="4"/>
  <c r="AY416" i="4"/>
  <c r="AQ738" i="4"/>
  <c r="AT118" i="4"/>
  <c r="AS118" i="4"/>
  <c r="AU24" i="9"/>
  <c r="AS57" i="9"/>
  <c r="AP204" i="4"/>
  <c r="AO204" i="4"/>
  <c r="AS117" i="4"/>
  <c r="AT117" i="4"/>
  <c r="BY61" i="9"/>
  <c r="BW94" i="9"/>
  <c r="X64" i="9"/>
  <c r="U97" i="9"/>
  <c r="X97" i="9" s="1"/>
  <c r="BB234" i="4"/>
  <c r="BA234" i="4"/>
  <c r="AH533" i="4"/>
  <c r="AI533" i="4"/>
  <c r="AU355" i="4"/>
  <c r="AT355" i="4"/>
  <c r="AM533" i="4"/>
  <c r="AL533" i="4"/>
  <c r="AW498" i="4"/>
  <c r="AY498" i="4"/>
  <c r="AX44" i="4"/>
  <c r="AY44" i="4"/>
  <c r="BB82" i="4"/>
  <c r="BC82" i="4"/>
  <c r="AL354" i="4"/>
  <c r="AM354" i="4"/>
  <c r="AK377" i="4"/>
  <c r="AL377" i="4"/>
  <c r="AK557" i="4"/>
  <c r="AL557" i="4"/>
  <c r="AT236" i="4"/>
  <c r="AS236" i="4"/>
  <c r="AH471" i="4"/>
  <c r="AI471" i="4"/>
  <c r="AU560" i="4"/>
  <c r="AT560" i="4"/>
  <c r="AW825" i="4"/>
  <c r="AY825" i="4"/>
  <c r="AI350" i="4"/>
  <c r="AH350" i="4"/>
  <c r="AP799" i="4"/>
  <c r="AQ799" i="4"/>
  <c r="AT713" i="4"/>
  <c r="AU713" i="4"/>
  <c r="BA857" i="4"/>
  <c r="BB857" i="4"/>
  <c r="AP361" i="4"/>
  <c r="AQ361" i="4"/>
  <c r="AM865" i="4"/>
  <c r="AL865" i="4"/>
  <c r="AL808" i="4"/>
  <c r="AM808" i="4"/>
  <c r="I83" i="9"/>
  <c r="L83" i="9" s="1"/>
  <c r="L100" i="9" s="1"/>
  <c r="L50" i="9"/>
  <c r="L67" i="9" s="1"/>
  <c r="AL590" i="4"/>
  <c r="AM590" i="4"/>
  <c r="AL758" i="4"/>
  <c r="AK758" i="4"/>
  <c r="AH771" i="4"/>
  <c r="AI771" i="4"/>
  <c r="AQ400" i="4"/>
  <c r="AP400" i="4"/>
  <c r="AW459" i="4"/>
  <c r="AY459" i="4"/>
  <c r="AW419" i="4"/>
  <c r="AX419" i="4"/>
  <c r="AO567" i="4"/>
  <c r="AP567" i="4"/>
  <c r="AS706" i="4"/>
  <c r="AT706" i="4"/>
  <c r="BA553" i="4"/>
  <c r="BB553" i="4"/>
  <c r="AS194" i="4"/>
  <c r="AH251" i="4"/>
  <c r="AU711" i="4"/>
  <c r="Z18" i="63"/>
  <c r="Q27" i="63" s="1"/>
  <c r="AW118" i="4"/>
  <c r="AX118" i="4"/>
  <c r="AK192" i="4"/>
  <c r="AL192" i="4"/>
  <c r="W15" i="9"/>
  <c r="U48" i="9"/>
  <c r="AQ331" i="4"/>
  <c r="AP331" i="4"/>
  <c r="AY206" i="4"/>
  <c r="AX206" i="4"/>
  <c r="AT149" i="4"/>
  <c r="AS149" i="4"/>
  <c r="AG13" i="4"/>
  <c r="AH13" i="4"/>
  <c r="AM234" i="4"/>
  <c r="AL234" i="4"/>
  <c r="AW340" i="4"/>
  <c r="AX340" i="4"/>
  <c r="BB704" i="4"/>
  <c r="BC704" i="4"/>
  <c r="BQ53" i="9"/>
  <c r="BT53" i="9" s="1"/>
  <c r="BK86" i="9"/>
  <c r="BN53" i="9"/>
  <c r="AX59" i="4"/>
  <c r="AW59" i="4"/>
  <c r="BA299" i="4"/>
  <c r="BB299" i="4"/>
  <c r="AT341" i="4"/>
  <c r="AU341" i="4"/>
  <c r="AY499" i="4"/>
  <c r="AX499" i="4"/>
  <c r="AM356" i="4"/>
  <c r="AL356" i="4"/>
  <c r="AM385" i="4"/>
  <c r="AL385" i="4"/>
  <c r="AT228" i="4"/>
  <c r="AS228" i="4"/>
  <c r="AM510" i="4"/>
  <c r="AL510" i="4"/>
  <c r="AM506" i="4"/>
  <c r="AL506" i="4"/>
  <c r="AP825" i="4"/>
  <c r="AO825" i="4"/>
  <c r="AL804" i="4"/>
  <c r="AM804" i="4"/>
  <c r="AH360" i="4"/>
  <c r="AG360" i="4"/>
  <c r="AO795" i="4"/>
  <c r="AP795" i="4"/>
  <c r="AT791" i="4"/>
  <c r="AU791" i="4"/>
  <c r="BA803" i="4"/>
  <c r="BB803" i="4"/>
  <c r="AO357" i="4"/>
  <c r="AP357" i="4"/>
  <c r="AQ541" i="4"/>
  <c r="AP541" i="4"/>
  <c r="L58" i="9"/>
  <c r="I91" i="9"/>
  <c r="L91" i="9" s="1"/>
  <c r="AL586" i="4"/>
  <c r="AK586" i="4"/>
  <c r="AL805" i="4"/>
  <c r="AM805" i="4"/>
  <c r="AP419" i="4"/>
  <c r="AQ419" i="4"/>
  <c r="AT702" i="4"/>
  <c r="AU702" i="4"/>
  <c r="AL488" i="4"/>
  <c r="AH500" i="4"/>
  <c r="X186" i="63"/>
  <c r="Q193" i="63" s="1"/>
  <c r="Q48" i="9"/>
  <c r="O81" i="9"/>
  <c r="Q81" i="9" s="1"/>
  <c r="BY46" i="9"/>
  <c r="BW79" i="9"/>
  <c r="CC46" i="9"/>
  <c r="CE46" i="9" s="1"/>
  <c r="BB120" i="4"/>
  <c r="BA120" i="4"/>
  <c r="AO39" i="9"/>
  <c r="AM72" i="9"/>
  <c r="AO72" i="9" s="1"/>
  <c r="AY121" i="4"/>
  <c r="AX121" i="4"/>
  <c r="AI55" i="4"/>
  <c r="AH55" i="4"/>
  <c r="AW208" i="4"/>
  <c r="AX208" i="4"/>
  <c r="AQ241" i="4"/>
  <c r="AP241" i="4"/>
  <c r="AS348" i="4"/>
  <c r="AT348" i="4"/>
  <c r="AG611" i="4"/>
  <c r="AH611" i="4"/>
  <c r="AT472" i="4"/>
  <c r="AU472" i="4"/>
  <c r="BB710" i="4"/>
  <c r="BC710" i="4"/>
  <c r="AG541" i="4"/>
  <c r="AH541" i="4"/>
  <c r="AW359" i="4"/>
  <c r="AX359" i="4"/>
  <c r="AM541" i="4"/>
  <c r="AL541" i="4"/>
  <c r="AY511" i="4"/>
  <c r="AX511" i="4"/>
  <c r="AX355" i="4"/>
  <c r="AY355" i="4"/>
  <c r="AY55" i="4"/>
  <c r="AX55" i="4"/>
  <c r="BC292" i="4"/>
  <c r="BB292" i="4"/>
  <c r="BA72" i="4"/>
  <c r="BB72" i="4"/>
  <c r="BB40" i="4"/>
  <c r="BC40" i="4"/>
  <c r="BC370" i="4"/>
  <c r="BB370" i="4"/>
  <c r="BB413" i="4"/>
  <c r="BA413" i="4"/>
  <c r="AU220" i="4"/>
  <c r="AT220" i="4"/>
  <c r="AK520" i="4"/>
  <c r="AL520" i="4"/>
  <c r="AK796" i="4"/>
  <c r="AL796" i="4"/>
  <c r="AH351" i="4"/>
  <c r="AI351" i="4"/>
  <c r="AP355" i="4"/>
  <c r="AO355" i="4"/>
  <c r="AP537" i="4"/>
  <c r="AO537" i="4"/>
  <c r="AM776" i="4"/>
  <c r="AL776" i="4"/>
  <c r="BB832" i="4"/>
  <c r="BC832" i="4"/>
  <c r="AK579" i="4"/>
  <c r="AL579" i="4"/>
  <c r="BB808" i="4"/>
  <c r="BC808" i="4"/>
  <c r="AQ408" i="4"/>
  <c r="AP408" i="4"/>
  <c r="AO834" i="4"/>
  <c r="AP834" i="4"/>
  <c r="AX404" i="4"/>
  <c r="AY404" i="4"/>
  <c r="AP570" i="4"/>
  <c r="AQ570" i="4"/>
  <c r="BA835" i="4"/>
  <c r="BB835" i="4"/>
  <c r="AP571" i="4"/>
  <c r="AQ571" i="4"/>
  <c r="AH31" i="4"/>
  <c r="AL387" i="4"/>
  <c r="AL361" i="4"/>
  <c r="BN52" i="9"/>
  <c r="BK85" i="9"/>
  <c r="BQ52" i="9"/>
  <c r="BT52" i="9" s="1"/>
  <c r="AX179" i="4"/>
  <c r="AW179" i="4"/>
  <c r="AX205" i="4"/>
  <c r="AY205" i="4"/>
  <c r="BB74" i="9"/>
  <c r="BE74" i="9"/>
  <c r="BH74" i="9" s="1"/>
  <c r="AO255" i="4"/>
  <c r="AP255" i="4"/>
  <c r="BB288" i="4"/>
  <c r="BA288" i="4"/>
  <c r="CE85" i="9"/>
  <c r="CF85" i="9"/>
  <c r="AK491" i="4"/>
  <c r="AL491" i="4"/>
  <c r="BB713" i="4"/>
  <c r="BA713" i="4"/>
  <c r="AT345" i="4"/>
  <c r="AS345" i="4"/>
  <c r="AY43" i="4"/>
  <c r="AX43" i="4"/>
  <c r="BC298" i="4"/>
  <c r="BB298" i="4"/>
  <c r="BC46" i="4"/>
  <c r="BB46" i="4"/>
  <c r="AO376" i="4"/>
  <c r="AP376" i="4"/>
  <c r="BB568" i="4"/>
  <c r="BC568" i="4"/>
  <c r="AU222" i="4"/>
  <c r="AT222" i="4"/>
  <c r="BC238" i="4"/>
  <c r="BB238" i="4"/>
  <c r="AP707" i="4"/>
  <c r="AQ707" i="4"/>
  <c r="AK855" i="4"/>
  <c r="AL855" i="4"/>
  <c r="AL800" i="4"/>
  <c r="AM800" i="4"/>
  <c r="AH358" i="4"/>
  <c r="AG358" i="4"/>
  <c r="AT788" i="4"/>
  <c r="AU788" i="4"/>
  <c r="AP536" i="4"/>
  <c r="AO536" i="4"/>
  <c r="AQ470" i="4"/>
  <c r="AP470" i="4"/>
  <c r="AP404" i="4"/>
  <c r="AO404" i="4"/>
  <c r="AO826" i="4"/>
  <c r="AP826" i="4"/>
  <c r="AO564" i="4"/>
  <c r="AP564" i="4"/>
  <c r="AT553" i="4"/>
  <c r="AU553" i="4"/>
  <c r="AS705" i="4"/>
  <c r="AT705" i="4"/>
  <c r="AQ839" i="4"/>
  <c r="AP839" i="4"/>
  <c r="AP56" i="4"/>
  <c r="AQ139" i="4"/>
  <c r="AS329" i="4"/>
  <c r="H4" i="47"/>
  <c r="AJ292" i="62"/>
  <c r="Y303" i="62" s="1"/>
  <c r="J30" i="62" s="1"/>
  <c r="S30" i="62" s="1"/>
  <c r="AS90" i="4"/>
  <c r="AL323" i="4"/>
  <c r="AG309" i="4"/>
  <c r="AL347" i="4"/>
  <c r="AM601" i="4"/>
  <c r="F54" i="9"/>
  <c r="C87" i="9"/>
  <c r="F87" i="9" s="1"/>
  <c r="AD62" i="9"/>
  <c r="AA95" i="9"/>
  <c r="AX209" i="4"/>
  <c r="AW209" i="4"/>
  <c r="AK40" i="4"/>
  <c r="AL40" i="4"/>
  <c r="AQ138" i="4"/>
  <c r="AP138" i="4"/>
  <c r="AG82" i="9"/>
  <c r="AJ82" i="9" s="1"/>
  <c r="AD82" i="9"/>
  <c r="AO325" i="4"/>
  <c r="AP325" i="4"/>
  <c r="R39" i="9"/>
  <c r="O72" i="9"/>
  <c r="R72" i="9" s="1"/>
  <c r="AV43" i="9"/>
  <c r="AS76" i="9"/>
  <c r="AV76" i="9" s="1"/>
  <c r="AH319" i="4"/>
  <c r="AI319" i="4"/>
  <c r="AM359" i="4"/>
  <c r="AL359" i="4"/>
  <c r="AG673" i="4"/>
  <c r="AH673" i="4"/>
  <c r="AK497" i="4"/>
  <c r="AL497" i="4"/>
  <c r="AO716" i="4"/>
  <c r="AP716" i="4"/>
  <c r="AM351" i="4"/>
  <c r="AL351" i="4"/>
  <c r="AH554" i="4"/>
  <c r="AI554" i="4"/>
  <c r="AY379" i="4"/>
  <c r="AX379" i="4"/>
  <c r="BB558" i="4"/>
  <c r="BA558" i="4"/>
  <c r="BN44" i="9"/>
  <c r="BK77" i="9"/>
  <c r="BQ44" i="9"/>
  <c r="BT44" i="9" s="1"/>
  <c r="AY361" i="4"/>
  <c r="AX361" i="4"/>
  <c r="AK551" i="4"/>
  <c r="AL551" i="4"/>
  <c r="AG518" i="4"/>
  <c r="AH518" i="4"/>
  <c r="AO641" i="4"/>
  <c r="AP641" i="4"/>
  <c r="AW431" i="4"/>
  <c r="AX431" i="4"/>
  <c r="AK348" i="4"/>
  <c r="AL348" i="4"/>
  <c r="BC230" i="4"/>
  <c r="BB230" i="4"/>
  <c r="AP710" i="4"/>
  <c r="AQ710" i="4"/>
  <c r="AI532" i="4"/>
  <c r="AH532" i="4"/>
  <c r="BB860" i="4"/>
  <c r="BC860" i="4"/>
  <c r="AW810" i="4"/>
  <c r="AY810" i="4"/>
  <c r="AM802" i="4"/>
  <c r="AL802" i="4"/>
  <c r="AQ360" i="4"/>
  <c r="AP360" i="4"/>
  <c r="AO523" i="4"/>
  <c r="AP523" i="4"/>
  <c r="AT509" i="4"/>
  <c r="AS509" i="4"/>
  <c r="AP469" i="4"/>
  <c r="AQ469" i="4"/>
  <c r="AP411" i="4"/>
  <c r="AQ411" i="4"/>
  <c r="AO838" i="4"/>
  <c r="AP838" i="4"/>
  <c r="AH651" i="4"/>
  <c r="AI651" i="4"/>
  <c r="AS571" i="4"/>
  <c r="AT571" i="4"/>
  <c r="AS721" i="4"/>
  <c r="AT721" i="4"/>
  <c r="W44" i="9"/>
  <c r="U77" i="9"/>
  <c r="W77" i="9" s="1"/>
  <c r="AT330" i="4"/>
  <c r="AU715" i="4"/>
  <c r="AS588" i="4"/>
  <c r="V354" i="63"/>
  <c r="Q359" i="63" s="1"/>
  <c r="AK316" i="62"/>
  <c r="Y328" i="62" s="1"/>
  <c r="K16" i="62" s="1"/>
  <c r="T16" i="62" s="1"/>
  <c r="AL31" i="4"/>
  <c r="AW106" i="4"/>
  <c r="AO705" i="4"/>
  <c r="AJ71" i="9"/>
  <c r="AI71" i="9"/>
  <c r="AQ181" i="4"/>
  <c r="AP181" i="4"/>
  <c r="AL222" i="4"/>
  <c r="AK222" i="4"/>
  <c r="AX331" i="4"/>
  <c r="AY331" i="4"/>
  <c r="AU52" i="4"/>
  <c r="AT52" i="4"/>
  <c r="BC700" i="4"/>
  <c r="BB700" i="4"/>
  <c r="AL507" i="4"/>
  <c r="AM507" i="4"/>
  <c r="AG731" i="4"/>
  <c r="AH731" i="4"/>
  <c r="AW582" i="4"/>
  <c r="AY582" i="4"/>
  <c r="AM391" i="4"/>
  <c r="AL391" i="4"/>
  <c r="BB561" i="4"/>
  <c r="BC561" i="4"/>
  <c r="X66" i="9"/>
  <c r="U99" i="9"/>
  <c r="X99" i="9" s="1"/>
  <c r="AL370" i="4"/>
  <c r="AK370" i="4"/>
  <c r="AO657" i="4"/>
  <c r="AP657" i="4"/>
  <c r="BC296" i="4"/>
  <c r="BB296" i="4"/>
  <c r="AK524" i="4"/>
  <c r="AL524" i="4"/>
  <c r="AO384" i="4"/>
  <c r="AP384" i="4"/>
  <c r="BA677" i="4"/>
  <c r="BB677" i="4"/>
  <c r="AP703" i="4"/>
  <c r="AO703" i="4"/>
  <c r="AK339" i="4"/>
  <c r="AL339" i="4"/>
  <c r="BB220" i="4"/>
  <c r="BC220" i="4"/>
  <c r="BB40" i="9"/>
  <c r="BE40" i="9"/>
  <c r="BH40" i="9" s="1"/>
  <c r="AY73" i="9"/>
  <c r="BA287" i="4"/>
  <c r="BB287" i="4"/>
  <c r="AK789" i="4"/>
  <c r="AL789" i="4"/>
  <c r="AJ92" i="9"/>
  <c r="AI92" i="9"/>
  <c r="AG342" i="4"/>
  <c r="AH342" i="4"/>
  <c r="BK92" i="9"/>
  <c r="BN59" i="9"/>
  <c r="BQ59" i="9"/>
  <c r="BT59" i="9" s="1"/>
  <c r="BA810" i="4"/>
  <c r="BB810" i="4"/>
  <c r="AP354" i="4"/>
  <c r="AO354" i="4"/>
  <c r="AT563" i="4"/>
  <c r="AU563" i="4"/>
  <c r="AL768" i="4"/>
  <c r="AK768" i="4"/>
  <c r="AL585" i="4"/>
  <c r="AK585" i="4"/>
  <c r="AU504" i="4"/>
  <c r="AT504" i="4"/>
  <c r="AP466" i="4"/>
  <c r="AO466" i="4"/>
  <c r="AL870" i="4"/>
  <c r="AM870" i="4"/>
  <c r="AO415" i="4"/>
  <c r="AP415" i="4"/>
  <c r="AG659" i="4"/>
  <c r="AH659" i="4"/>
  <c r="AS559" i="4"/>
  <c r="AT559" i="4"/>
  <c r="AT701" i="4"/>
  <c r="AU701" i="4"/>
  <c r="AQ52" i="4"/>
  <c r="AG626" i="4"/>
  <c r="AI340" i="62"/>
  <c r="Y350" i="62" s="1"/>
  <c r="K38" i="62" s="1"/>
  <c r="T38" i="62" s="1"/>
  <c r="AW191" i="4"/>
  <c r="AX191" i="4"/>
  <c r="AQ229" i="4"/>
  <c r="AP229" i="4"/>
  <c r="BB351" i="4"/>
  <c r="BC351" i="4"/>
  <c r="AT91" i="4"/>
  <c r="AS91" i="4"/>
  <c r="AT60" i="4"/>
  <c r="AS60" i="4"/>
  <c r="AG311" i="4"/>
  <c r="AH311" i="4"/>
  <c r="AU461" i="4"/>
  <c r="AT461" i="4"/>
  <c r="BA707" i="4"/>
  <c r="BB707" i="4"/>
  <c r="AG511" i="4"/>
  <c r="AH511" i="4"/>
  <c r="AK739" i="4"/>
  <c r="AL739" i="4"/>
  <c r="AL374" i="4"/>
  <c r="AK374" i="4"/>
  <c r="AW593" i="4"/>
  <c r="AX593" i="4"/>
  <c r="BA564" i="4"/>
  <c r="BB564" i="4"/>
  <c r="AA85" i="9"/>
  <c r="AD52" i="9"/>
  <c r="AG52" i="9"/>
  <c r="AC52" i="9"/>
  <c r="BC374" i="4"/>
  <c r="BB374" i="4"/>
  <c r="BW77" i="9"/>
  <c r="BZ44" i="9"/>
  <c r="CC44" i="9"/>
  <c r="CF44" i="9" s="1"/>
  <c r="BA281" i="4"/>
  <c r="BB281" i="4"/>
  <c r="AO388" i="4"/>
  <c r="AP388" i="4"/>
  <c r="AO688" i="4"/>
  <c r="AP688" i="4"/>
  <c r="AT469" i="4"/>
  <c r="AS469" i="4"/>
  <c r="AK762" i="4"/>
  <c r="AL762" i="4"/>
  <c r="AK819" i="4"/>
  <c r="AL819" i="4"/>
  <c r="BA433" i="4"/>
  <c r="BB433" i="4"/>
  <c r="AP340" i="4"/>
  <c r="AQ340" i="4"/>
  <c r="AT710" i="4"/>
  <c r="AU710" i="4"/>
  <c r="AU492" i="4"/>
  <c r="AT492" i="4"/>
  <c r="AP474" i="4"/>
  <c r="AO474" i="4"/>
  <c r="AP818" i="4"/>
  <c r="AQ818" i="4"/>
  <c r="AX421" i="4"/>
  <c r="AY421" i="4"/>
  <c r="AG639" i="4"/>
  <c r="AH639" i="4"/>
  <c r="AT568" i="4"/>
  <c r="AS568" i="4"/>
  <c r="Q186" i="63"/>
  <c r="AS244" i="62"/>
  <c r="Y264" i="62" s="1"/>
  <c r="I30" i="62" s="1"/>
  <c r="R30" i="62" s="1"/>
  <c r="AN340" i="62"/>
  <c r="Y355" i="62" s="1"/>
  <c r="AD306" i="63"/>
  <c r="Q319" i="63" s="1"/>
  <c r="AJ340" i="62"/>
  <c r="Y351" i="62" s="1"/>
  <c r="K39" i="62" s="1"/>
  <c r="T39" i="62" s="1"/>
  <c r="AU316" i="62"/>
  <c r="Y338" i="62" s="1"/>
  <c r="K26" i="62" s="1"/>
  <c r="T26" i="62" s="1"/>
  <c r="AL282" i="63"/>
  <c r="Q303" i="63" s="1"/>
  <c r="Y316" i="62"/>
  <c r="K4" i="62" s="1"/>
  <c r="T4" i="62" s="1"/>
  <c r="AL114" i="63"/>
  <c r="Q135" i="63" s="1"/>
  <c r="AM340" i="62"/>
  <c r="Y354" i="62" s="1"/>
  <c r="K42" i="62" s="1"/>
  <c r="T42" i="62" s="1"/>
  <c r="AB20" i="3"/>
  <c r="O21" i="52"/>
  <c r="O22" i="52" s="1"/>
  <c r="I9" i="53"/>
  <c r="AA20" i="3"/>
  <c r="AO244" i="62"/>
  <c r="Y260" i="62" s="1"/>
  <c r="I26" i="62" s="1"/>
  <c r="R26" i="62" s="1"/>
  <c r="Z340" i="62"/>
  <c r="Y341" i="62" s="1"/>
  <c r="K29" i="62" s="1"/>
  <c r="T29" i="62" s="1"/>
  <c r="AB19" i="3"/>
  <c r="AE340" i="62"/>
  <c r="Y346" i="62" s="1"/>
  <c r="K34" i="62" s="1"/>
  <c r="T34" i="62" s="1"/>
  <c r="F17" i="48"/>
  <c r="F19" i="48" s="1"/>
  <c r="F32" i="48" s="1"/>
  <c r="H14" i="52" s="1"/>
  <c r="AU13" i="9"/>
  <c r="AS46" i="9"/>
  <c r="W13" i="9"/>
  <c r="U46" i="9"/>
  <c r="AU15" i="9"/>
  <c r="AS48" i="9"/>
  <c r="AU26" i="9"/>
  <c r="AS59" i="9"/>
  <c r="AS50" i="9"/>
  <c r="AV17" i="9"/>
  <c r="X32" i="9"/>
  <c r="U65" i="9"/>
  <c r="AA90" i="9"/>
  <c r="AC57" i="9"/>
  <c r="AG57" i="9"/>
  <c r="AI57" i="9" s="1"/>
  <c r="AV63" i="9"/>
  <c r="AS96" i="9"/>
  <c r="AV96" i="9" s="1"/>
  <c r="AU21" i="4"/>
  <c r="AT21" i="4"/>
  <c r="AP45" i="4"/>
  <c r="AO45" i="4"/>
  <c r="AQ49" i="4"/>
  <c r="AP49" i="4"/>
  <c r="BB70" i="4"/>
  <c r="BC70" i="4"/>
  <c r="BB73" i="4"/>
  <c r="BA73" i="4"/>
  <c r="AH86" i="4"/>
  <c r="AG86" i="4"/>
  <c r="AM89" i="4"/>
  <c r="AL89" i="4"/>
  <c r="BA174" i="4"/>
  <c r="BB174" i="4"/>
  <c r="AO27" i="4"/>
  <c r="AP27" i="4"/>
  <c r="AG61" i="4"/>
  <c r="AH61" i="4"/>
  <c r="AH75" i="4"/>
  <c r="AI75" i="4"/>
  <c r="AG72" i="4"/>
  <c r="AH72" i="4"/>
  <c r="AU84" i="4"/>
  <c r="AT84" i="4"/>
  <c r="AU71" i="4"/>
  <c r="AT71" i="4"/>
  <c r="AL77" i="4"/>
  <c r="AK77" i="4"/>
  <c r="AM50" i="4"/>
  <c r="AL50" i="4"/>
  <c r="BB54" i="4"/>
  <c r="BA54" i="4"/>
  <c r="AX89" i="4"/>
  <c r="AW89" i="4"/>
  <c r="AX70" i="4"/>
  <c r="AW70" i="4"/>
  <c r="BB77" i="4"/>
  <c r="BA77" i="4"/>
  <c r="AM87" i="4"/>
  <c r="AL87" i="4"/>
  <c r="AM90" i="4"/>
  <c r="AL90" i="4"/>
  <c r="AT128" i="4"/>
  <c r="AU128" i="4"/>
  <c r="BB48" i="9"/>
  <c r="AY81" i="9"/>
  <c r="BE48" i="9"/>
  <c r="BH48" i="9" s="1"/>
  <c r="AP60" i="9"/>
  <c r="AM93" i="9"/>
  <c r="AP93" i="9" s="1"/>
  <c r="AP29" i="4"/>
  <c r="AQ29" i="4"/>
  <c r="AM85" i="4"/>
  <c r="AL85" i="4"/>
  <c r="AK71" i="4"/>
  <c r="AL71" i="4"/>
  <c r="AQ197" i="4"/>
  <c r="AP197" i="4"/>
  <c r="BA205" i="4"/>
  <c r="BB205" i="4"/>
  <c r="AT312" i="4"/>
  <c r="AU312" i="4"/>
  <c r="AH354" i="4"/>
  <c r="AI354" i="4"/>
  <c r="AS389" i="4"/>
  <c r="AT389" i="4"/>
  <c r="AL405" i="4"/>
  <c r="AK405" i="4"/>
  <c r="AH408" i="4"/>
  <c r="AI408" i="4"/>
  <c r="AL412" i="4"/>
  <c r="AM412" i="4"/>
  <c r="AY414" i="4"/>
  <c r="AW414" i="4"/>
  <c r="AG420" i="4"/>
  <c r="AH420" i="4"/>
  <c r="AU432" i="4"/>
  <c r="AT432" i="4"/>
  <c r="AH449" i="4"/>
  <c r="AG449" i="4"/>
  <c r="BB504" i="4"/>
  <c r="BA504" i="4"/>
  <c r="AY147" i="4"/>
  <c r="AW147" i="4"/>
  <c r="AY141" i="4"/>
  <c r="AW141" i="4"/>
  <c r="AY145" i="4"/>
  <c r="AX145" i="4"/>
  <c r="AQ199" i="4"/>
  <c r="AP199" i="4"/>
  <c r="BB189" i="4"/>
  <c r="BC189" i="4"/>
  <c r="AK252" i="4"/>
  <c r="AL252" i="4"/>
  <c r="AH256" i="4"/>
  <c r="AI256" i="4"/>
  <c r="AO266" i="4"/>
  <c r="AP266" i="4"/>
  <c r="AP271" i="4"/>
  <c r="AQ271" i="4"/>
  <c r="AS316" i="4"/>
  <c r="AT316" i="4"/>
  <c r="AU324" i="4"/>
  <c r="AT324" i="4"/>
  <c r="AH328" i="4"/>
  <c r="AG328" i="4"/>
  <c r="BB369" i="4"/>
  <c r="BC369" i="4"/>
  <c r="AH180" i="4"/>
  <c r="AG180" i="4"/>
  <c r="AT202" i="4"/>
  <c r="AU202" i="4"/>
  <c r="AK248" i="4"/>
  <c r="AL248" i="4"/>
  <c r="AO253" i="4"/>
  <c r="AP253" i="4"/>
  <c r="AK259" i="4"/>
  <c r="AL259" i="4"/>
  <c r="AO263" i="4"/>
  <c r="AP263" i="4"/>
  <c r="AL268" i="4"/>
  <c r="AM268" i="4"/>
  <c r="AH310" i="4"/>
  <c r="AG310" i="4"/>
  <c r="AG326" i="4"/>
  <c r="AH326" i="4"/>
  <c r="AO345" i="4"/>
  <c r="AP345" i="4"/>
  <c r="BA347" i="4"/>
  <c r="BB347" i="4"/>
  <c r="AO403" i="4"/>
  <c r="AP403" i="4"/>
  <c r="AS507" i="4"/>
  <c r="AT507" i="4"/>
  <c r="AT491" i="4"/>
  <c r="AU491" i="4"/>
  <c r="AH524" i="4"/>
  <c r="AI524" i="4"/>
  <c r="AX529" i="4"/>
  <c r="AY529" i="4"/>
  <c r="AG537" i="4"/>
  <c r="AH537" i="4"/>
  <c r="AS584" i="4"/>
  <c r="AT584" i="4"/>
  <c r="AS601" i="4"/>
  <c r="AT601" i="4"/>
  <c r="AH619" i="4"/>
  <c r="AI619" i="4"/>
  <c r="AG630" i="4"/>
  <c r="AH630" i="4"/>
  <c r="AP668" i="4"/>
  <c r="AQ668" i="4"/>
  <c r="AG700" i="4"/>
  <c r="AH700" i="4"/>
  <c r="AS704" i="4"/>
  <c r="AT704" i="4"/>
  <c r="BB467" i="4"/>
  <c r="BA467" i="4"/>
  <c r="AI505" i="4"/>
  <c r="AH505" i="4"/>
  <c r="AH520" i="4"/>
  <c r="AG520" i="4"/>
  <c r="AH530" i="4"/>
  <c r="AI530" i="4"/>
  <c r="AO645" i="4"/>
  <c r="AP645" i="4"/>
  <c r="AY674" i="4"/>
  <c r="AX674" i="4"/>
  <c r="BA684" i="4"/>
  <c r="BB684" i="4"/>
  <c r="AK701" i="4"/>
  <c r="AL701" i="4"/>
  <c r="AM479" i="4"/>
  <c r="AL479" i="4"/>
  <c r="BA474" i="4"/>
  <c r="BB474" i="4"/>
  <c r="AG601" i="4"/>
  <c r="AH601" i="4"/>
  <c r="AG582" i="4"/>
  <c r="AH582" i="4"/>
  <c r="AG597" i="4"/>
  <c r="AH597" i="4"/>
  <c r="AX655" i="4"/>
  <c r="AY655" i="4"/>
  <c r="AU745" i="4"/>
  <c r="AT745" i="4"/>
  <c r="AT744" i="4"/>
  <c r="AU744" i="4"/>
  <c r="AK788" i="4"/>
  <c r="AL788" i="4"/>
  <c r="BA828" i="4"/>
  <c r="BB828" i="4"/>
  <c r="BB836" i="4"/>
  <c r="BC836" i="4"/>
  <c r="AS856" i="4"/>
  <c r="AT856" i="4"/>
  <c r="AH860" i="4"/>
  <c r="AI860" i="4"/>
  <c r="AM864" i="4"/>
  <c r="AL864" i="4"/>
  <c r="AT682" i="4"/>
  <c r="AU682" i="4"/>
  <c r="AO773" i="4"/>
  <c r="AP773" i="4"/>
  <c r="AO792" i="4"/>
  <c r="AP792" i="4"/>
  <c r="AU803" i="4"/>
  <c r="AT803" i="4"/>
  <c r="AK828" i="4"/>
  <c r="AL828" i="4"/>
  <c r="BC838" i="4"/>
  <c r="BB838" i="4"/>
  <c r="AT865" i="4"/>
  <c r="AU865" i="4"/>
  <c r="AO508" i="4"/>
  <c r="AP508" i="4"/>
  <c r="AO505" i="4"/>
  <c r="AP505" i="4"/>
  <c r="AP495" i="4"/>
  <c r="AO495" i="4"/>
  <c r="AS616" i="4"/>
  <c r="AT616" i="4"/>
  <c r="AW700" i="4"/>
  <c r="AX700" i="4"/>
  <c r="AP739" i="4"/>
  <c r="AQ739" i="4"/>
  <c r="AP789" i="4"/>
  <c r="AQ789" i="4"/>
  <c r="AS799" i="4"/>
  <c r="AT799" i="4"/>
  <c r="BC820" i="4"/>
  <c r="BB820" i="4"/>
  <c r="AL832" i="4"/>
  <c r="AM832" i="4"/>
  <c r="AH848" i="4"/>
  <c r="AG848" i="4"/>
  <c r="AS854" i="4"/>
  <c r="AT854" i="4"/>
  <c r="BA528" i="4"/>
  <c r="BB528" i="4"/>
  <c r="AY567" i="4"/>
  <c r="AW567" i="4"/>
  <c r="AX559" i="4"/>
  <c r="AY559" i="4"/>
  <c r="AK673" i="4"/>
  <c r="AL673" i="4"/>
  <c r="AO731" i="4"/>
  <c r="AP731" i="4"/>
  <c r="F28" i="48"/>
  <c r="F33" i="48" s="1"/>
  <c r="I14" i="52" s="1"/>
  <c r="I15" i="53" s="1"/>
  <c r="W25" i="9"/>
  <c r="U58" i="9"/>
  <c r="AU22" i="9"/>
  <c r="AS55" i="9"/>
  <c r="W29" i="9"/>
  <c r="U62" i="9"/>
  <c r="AU32" i="9"/>
  <c r="AS65" i="9"/>
  <c r="AV61" i="9"/>
  <c r="AS94" i="9"/>
  <c r="AV94" i="9" s="1"/>
  <c r="AJ66" i="9"/>
  <c r="AI66" i="9"/>
  <c r="F56" i="9"/>
  <c r="C89" i="9"/>
  <c r="F89" i="9" s="1"/>
  <c r="AT10" i="4"/>
  <c r="AU10" i="4"/>
  <c r="AQ22" i="4"/>
  <c r="AP22" i="4"/>
  <c r="AH38" i="4"/>
  <c r="AG38" i="4"/>
  <c r="AP41" i="4"/>
  <c r="AO41" i="4"/>
  <c r="AQ38" i="4"/>
  <c r="AP38" i="4"/>
  <c r="AI47" i="4"/>
  <c r="AH47" i="4"/>
  <c r="BC69" i="4"/>
  <c r="BB69" i="4"/>
  <c r="BC68" i="4"/>
  <c r="BB68" i="4"/>
  <c r="AT82" i="4"/>
  <c r="AU82" i="4"/>
  <c r="AT87" i="4"/>
  <c r="AS87" i="4"/>
  <c r="AL91" i="4"/>
  <c r="AM91" i="4"/>
  <c r="AH45" i="4"/>
  <c r="AI45" i="4"/>
  <c r="AG69" i="4"/>
  <c r="AH69" i="4"/>
  <c r="AS74" i="4"/>
  <c r="AT74" i="4"/>
  <c r="AU80" i="4"/>
  <c r="AT80" i="4"/>
  <c r="AU69" i="4"/>
  <c r="AT69" i="4"/>
  <c r="AL80" i="4"/>
  <c r="AM80" i="4"/>
  <c r="BM80" i="9"/>
  <c r="BQ80" i="9"/>
  <c r="BS80" i="9" s="1"/>
  <c r="AU40" i="4"/>
  <c r="AT40" i="4"/>
  <c r="BC50" i="4"/>
  <c r="BB50" i="4"/>
  <c r="AW87" i="4"/>
  <c r="AY87" i="4"/>
  <c r="AW72" i="4"/>
  <c r="AY72" i="4"/>
  <c r="BA78" i="4"/>
  <c r="BB78" i="4"/>
  <c r="AG88" i="4"/>
  <c r="AH88" i="4"/>
  <c r="AU129" i="4"/>
  <c r="AT129" i="4"/>
  <c r="AY195" i="4"/>
  <c r="AW195" i="4"/>
  <c r="BA54" i="9"/>
  <c r="BE54" i="9"/>
  <c r="BG54" i="9" s="1"/>
  <c r="AY87" i="9"/>
  <c r="AQ8" i="4"/>
  <c r="AP8" i="4"/>
  <c r="AL82" i="4"/>
  <c r="AM82" i="4"/>
  <c r="AT160" i="4"/>
  <c r="AU160" i="4"/>
  <c r="AP192" i="4"/>
  <c r="AO192" i="4"/>
  <c r="BB206" i="4"/>
  <c r="BC206" i="4"/>
  <c r="AT320" i="4"/>
  <c r="AU320" i="4"/>
  <c r="AQ370" i="4"/>
  <c r="AP370" i="4"/>
  <c r="BB376" i="4"/>
  <c r="BC376" i="4"/>
  <c r="AS390" i="4"/>
  <c r="AT390" i="4"/>
  <c r="AH409" i="4"/>
  <c r="AI409" i="4"/>
  <c r="AW412" i="4"/>
  <c r="AX412" i="4"/>
  <c r="AQ420" i="4"/>
  <c r="AP420" i="4"/>
  <c r="BC430" i="4"/>
  <c r="BB430" i="4"/>
  <c r="AS468" i="4"/>
  <c r="AT468" i="4"/>
  <c r="BC506" i="4"/>
  <c r="BB506" i="4"/>
  <c r="AY144" i="4"/>
  <c r="AW144" i="4"/>
  <c r="AX137" i="4"/>
  <c r="AW137" i="4"/>
  <c r="AY140" i="4"/>
  <c r="AX140" i="4"/>
  <c r="AS168" i="4"/>
  <c r="AT168" i="4"/>
  <c r="AQ198" i="4"/>
  <c r="AP198" i="4"/>
  <c r="AW221" i="4"/>
  <c r="AX221" i="4"/>
  <c r="AG253" i="4"/>
  <c r="AH253" i="4"/>
  <c r="AH268" i="4"/>
  <c r="AG268" i="4"/>
  <c r="AQ291" i="4"/>
  <c r="AP291" i="4"/>
  <c r="AL315" i="4"/>
  <c r="AK315" i="4"/>
  <c r="AT317" i="4"/>
  <c r="AS317" i="4"/>
  <c r="AX325" i="4"/>
  <c r="AY325" i="4"/>
  <c r="AS375" i="4"/>
  <c r="AT375" i="4"/>
  <c r="AG179" i="4"/>
  <c r="AH179" i="4"/>
  <c r="AH167" i="4"/>
  <c r="AI167" i="4"/>
  <c r="AU200" i="4"/>
  <c r="AT200" i="4"/>
  <c r="AT191" i="4"/>
  <c r="AU191" i="4"/>
  <c r="AT248" i="4"/>
  <c r="AU248" i="4"/>
  <c r="AQ260" i="4"/>
  <c r="AP260" i="4"/>
  <c r="AH308" i="4"/>
  <c r="AG308" i="4"/>
  <c r="AH312" i="4"/>
  <c r="AG312" i="4"/>
  <c r="AH318" i="4"/>
  <c r="AI318" i="4"/>
  <c r="AU321" i="4"/>
  <c r="AT321" i="4"/>
  <c r="AT326" i="4"/>
  <c r="AS326" i="4"/>
  <c r="BA343" i="4"/>
  <c r="BB343" i="4"/>
  <c r="AG356" i="4"/>
  <c r="AH356" i="4"/>
  <c r="AT376" i="4"/>
  <c r="AS376" i="4"/>
  <c r="AT419" i="4"/>
  <c r="AS419" i="4"/>
  <c r="AY531" i="4"/>
  <c r="AW531" i="4"/>
  <c r="AH538" i="4"/>
  <c r="AG538" i="4"/>
  <c r="AM571" i="4"/>
  <c r="AL571" i="4"/>
  <c r="AS585" i="4"/>
  <c r="AT585" i="4"/>
  <c r="AI614" i="4"/>
  <c r="AH614" i="4"/>
  <c r="AH624" i="4"/>
  <c r="AI624" i="4"/>
  <c r="AG631" i="4"/>
  <c r="AH631" i="4"/>
  <c r="AP679" i="4"/>
  <c r="AQ679" i="4"/>
  <c r="AH706" i="4"/>
  <c r="AI706" i="4"/>
  <c r="AU714" i="4"/>
  <c r="AT714" i="4"/>
  <c r="AT718" i="4"/>
  <c r="AS718" i="4"/>
  <c r="AH492" i="4"/>
  <c r="AG492" i="4"/>
  <c r="AH495" i="4"/>
  <c r="AI495" i="4"/>
  <c r="AH523" i="4"/>
  <c r="AG523" i="4"/>
  <c r="AH531" i="4"/>
  <c r="AI531" i="4"/>
  <c r="AM566" i="4"/>
  <c r="AL566" i="4"/>
  <c r="AT591" i="4"/>
  <c r="AU591" i="4"/>
  <c r="AH618" i="4"/>
  <c r="AI618" i="4"/>
  <c r="AT652" i="4"/>
  <c r="AU652" i="4"/>
  <c r="AP676" i="4"/>
  <c r="AO676" i="4"/>
  <c r="AP691" i="4"/>
  <c r="AQ691" i="4"/>
  <c r="AK462" i="4"/>
  <c r="AL462" i="4"/>
  <c r="BC471" i="4"/>
  <c r="BB471" i="4"/>
  <c r="AG596" i="4"/>
  <c r="AH596" i="4"/>
  <c r="AG581" i="4"/>
  <c r="AH581" i="4"/>
  <c r="AW659" i="4"/>
  <c r="AX659" i="4"/>
  <c r="AW639" i="4"/>
  <c r="AY639" i="4"/>
  <c r="AP747" i="4"/>
  <c r="AO747" i="4"/>
  <c r="AT789" i="4"/>
  <c r="AU789" i="4"/>
  <c r="AK853" i="4"/>
  <c r="AL853" i="4"/>
  <c r="AK857" i="4"/>
  <c r="AL857" i="4"/>
  <c r="AH588" i="4"/>
  <c r="AI588" i="4"/>
  <c r="AU669" i="4"/>
  <c r="AT669" i="4"/>
  <c r="AO761" i="4"/>
  <c r="AP761" i="4"/>
  <c r="AS796" i="4"/>
  <c r="AT796" i="4"/>
  <c r="AS811" i="4"/>
  <c r="AT811" i="4"/>
  <c r="AT822" i="4"/>
  <c r="AU822" i="4"/>
  <c r="AT824" i="4"/>
  <c r="AS824" i="4"/>
  <c r="AM831" i="4"/>
  <c r="AL831" i="4"/>
  <c r="AH850" i="4"/>
  <c r="AG850" i="4"/>
  <c r="AG871" i="4"/>
  <c r="AH871" i="4"/>
  <c r="AO496" i="4"/>
  <c r="AP496" i="4"/>
  <c r="AQ489" i="4"/>
  <c r="AP489" i="4"/>
  <c r="AT732" i="4"/>
  <c r="AU732" i="4"/>
  <c r="AP790" i="4"/>
  <c r="AQ790" i="4"/>
  <c r="AU802" i="4"/>
  <c r="AT802" i="4"/>
  <c r="BB827" i="4"/>
  <c r="BA827" i="4"/>
  <c r="AG849" i="4"/>
  <c r="AH849" i="4"/>
  <c r="AS859" i="4"/>
  <c r="AT859" i="4"/>
  <c r="BB534" i="4"/>
  <c r="BA534" i="4"/>
  <c r="BB518" i="4"/>
  <c r="BC518" i="4"/>
  <c r="AX565" i="4"/>
  <c r="AY565" i="4"/>
  <c r="AK668" i="4"/>
  <c r="AL668" i="4"/>
  <c r="AA19" i="3"/>
  <c r="G31" i="46"/>
  <c r="G32" i="46" s="1"/>
  <c r="J35" i="46" s="1"/>
  <c r="F37" i="46" s="1"/>
  <c r="F42" i="46" s="1"/>
  <c r="L9" i="52" s="1"/>
  <c r="J5" i="51" s="1"/>
  <c r="X5" i="9"/>
  <c r="U38" i="9"/>
  <c r="CE19" i="9"/>
  <c r="CF19" i="9"/>
  <c r="AU25" i="9"/>
  <c r="AS58" i="9"/>
  <c r="X16" i="9"/>
  <c r="U49" i="9"/>
  <c r="CE26" i="9"/>
  <c r="CF26" i="9"/>
  <c r="AV31" i="9"/>
  <c r="AS64" i="9"/>
  <c r="X63" i="9"/>
  <c r="U96" i="9"/>
  <c r="X96" i="9" s="1"/>
  <c r="BA64" i="9"/>
  <c r="AY97" i="9"/>
  <c r="BN72" i="9"/>
  <c r="BQ72" i="9"/>
  <c r="BT72" i="9" s="1"/>
  <c r="AO26" i="4"/>
  <c r="AP26" i="4"/>
  <c r="AQ61" i="4"/>
  <c r="AP61" i="4"/>
  <c r="AP57" i="4"/>
  <c r="AO57" i="4"/>
  <c r="BB85" i="4"/>
  <c r="BA85" i="4"/>
  <c r="AG71" i="4"/>
  <c r="AH71" i="4"/>
  <c r="AI83" i="4"/>
  <c r="AH83" i="4"/>
  <c r="AM88" i="4"/>
  <c r="AL88" i="4"/>
  <c r="AO23" i="4"/>
  <c r="AP23" i="4"/>
  <c r="AI44" i="4"/>
  <c r="AH44" i="4"/>
  <c r="AH90" i="4"/>
  <c r="AG90" i="4"/>
  <c r="AT72" i="4"/>
  <c r="AU72" i="4"/>
  <c r="AT79" i="4"/>
  <c r="AS79" i="4"/>
  <c r="AL83" i="4"/>
  <c r="AM83" i="4"/>
  <c r="W60" i="9"/>
  <c r="U93" i="9"/>
  <c r="W93" i="9" s="1"/>
  <c r="AM58" i="4"/>
  <c r="AL58" i="4"/>
  <c r="AL46" i="4"/>
  <c r="AK46" i="4"/>
  <c r="AU38" i="4"/>
  <c r="AT38" i="4"/>
  <c r="BB42" i="4"/>
  <c r="BA42" i="4"/>
  <c r="AI52" i="4"/>
  <c r="AH52" i="4"/>
  <c r="AX82" i="4"/>
  <c r="AW82" i="4"/>
  <c r="AL72" i="4"/>
  <c r="AK72" i="4"/>
  <c r="AL84" i="4"/>
  <c r="AM84" i="4"/>
  <c r="AS88" i="4"/>
  <c r="AT88" i="4"/>
  <c r="AO131" i="4"/>
  <c r="AP131" i="4"/>
  <c r="F48" i="9"/>
  <c r="C81" i="9"/>
  <c r="F81" i="9" s="1"/>
  <c r="F100" i="9" s="1"/>
  <c r="BY53" i="9"/>
  <c r="CC53" i="9"/>
  <c r="CE53" i="9" s="1"/>
  <c r="BW86" i="9"/>
  <c r="AV27" i="9"/>
  <c r="AS60" i="9"/>
  <c r="AP31" i="4"/>
  <c r="AQ31" i="4"/>
  <c r="AL68" i="4"/>
  <c r="AK68" i="4"/>
  <c r="AM81" i="4"/>
  <c r="AL81" i="4"/>
  <c r="AQ188" i="4"/>
  <c r="AP188" i="4"/>
  <c r="BA193" i="4"/>
  <c r="BB193" i="4"/>
  <c r="BC200" i="4"/>
  <c r="BB200" i="4"/>
  <c r="BB207" i="4"/>
  <c r="BC207" i="4"/>
  <c r="AO372" i="4"/>
  <c r="AP372" i="4"/>
  <c r="AX398" i="4"/>
  <c r="AY398" i="4"/>
  <c r="AK403" i="4"/>
  <c r="AL403" i="4"/>
  <c r="AH407" i="4"/>
  <c r="AI407" i="4"/>
  <c r="AL410" i="4"/>
  <c r="AM410" i="4"/>
  <c r="AH413" i="4"/>
  <c r="AI413" i="4"/>
  <c r="AX418" i="4"/>
  <c r="AW418" i="4"/>
  <c r="AU430" i="4"/>
  <c r="AT430" i="4"/>
  <c r="BB501" i="4"/>
  <c r="BC501" i="4"/>
  <c r="AX149" i="4"/>
  <c r="AW149" i="4"/>
  <c r="AX128" i="4"/>
  <c r="AY128" i="4"/>
  <c r="AT164" i="4"/>
  <c r="AS164" i="4"/>
  <c r="AP193" i="4"/>
  <c r="AO193" i="4"/>
  <c r="AG248" i="4"/>
  <c r="AH248" i="4"/>
  <c r="AH263" i="4"/>
  <c r="AI263" i="4"/>
  <c r="AS268" i="4"/>
  <c r="AT268" i="4"/>
  <c r="AW315" i="4"/>
  <c r="AY315" i="4"/>
  <c r="AL319" i="4"/>
  <c r="AK319" i="4"/>
  <c r="AL326" i="4"/>
  <c r="AM326" i="4"/>
  <c r="AU384" i="4"/>
  <c r="AT384" i="4"/>
  <c r="AH176" i="4"/>
  <c r="AG176" i="4"/>
  <c r="AH163" i="4"/>
  <c r="AG163" i="4"/>
  <c r="AM261" i="4"/>
  <c r="AL261" i="4"/>
  <c r="AH266" i="4"/>
  <c r="AG266" i="4"/>
  <c r="AL271" i="4"/>
  <c r="AM271" i="4"/>
  <c r="AU308" i="4"/>
  <c r="AT308" i="4"/>
  <c r="AG331" i="4"/>
  <c r="AH331" i="4"/>
  <c r="AS344" i="4"/>
  <c r="AT344" i="4"/>
  <c r="BB346" i="4"/>
  <c r="BC346" i="4"/>
  <c r="BA348" i="4"/>
  <c r="BB348" i="4"/>
  <c r="BB350" i="4"/>
  <c r="BC350" i="4"/>
  <c r="AT383" i="4"/>
  <c r="AU383" i="4"/>
  <c r="AH503" i="4"/>
  <c r="AI503" i="4"/>
  <c r="AU500" i="4"/>
  <c r="AT500" i="4"/>
  <c r="AH526" i="4"/>
  <c r="AI526" i="4"/>
  <c r="AU595" i="4"/>
  <c r="AT595" i="4"/>
  <c r="AH615" i="4"/>
  <c r="AI615" i="4"/>
  <c r="AH625" i="4"/>
  <c r="AI625" i="4"/>
  <c r="AS648" i="4"/>
  <c r="AT648" i="4"/>
  <c r="AP684" i="4"/>
  <c r="AO684" i="4"/>
  <c r="AG701" i="4"/>
  <c r="AH701" i="4"/>
  <c r="AH707" i="4"/>
  <c r="AI707" i="4"/>
  <c r="AI715" i="4"/>
  <c r="AH715" i="4"/>
  <c r="AS719" i="4"/>
  <c r="AT719" i="4"/>
  <c r="AH502" i="4"/>
  <c r="AI502" i="4"/>
  <c r="AI534" i="4"/>
  <c r="AH534" i="4"/>
  <c r="AT578" i="4"/>
  <c r="AU578" i="4"/>
  <c r="AT593" i="4"/>
  <c r="AU593" i="4"/>
  <c r="BB669" i="4"/>
  <c r="BC669" i="4"/>
  <c r="AW677" i="4"/>
  <c r="AX677" i="4"/>
  <c r="AK699" i="4"/>
  <c r="AL699" i="4"/>
  <c r="AG703" i="4"/>
  <c r="AH703" i="4"/>
  <c r="AS709" i="4"/>
  <c r="AT709" i="4"/>
  <c r="AH721" i="4"/>
  <c r="AG721" i="4"/>
  <c r="AL463" i="4"/>
  <c r="AK463" i="4"/>
  <c r="BB463" i="4"/>
  <c r="BA463" i="4"/>
  <c r="AH593" i="4"/>
  <c r="AI593" i="4"/>
  <c r="AG599" i="4"/>
  <c r="AH599" i="4"/>
  <c r="AG580" i="4"/>
  <c r="AH580" i="4"/>
  <c r="AG579" i="4"/>
  <c r="AH579" i="4"/>
  <c r="AW647" i="4"/>
  <c r="AX647" i="4"/>
  <c r="AY642" i="4"/>
  <c r="AW642" i="4"/>
  <c r="AS751" i="4"/>
  <c r="AT751" i="4"/>
  <c r="AT730" i="4"/>
  <c r="AU730" i="4"/>
  <c r="AT790" i="4"/>
  <c r="AU790" i="4"/>
  <c r="BB801" i="4"/>
  <c r="BC801" i="4"/>
  <c r="AS825" i="4"/>
  <c r="AT825" i="4"/>
  <c r="BB830" i="4"/>
  <c r="BC830" i="4"/>
  <c r="AL835" i="4"/>
  <c r="AM835" i="4"/>
  <c r="BA839" i="4"/>
  <c r="BB839" i="4"/>
  <c r="AK854" i="4"/>
  <c r="AL854" i="4"/>
  <c r="AL862" i="4"/>
  <c r="AM862" i="4"/>
  <c r="AO866" i="4"/>
  <c r="AP866" i="4"/>
  <c r="AS690" i="4"/>
  <c r="AT690" i="4"/>
  <c r="AM681" i="4"/>
  <c r="AL681" i="4"/>
  <c r="AO748" i="4"/>
  <c r="AP748" i="4"/>
  <c r="AW792" i="4"/>
  <c r="AY792" i="4"/>
  <c r="BC818" i="4"/>
  <c r="BB818" i="4"/>
  <c r="AT850" i="4"/>
  <c r="AU850" i="4"/>
  <c r="AQ501" i="4"/>
  <c r="AP501" i="4"/>
  <c r="AP493" i="4"/>
  <c r="AO493" i="4"/>
  <c r="AT624" i="4"/>
  <c r="AU624" i="4"/>
  <c r="AU623" i="4"/>
  <c r="AT623" i="4"/>
  <c r="AX712" i="4"/>
  <c r="AW712" i="4"/>
  <c r="AX701" i="4"/>
  <c r="AW701" i="4"/>
  <c r="AT772" i="4"/>
  <c r="AU772" i="4"/>
  <c r="AP788" i="4"/>
  <c r="AQ788" i="4"/>
  <c r="AK829" i="4"/>
  <c r="AL829" i="4"/>
  <c r="BA834" i="4"/>
  <c r="BB834" i="4"/>
  <c r="AH852" i="4"/>
  <c r="AG852" i="4"/>
  <c r="AT867" i="4"/>
  <c r="AS867" i="4"/>
  <c r="BB825" i="4"/>
  <c r="BC825" i="4"/>
  <c r="AS855" i="4"/>
  <c r="AT855" i="4"/>
  <c r="BC524" i="4"/>
  <c r="BB524" i="4"/>
  <c r="AK672" i="4"/>
  <c r="AL672" i="4"/>
  <c r="AP729" i="4"/>
  <c r="AQ729" i="4"/>
  <c r="AD354" i="63"/>
  <c r="Q367" i="63" s="1"/>
  <c r="AV11" i="9"/>
  <c r="AS44" i="9"/>
  <c r="X22" i="9"/>
  <c r="U55" i="9"/>
  <c r="O92" i="9"/>
  <c r="Q92" i="9" s="1"/>
  <c r="Q59" i="9"/>
  <c r="BK89" i="9"/>
  <c r="BM56" i="9"/>
  <c r="BQ56" i="9"/>
  <c r="BS56" i="9" s="1"/>
  <c r="AS26" i="4"/>
  <c r="AT26" i="4"/>
  <c r="AP60" i="4"/>
  <c r="AQ60" i="4"/>
  <c r="AP53" i="4"/>
  <c r="AO53" i="4"/>
  <c r="AH41" i="4"/>
  <c r="AG41" i="4"/>
  <c r="AH56" i="4"/>
  <c r="AG56" i="4"/>
  <c r="AG68" i="4"/>
  <c r="AH68" i="4"/>
  <c r="BC81" i="4"/>
  <c r="BB81" i="4"/>
  <c r="AL78" i="4"/>
  <c r="AK78" i="4"/>
  <c r="AH84" i="4"/>
  <c r="AI84" i="4"/>
  <c r="AT137" i="4"/>
  <c r="AS137" i="4"/>
  <c r="AO25" i="4"/>
  <c r="AP25" i="4"/>
  <c r="AH39" i="4"/>
  <c r="AG39" i="4"/>
  <c r="AH76" i="4"/>
  <c r="AI76" i="4"/>
  <c r="AH73" i="4"/>
  <c r="AG73" i="4"/>
  <c r="AT70" i="4"/>
  <c r="AU70" i="4"/>
  <c r="AS78" i="4"/>
  <c r="AT78" i="4"/>
  <c r="AK70" i="4"/>
  <c r="AL70" i="4"/>
  <c r="AM54" i="4"/>
  <c r="AL54" i="4"/>
  <c r="AL42" i="4"/>
  <c r="AK42" i="4"/>
  <c r="AL38" i="4"/>
  <c r="AK38" i="4"/>
  <c r="BC58" i="4"/>
  <c r="BB58" i="4"/>
  <c r="AX68" i="4"/>
  <c r="AY68" i="4"/>
  <c r="AW75" i="4"/>
  <c r="AY75" i="4"/>
  <c r="AL73" i="4"/>
  <c r="AK73" i="4"/>
  <c r="AG89" i="4"/>
  <c r="AH89" i="4"/>
  <c r="AX188" i="4"/>
  <c r="AY188" i="4"/>
  <c r="AA84" i="9"/>
  <c r="AD51" i="9"/>
  <c r="AG51" i="9"/>
  <c r="AJ51" i="9" s="1"/>
  <c r="BQ76" i="9"/>
  <c r="BT76" i="9" s="1"/>
  <c r="BN76" i="9"/>
  <c r="AQ30" i="4"/>
  <c r="AP30" i="4"/>
  <c r="AL86" i="4"/>
  <c r="AM86" i="4"/>
  <c r="AK74" i="4"/>
  <c r="AL74" i="4"/>
  <c r="AO194" i="4"/>
  <c r="AP194" i="4"/>
  <c r="AQ202" i="4"/>
  <c r="AP202" i="4"/>
  <c r="BC249" i="4"/>
  <c r="BB249" i="4"/>
  <c r="AP373" i="4"/>
  <c r="AO373" i="4"/>
  <c r="AP399" i="4"/>
  <c r="AQ399" i="4"/>
  <c r="AP407" i="4"/>
  <c r="AQ407" i="4"/>
  <c r="AL411" i="4"/>
  <c r="AM411" i="4"/>
  <c r="AW413" i="4"/>
  <c r="AX413" i="4"/>
  <c r="AO417" i="4"/>
  <c r="AP417" i="4"/>
  <c r="AK430" i="4"/>
  <c r="AL430" i="4"/>
  <c r="AT446" i="4"/>
  <c r="AS446" i="4"/>
  <c r="AX148" i="4"/>
  <c r="AW148" i="4"/>
  <c r="AY132" i="4"/>
  <c r="AW132" i="4"/>
  <c r="AT176" i="4"/>
  <c r="AS176" i="4"/>
  <c r="BC201" i="4"/>
  <c r="BB201" i="4"/>
  <c r="AP248" i="4"/>
  <c r="AQ248" i="4"/>
  <c r="AT255" i="4"/>
  <c r="AS255" i="4"/>
  <c r="BB265" i="4"/>
  <c r="BA265" i="4"/>
  <c r="AM269" i="4"/>
  <c r="AL269" i="4"/>
  <c r="AO282" i="4"/>
  <c r="AP282" i="4"/>
  <c r="AK310" i="4"/>
  <c r="AL310" i="4"/>
  <c r="AK316" i="4"/>
  <c r="AL316" i="4"/>
  <c r="AH327" i="4"/>
  <c r="AG327" i="4"/>
  <c r="AS331" i="4"/>
  <c r="AT331" i="4"/>
  <c r="BC368" i="4"/>
  <c r="BB368" i="4"/>
  <c r="AG159" i="4"/>
  <c r="AH159" i="4"/>
  <c r="AG161" i="4"/>
  <c r="AH161" i="4"/>
  <c r="AT196" i="4"/>
  <c r="AS196" i="4"/>
  <c r="BB256" i="4"/>
  <c r="BC256" i="4"/>
  <c r="AI262" i="4"/>
  <c r="AH262" i="4"/>
  <c r="AH323" i="4"/>
  <c r="AI323" i="4"/>
  <c r="AL329" i="4"/>
  <c r="AM329" i="4"/>
  <c r="AH339" i="4"/>
  <c r="AG339" i="4"/>
  <c r="BB344" i="4"/>
  <c r="BC344" i="4"/>
  <c r="AT369" i="4"/>
  <c r="AU369" i="4"/>
  <c r="AH522" i="4"/>
  <c r="AG522" i="4"/>
  <c r="AI529" i="4"/>
  <c r="AH529" i="4"/>
  <c r="AL565" i="4"/>
  <c r="AM565" i="4"/>
  <c r="AW581" i="4"/>
  <c r="AX581" i="4"/>
  <c r="AH616" i="4"/>
  <c r="AI616" i="4"/>
  <c r="BB627" i="4"/>
  <c r="BC627" i="4"/>
  <c r="AS660" i="4"/>
  <c r="AT660" i="4"/>
  <c r="AO687" i="4"/>
  <c r="AP687" i="4"/>
  <c r="AH704" i="4"/>
  <c r="AI704" i="4"/>
  <c r="AH709" i="4"/>
  <c r="AI709" i="4"/>
  <c r="AS716" i="4"/>
  <c r="AT716" i="4"/>
  <c r="AT720" i="4"/>
  <c r="AS720" i="4"/>
  <c r="AG519" i="4"/>
  <c r="AH519" i="4"/>
  <c r="AH528" i="4"/>
  <c r="AI528" i="4"/>
  <c r="BB556" i="4"/>
  <c r="BC556" i="4"/>
  <c r="AT587" i="4"/>
  <c r="AS587" i="4"/>
  <c r="AG613" i="4"/>
  <c r="AH613" i="4"/>
  <c r="AG628" i="4"/>
  <c r="AH628" i="4"/>
  <c r="AO672" i="4"/>
  <c r="AP672" i="4"/>
  <c r="AW682" i="4"/>
  <c r="AX682" i="4"/>
  <c r="AL700" i="4"/>
  <c r="AK700" i="4"/>
  <c r="AH705" i="4"/>
  <c r="AI705" i="4"/>
  <c r="AI713" i="4"/>
  <c r="AH713" i="4"/>
  <c r="AK732" i="4"/>
  <c r="AL732" i="4"/>
  <c r="AL474" i="4"/>
  <c r="AM474" i="4"/>
  <c r="BB478" i="4"/>
  <c r="BC478" i="4"/>
  <c r="BA462" i="4"/>
  <c r="BB462" i="4"/>
  <c r="AG598" i="4"/>
  <c r="AH598" i="4"/>
  <c r="AG600" i="4"/>
  <c r="AH600" i="4"/>
  <c r="AX643" i="4"/>
  <c r="AY643" i="4"/>
  <c r="AS749" i="4"/>
  <c r="AT749" i="4"/>
  <c r="AO796" i="4"/>
  <c r="AP796" i="4"/>
  <c r="AL841" i="4"/>
  <c r="AM841" i="4"/>
  <c r="AH855" i="4"/>
  <c r="AI855" i="4"/>
  <c r="AH859" i="4"/>
  <c r="AI859" i="4"/>
  <c r="AL863" i="4"/>
  <c r="AM863" i="4"/>
  <c r="AL868" i="4"/>
  <c r="AM868" i="4"/>
  <c r="AS679" i="4"/>
  <c r="AT679" i="4"/>
  <c r="AX788" i="4"/>
  <c r="AY788" i="4"/>
  <c r="BB800" i="4"/>
  <c r="BC800" i="4"/>
  <c r="BB819" i="4"/>
  <c r="BC819" i="4"/>
  <c r="AU823" i="4"/>
  <c r="AT823" i="4"/>
  <c r="AS826" i="4"/>
  <c r="AT826" i="4"/>
  <c r="AL836" i="4"/>
  <c r="AM836" i="4"/>
  <c r="AQ490" i="4"/>
  <c r="AP490" i="4"/>
  <c r="BC530" i="4"/>
  <c r="BB530" i="4"/>
  <c r="AS617" i="4"/>
  <c r="AT617" i="4"/>
  <c r="AW711" i="4"/>
  <c r="AY711" i="4"/>
  <c r="AY698" i="4"/>
  <c r="AX698" i="4"/>
  <c r="AT759" i="4"/>
  <c r="AU759" i="4"/>
  <c r="AT792" i="4"/>
  <c r="AU792" i="4"/>
  <c r="BC831" i="4"/>
  <c r="BB831" i="4"/>
  <c r="BA840" i="4"/>
  <c r="BB840" i="4"/>
  <c r="AH853" i="4"/>
  <c r="AG853" i="4"/>
  <c r="AH870" i="4"/>
  <c r="AG870" i="4"/>
  <c r="BB532" i="4"/>
  <c r="BC532" i="4"/>
  <c r="AW569" i="4"/>
  <c r="AX569" i="4"/>
  <c r="AL680" i="4"/>
  <c r="AM680" i="4"/>
  <c r="AK671" i="4"/>
  <c r="AL671" i="4"/>
  <c r="AP737" i="4"/>
  <c r="AQ737" i="4"/>
  <c r="U73" i="9"/>
  <c r="X73" i="9" s="1"/>
  <c r="X40" i="9"/>
  <c r="BV43" i="9"/>
  <c r="X76" i="62"/>
  <c r="B90" i="63"/>
  <c r="AP292" i="62"/>
  <c r="Y309" i="62" s="1"/>
  <c r="J36" i="62" s="1"/>
  <c r="S36" i="62" s="1"/>
  <c r="AH306" i="63"/>
  <c r="Q323" i="63" s="1"/>
  <c r="AU340" i="62"/>
  <c r="Y362" i="62" s="1"/>
  <c r="AM354" i="63"/>
  <c r="Q376" i="63" s="1"/>
  <c r="AF100" i="62"/>
  <c r="Y107" i="62" s="1"/>
  <c r="E29" i="62" s="1"/>
  <c r="N29" i="62" s="1"/>
  <c r="X114" i="63"/>
  <c r="Q121" i="63" s="1"/>
  <c r="X354" i="63"/>
  <c r="Q361" i="63" s="1"/>
  <c r="AF340" i="62"/>
  <c r="Y347" i="62" s="1"/>
  <c r="K35" i="62" s="1"/>
  <c r="T35" i="62" s="1"/>
  <c r="X306" i="63"/>
  <c r="Q313" i="63" s="1"/>
  <c r="AF292" i="62"/>
  <c r="Y299" i="62" s="1"/>
  <c r="J26" i="62" s="1"/>
  <c r="S26" i="62" s="1"/>
  <c r="Y340" i="62"/>
  <c r="K28" i="62" s="1"/>
  <c r="T28" i="62" s="1"/>
  <c r="Q354" i="63"/>
  <c r="U186" i="63"/>
  <c r="Q190" i="63" s="1"/>
  <c r="AC340" i="62"/>
  <c r="Y344" i="62" s="1"/>
  <c r="K32" i="62" s="1"/>
  <c r="T32" i="62" s="1"/>
  <c r="U354" i="63"/>
  <c r="Q358" i="63" s="1"/>
  <c r="AH354" i="63"/>
  <c r="Q371" i="63" s="1"/>
  <c r="AP340" i="62"/>
  <c r="Y357" i="62" s="1"/>
  <c r="AI244" i="62"/>
  <c r="Y254" i="62" s="1"/>
  <c r="I20" i="62" s="1"/>
  <c r="R20" i="62" s="1"/>
  <c r="AA258" i="63"/>
  <c r="Q268" i="63" s="1"/>
  <c r="B9" i="3"/>
  <c r="AD94" i="4"/>
  <c r="AC122" i="4" s="1"/>
  <c r="F46" i="46"/>
  <c r="K9" i="52" s="1"/>
  <c r="K9" i="53" s="1"/>
  <c r="F47" i="46"/>
  <c r="J9" i="52" s="1"/>
  <c r="J9" i="53" s="1"/>
  <c r="E9" i="52"/>
  <c r="E9" i="53" s="1"/>
  <c r="F45" i="46"/>
  <c r="G9" i="52" s="1"/>
  <c r="G9" i="53" s="1"/>
  <c r="H18" i="47"/>
  <c r="D21" i="47"/>
  <c r="D19" i="47"/>
  <c r="F19" i="47" s="1"/>
  <c r="H19" i="47" s="1"/>
  <c r="B5" i="34"/>
  <c r="B5" i="32"/>
  <c r="B5" i="31"/>
  <c r="B6" i="7"/>
  <c r="B44" i="7"/>
  <c r="B45" i="7"/>
  <c r="B7" i="7"/>
  <c r="B46" i="7"/>
  <c r="B8" i="7"/>
  <c r="AI196" i="62"/>
  <c r="Y206" i="62" s="1"/>
  <c r="H11" i="62" s="1"/>
  <c r="Q11" i="62" s="1"/>
  <c r="AN354" i="63"/>
  <c r="Q377" i="63" s="1"/>
  <c r="AV340" i="62"/>
  <c r="Y363" i="62" s="1"/>
  <c r="Z114" i="63"/>
  <c r="Q123" i="63" s="1"/>
  <c r="AH100" i="62"/>
  <c r="Y109" i="62" s="1"/>
  <c r="E31" i="62" s="1"/>
  <c r="N31" i="62" s="1"/>
  <c r="AL354" i="63"/>
  <c r="Q375" i="63" s="1"/>
  <c r="AT340" i="62"/>
  <c r="Y361" i="62" s="1"/>
  <c r="AA21" i="3"/>
  <c r="Y4" i="62"/>
  <c r="C4" i="62" s="1"/>
  <c r="AE488" i="4" a="1"/>
  <c r="AE499" i="4" s="1"/>
  <c r="Y244" i="62"/>
  <c r="I10" i="62" s="1"/>
  <c r="R10" i="62" s="1"/>
  <c r="Q258" i="63"/>
  <c r="AR244" i="62"/>
  <c r="Y263" i="62" s="1"/>
  <c r="I29" i="62" s="1"/>
  <c r="R29" i="62" s="1"/>
  <c r="AJ258" i="63"/>
  <c r="Q277" i="63" s="1"/>
  <c r="AH282" i="63"/>
  <c r="Q299" i="63" s="1"/>
  <c r="AP268" i="62"/>
  <c r="Y285" i="62" s="1"/>
  <c r="J12" i="62" s="1"/>
  <c r="S12" i="62" s="1"/>
  <c r="AC268" i="62"/>
  <c r="Y272" i="62" s="1"/>
  <c r="I38" i="62" s="1"/>
  <c r="R38" i="62" s="1"/>
  <c r="U282" i="63"/>
  <c r="Q286" i="63" s="1"/>
  <c r="AI114" i="63"/>
  <c r="Q132" i="63" s="1"/>
  <c r="AQ100" i="62"/>
  <c r="Y118" i="62" s="1"/>
  <c r="E40" i="62" s="1"/>
  <c r="N40" i="62" s="1"/>
  <c r="AI354" i="63"/>
  <c r="Q372" i="63" s="1"/>
  <c r="AQ340" i="62"/>
  <c r="Y358" i="62" s="1"/>
  <c r="T354" i="63"/>
  <c r="Q357" i="63" s="1"/>
  <c r="AB340" i="62"/>
  <c r="Y343" i="62" s="1"/>
  <c r="K31" i="62" s="1"/>
  <c r="T31" i="62" s="1"/>
  <c r="AB282" i="63"/>
  <c r="Q293" i="63" s="1"/>
  <c r="AJ268" i="62"/>
  <c r="Y279" i="62" s="1"/>
  <c r="J6" i="62" s="1"/>
  <c r="S6" i="62" s="1"/>
  <c r="AI282" i="63"/>
  <c r="Q300" i="63" s="1"/>
  <c r="AQ268" i="62"/>
  <c r="Y286" i="62" s="1"/>
  <c r="J13" i="62" s="1"/>
  <c r="S13" i="62" s="1"/>
  <c r="AF268" i="62"/>
  <c r="Y275" i="62" s="1"/>
  <c r="I41" i="62" s="1"/>
  <c r="R41" i="62" s="1"/>
  <c r="X282" i="63"/>
  <c r="Q289" i="63" s="1"/>
  <c r="Z282" i="63"/>
  <c r="Q291" i="63" s="1"/>
  <c r="AH268" i="62"/>
  <c r="Y277" i="62" s="1"/>
  <c r="J4" i="62" s="1"/>
  <c r="S4" i="62" s="1"/>
  <c r="Y282" i="63"/>
  <c r="Q290" i="63" s="1"/>
  <c r="AG268" i="62"/>
  <c r="Y276" i="62" s="1"/>
  <c r="I42" i="62" s="1"/>
  <c r="R42" i="62" s="1"/>
  <c r="AJ282" i="63"/>
  <c r="Q301" i="63" s="1"/>
  <c r="AR268" i="62"/>
  <c r="Y287" i="62" s="1"/>
  <c r="J14" i="62" s="1"/>
  <c r="S14" i="62" s="1"/>
  <c r="S354" i="63"/>
  <c r="Q356" i="63" s="1"/>
  <c r="AA340" i="62"/>
  <c r="Y342" i="62" s="1"/>
  <c r="K30" i="62" s="1"/>
  <c r="T30" i="62" s="1"/>
  <c r="AL258" i="63"/>
  <c r="Q279" i="63" s="1"/>
  <c r="AT244" i="62"/>
  <c r="Y265" i="62" s="1"/>
  <c r="I31" i="62" s="1"/>
  <c r="R31" i="62" s="1"/>
  <c r="AO268" i="62"/>
  <c r="Y284" i="62" s="1"/>
  <c r="J11" i="62" s="1"/>
  <c r="S11" i="62" s="1"/>
  <c r="AG282" i="63"/>
  <c r="Q298" i="63" s="1"/>
  <c r="AE268" i="62"/>
  <c r="Y274" i="62" s="1"/>
  <c r="I40" i="62" s="1"/>
  <c r="R40" i="62" s="1"/>
  <c r="W282" i="63"/>
  <c r="Q288" i="63" s="1"/>
  <c r="AC100" i="62"/>
  <c r="Y104" i="62" s="1"/>
  <c r="E26" i="62" s="1"/>
  <c r="N26" i="62" s="1"/>
  <c r="U114" i="63"/>
  <c r="Q118" i="63" s="1"/>
  <c r="AD282" i="63"/>
  <c r="Q295" i="63" s="1"/>
  <c r="AL268" i="62"/>
  <c r="Y281" i="62" s="1"/>
  <c r="J8" i="62" s="1"/>
  <c r="S8" i="62" s="1"/>
  <c r="AA316" i="62"/>
  <c r="Y318" i="62" s="1"/>
  <c r="K6" i="62" s="1"/>
  <c r="T6" i="62" s="1"/>
  <c r="S330" i="63"/>
  <c r="Q332" i="63" s="1"/>
  <c r="AK354" i="63"/>
  <c r="Q374" i="63" s="1"/>
  <c r="AS340" i="62"/>
  <c r="Y360" i="62" s="1"/>
  <c r="AB268" i="62"/>
  <c r="Y271" i="62" s="1"/>
  <c r="I37" i="62" s="1"/>
  <c r="R37" i="62" s="1"/>
  <c r="T282" i="63"/>
  <c r="Q285" i="63" s="1"/>
  <c r="AQ244" i="62"/>
  <c r="Y262" i="62" s="1"/>
  <c r="I28" i="62" s="1"/>
  <c r="R28" i="62" s="1"/>
  <c r="AI258" i="63"/>
  <c r="Q276" i="63" s="1"/>
  <c r="AI268" i="62"/>
  <c r="Y278" i="62" s="1"/>
  <c r="J5" i="62" s="1"/>
  <c r="S5" i="62" s="1"/>
  <c r="AA282" i="63"/>
  <c r="Q292" i="63" s="1"/>
  <c r="AE458" i="4" a="1"/>
  <c r="AD268" i="62"/>
  <c r="Y273" i="62" s="1"/>
  <c r="I39" i="62" s="1"/>
  <c r="R39" i="62" s="1"/>
  <c r="V282" i="63"/>
  <c r="Q287" i="63" s="1"/>
  <c r="AC244" i="62"/>
  <c r="Y248" i="62" s="1"/>
  <c r="I14" i="62" s="1"/>
  <c r="R14" i="62" s="1"/>
  <c r="U258" i="63"/>
  <c r="Q262" i="63" s="1"/>
  <c r="AK340" i="62"/>
  <c r="Y352" i="62" s="1"/>
  <c r="K40" i="62" s="1"/>
  <c r="T40" i="62" s="1"/>
  <c r="AC354" i="63"/>
  <c r="Q366" i="63" s="1"/>
  <c r="AM282" i="63"/>
  <c r="Q304" i="63" s="1"/>
  <c r="AU268" i="62"/>
  <c r="Y290" i="62" s="1"/>
  <c r="J17" i="62" s="1"/>
  <c r="S17" i="62" s="1"/>
  <c r="AE431" i="4"/>
  <c r="AY431" i="4" s="1"/>
  <c r="AE446" i="4"/>
  <c r="AE430" i="4"/>
  <c r="AY430" i="4" s="1"/>
  <c r="AE505" i="4"/>
  <c r="AW505" i="4" s="1"/>
  <c r="AE511" i="4"/>
  <c r="AU511" i="4" s="1"/>
  <c r="AE503" i="4"/>
  <c r="AK503" i="4" s="1"/>
  <c r="AE788" i="4" a="1"/>
  <c r="AE804" i="4" s="1"/>
  <c r="AG804" i="4" s="1"/>
  <c r="AQ4" i="62"/>
  <c r="Y22" i="62" s="1"/>
  <c r="C22" i="62" s="1"/>
  <c r="L22" i="62" s="1"/>
  <c r="AI18" i="63"/>
  <c r="Q36" i="63" s="1"/>
  <c r="AS100" i="62"/>
  <c r="Y120" i="62" s="1"/>
  <c r="E42" i="62" s="1"/>
  <c r="N42" i="62" s="1"/>
  <c r="AK114" i="63"/>
  <c r="Q134" i="63" s="1"/>
  <c r="AG18" i="63"/>
  <c r="Q34" i="63" s="1"/>
  <c r="AO4" i="62"/>
  <c r="Y20" i="62" s="1"/>
  <c r="C20" i="62" s="1"/>
  <c r="L20" i="62" s="1"/>
  <c r="AO100" i="62"/>
  <c r="Y116" i="62" s="1"/>
  <c r="E38" i="62" s="1"/>
  <c r="N38" i="62" s="1"/>
  <c r="AG114" i="63"/>
  <c r="Q130" i="63" s="1"/>
  <c r="AV268" i="62"/>
  <c r="Y291" i="62" s="1"/>
  <c r="J18" i="62" s="1"/>
  <c r="S18" i="62" s="1"/>
  <c r="AN282" i="63"/>
  <c r="Q305" i="63" s="1"/>
  <c r="AB16" i="3"/>
  <c r="AN76" i="62"/>
  <c r="Y91" i="62" s="1"/>
  <c r="E13" i="62" s="1"/>
  <c r="N13" i="62" s="1"/>
  <c r="AF90" i="63"/>
  <c r="Q105" i="63" s="1"/>
  <c r="AB90" i="63"/>
  <c r="Q101" i="63" s="1"/>
  <c r="AJ76" i="62"/>
  <c r="Y87" i="62" s="1"/>
  <c r="E9" i="62" s="1"/>
  <c r="N9" i="62" s="1"/>
  <c r="AH76" i="62"/>
  <c r="Y85" i="62" s="1"/>
  <c r="E7" i="62" s="1"/>
  <c r="N7" i="62" s="1"/>
  <c r="Z90" i="63"/>
  <c r="Q99" i="63" s="1"/>
  <c r="AL76" i="62"/>
  <c r="Y89" i="62" s="1"/>
  <c r="E11" i="62" s="1"/>
  <c r="N11" i="62" s="1"/>
  <c r="AD90" i="63"/>
  <c r="Q103" i="63" s="1"/>
  <c r="AT76" i="62"/>
  <c r="Y97" i="62" s="1"/>
  <c r="E19" i="62" s="1"/>
  <c r="N19" i="62" s="1"/>
  <c r="AL90" i="63"/>
  <c r="Q111" i="63" s="1"/>
  <c r="W330" i="63"/>
  <c r="Q336" i="63" s="1"/>
  <c r="AE316" i="62"/>
  <c r="Y322" i="62" s="1"/>
  <c r="K10" i="62" s="1"/>
  <c r="T10" i="62" s="1"/>
  <c r="AK210" i="63"/>
  <c r="Q230" i="63" s="1"/>
  <c r="AS196" i="62"/>
  <c r="Y216" i="62" s="1"/>
  <c r="H21" i="62" s="1"/>
  <c r="Q21" i="62" s="1"/>
  <c r="Z196" i="62"/>
  <c r="Y197" i="62" s="1"/>
  <c r="G41" i="62" s="1"/>
  <c r="P41" i="62" s="1"/>
  <c r="R210" i="63"/>
  <c r="Q211" i="63" s="1"/>
  <c r="AI316" i="62"/>
  <c r="Y326" i="62" s="1"/>
  <c r="K14" i="62" s="1"/>
  <c r="T14" i="62" s="1"/>
  <c r="AA330" i="63"/>
  <c r="Q340" i="63" s="1"/>
  <c r="AB5" i="3"/>
  <c r="AE439" i="4"/>
  <c r="AE449" i="4"/>
  <c r="AI449" i="4" s="1"/>
  <c r="AE440" i="4"/>
  <c r="AG440" i="4" s="1"/>
  <c r="AE451" i="4"/>
  <c r="AU451" i="4" s="1"/>
  <c r="AE428" i="4"/>
  <c r="AO428" i="4" s="1"/>
  <c r="AB4" i="62"/>
  <c r="Y7" i="62" s="1"/>
  <c r="C7" i="62" s="1"/>
  <c r="L7" i="62" s="1"/>
  <c r="T18" i="63"/>
  <c r="Q21" i="63" s="1"/>
  <c r="AP100" i="62"/>
  <c r="Y117" i="62" s="1"/>
  <c r="E39" i="62" s="1"/>
  <c r="N39" i="62" s="1"/>
  <c r="AH114" i="63"/>
  <c r="Q131" i="63" s="1"/>
  <c r="AL100" i="62"/>
  <c r="Y113" i="62" s="1"/>
  <c r="E35" i="62" s="1"/>
  <c r="N35" i="62" s="1"/>
  <c r="AD114" i="63"/>
  <c r="Q127" i="63" s="1"/>
  <c r="AA100" i="62"/>
  <c r="Y102" i="62" s="1"/>
  <c r="E24" i="62" s="1"/>
  <c r="N24" i="62" s="1"/>
  <c r="S114" i="63"/>
  <c r="Q116" i="63" s="1"/>
  <c r="AA268" i="62"/>
  <c r="Y270" i="62" s="1"/>
  <c r="I36" i="62" s="1"/>
  <c r="R36" i="62" s="1"/>
  <c r="S282" i="63"/>
  <c r="AA16" i="3"/>
  <c r="AT292" i="62"/>
  <c r="Y313" i="62" s="1"/>
  <c r="J40" i="62" s="1"/>
  <c r="S40" i="62" s="1"/>
  <c r="AL306" i="63"/>
  <c r="Q327" i="63" s="1"/>
  <c r="R90" i="63"/>
  <c r="Q91" i="63" s="1"/>
  <c r="Z76" i="62"/>
  <c r="Y77" i="62" s="1"/>
  <c r="D38" i="62" s="1"/>
  <c r="M38" i="62" s="1"/>
  <c r="AE90" i="63"/>
  <c r="Q104" i="63" s="1"/>
  <c r="AM76" i="62"/>
  <c r="Y90" i="62" s="1"/>
  <c r="E12" i="62" s="1"/>
  <c r="N12" i="62" s="1"/>
  <c r="AR76" i="62"/>
  <c r="Y95" i="62" s="1"/>
  <c r="E17" i="62" s="1"/>
  <c r="N17" i="62" s="1"/>
  <c r="AJ90" i="63"/>
  <c r="Q109" i="63" s="1"/>
  <c r="AA76" i="62"/>
  <c r="Y78" i="62" s="1"/>
  <c r="D39" i="62" s="1"/>
  <c r="M39" i="62" s="1"/>
  <c r="S90" i="63"/>
  <c r="Q92" i="63" s="1"/>
  <c r="AQ76" i="62"/>
  <c r="Y94" i="62" s="1"/>
  <c r="E16" i="62" s="1"/>
  <c r="N16" i="62" s="1"/>
  <c r="AI90" i="63"/>
  <c r="Q108" i="63" s="1"/>
  <c r="AI76" i="62"/>
  <c r="Y86" i="62" s="1"/>
  <c r="E8" i="62" s="1"/>
  <c r="N8" i="62" s="1"/>
  <c r="AA90" i="63"/>
  <c r="Q100" i="63" s="1"/>
  <c r="AO316" i="62"/>
  <c r="Y332" i="62" s="1"/>
  <c r="K20" i="62" s="1"/>
  <c r="T20" i="62" s="1"/>
  <c r="AG330" i="63"/>
  <c r="Q346" i="63" s="1"/>
  <c r="T330" i="63"/>
  <c r="Q333" i="63" s="1"/>
  <c r="AB316" i="62"/>
  <c r="Y319" i="62" s="1"/>
  <c r="K7" i="62" s="1"/>
  <c r="T7" i="62" s="1"/>
  <c r="X330" i="63"/>
  <c r="Q337" i="63" s="1"/>
  <c r="AF316" i="62"/>
  <c r="Y323" i="62" s="1"/>
  <c r="K11" i="62" s="1"/>
  <c r="T11" i="62" s="1"/>
  <c r="AG196" i="62"/>
  <c r="Y204" i="62" s="1"/>
  <c r="H9" i="62" s="1"/>
  <c r="Q9" i="62" s="1"/>
  <c r="Y210" i="63"/>
  <c r="Q218" i="63" s="1"/>
  <c r="AE338" i="4" a="1"/>
  <c r="AC90" i="63"/>
  <c r="Q102" i="63" s="1"/>
  <c r="AK76" i="62"/>
  <c r="Y88" i="62" s="1"/>
  <c r="E10" i="62" s="1"/>
  <c r="N10" i="62" s="1"/>
  <c r="AE438" i="4"/>
  <c r="AX438" i="4" s="1"/>
  <c r="AE445" i="4"/>
  <c r="BC445" i="4" s="1"/>
  <c r="AE444" i="4"/>
  <c r="AX444" i="4" s="1"/>
  <c r="AB21" i="3"/>
  <c r="AE441" i="4"/>
  <c r="AO441" i="4" s="1"/>
  <c r="AE437" i="4"/>
  <c r="AM437" i="4" s="1"/>
  <c r="Z100" i="62"/>
  <c r="Y101" i="62" s="1"/>
  <c r="E23" i="62" s="1"/>
  <c r="N23" i="62" s="1"/>
  <c r="R114" i="63"/>
  <c r="Q115" i="63" s="1"/>
  <c r="AU100" i="62"/>
  <c r="Y122" i="62" s="1"/>
  <c r="F5" i="62" s="1"/>
  <c r="O5" i="62" s="1"/>
  <c r="AM114" i="63"/>
  <c r="Q136" i="63" s="1"/>
  <c r="AD100" i="62"/>
  <c r="Y105" i="62" s="1"/>
  <c r="E27" i="62" s="1"/>
  <c r="N27" i="62" s="1"/>
  <c r="V114" i="63"/>
  <c r="Q119" i="63" s="1"/>
  <c r="AE128" i="4" a="1"/>
  <c r="Q114" i="63"/>
  <c r="AB9" i="3"/>
  <c r="AA9" i="3"/>
  <c r="Y100" i="62"/>
  <c r="E22" i="62" s="1"/>
  <c r="N22" i="62" s="1"/>
  <c r="AN268" i="62"/>
  <c r="Y283" i="62" s="1"/>
  <c r="J10" i="62" s="1"/>
  <c r="S10" i="62" s="1"/>
  <c r="AF282" i="63"/>
  <c r="Q297" i="63" s="1"/>
  <c r="AK268" i="62"/>
  <c r="Y280" i="62" s="1"/>
  <c r="J7" i="62" s="1"/>
  <c r="S7" i="62" s="1"/>
  <c r="AC282" i="63"/>
  <c r="Q294" i="63" s="1"/>
  <c r="AQ292" i="62"/>
  <c r="Y310" i="62" s="1"/>
  <c r="J37" i="62" s="1"/>
  <c r="S37" i="62" s="1"/>
  <c r="AI306" i="63"/>
  <c r="Q324" i="63" s="1"/>
  <c r="AP76" i="62"/>
  <c r="Y93" i="62" s="1"/>
  <c r="E15" i="62" s="1"/>
  <c r="N15" i="62" s="1"/>
  <c r="AH90" i="63"/>
  <c r="Q107" i="63" s="1"/>
  <c r="AS76" i="62"/>
  <c r="Y96" i="62" s="1"/>
  <c r="E18" i="62" s="1"/>
  <c r="N18" i="62" s="1"/>
  <c r="AK90" i="63"/>
  <c r="Q110" i="63" s="1"/>
  <c r="AC76" i="62"/>
  <c r="Y80" i="62" s="1"/>
  <c r="D41" i="62" s="1"/>
  <c r="M41" i="62" s="1"/>
  <c r="U90" i="63"/>
  <c r="Q94" i="63" s="1"/>
  <c r="AV76" i="62"/>
  <c r="Y99" i="62" s="1"/>
  <c r="E21" i="62" s="1"/>
  <c r="N21" i="62" s="1"/>
  <c r="AN90" i="63"/>
  <c r="Q113" i="63" s="1"/>
  <c r="AM90" i="63"/>
  <c r="Q112" i="63" s="1"/>
  <c r="AU76" i="62"/>
  <c r="Y98" i="62" s="1"/>
  <c r="E20" i="62" s="1"/>
  <c r="N20" i="62" s="1"/>
  <c r="AC316" i="62"/>
  <c r="Y320" i="62" s="1"/>
  <c r="K8" i="62" s="1"/>
  <c r="T8" i="62" s="1"/>
  <c r="U330" i="63"/>
  <c r="Q334" i="63" s="1"/>
  <c r="V330" i="63"/>
  <c r="Q335" i="63" s="1"/>
  <c r="AD316" i="62"/>
  <c r="Y321" i="62" s="1"/>
  <c r="K9" i="62" s="1"/>
  <c r="T9" i="62" s="1"/>
  <c r="Z316" i="62"/>
  <c r="Y317" i="62" s="1"/>
  <c r="K5" i="62" s="1"/>
  <c r="T5" i="62" s="1"/>
  <c r="R330" i="63"/>
  <c r="Q331" i="63" s="1"/>
  <c r="AA196" i="62"/>
  <c r="Y198" i="62" s="1"/>
  <c r="G42" i="62" s="1"/>
  <c r="P42" i="62" s="1"/>
  <c r="S210" i="63"/>
  <c r="Q212" i="63" s="1"/>
  <c r="AD330" i="63"/>
  <c r="Q343" i="63" s="1"/>
  <c r="AL316" i="62"/>
  <c r="Y329" i="62" s="1"/>
  <c r="K17" i="62" s="1"/>
  <c r="T17" i="62" s="1"/>
  <c r="AV316" i="62"/>
  <c r="Y339" i="62" s="1"/>
  <c r="K27" i="62" s="1"/>
  <c r="T27" i="62" s="1"/>
  <c r="AN330" i="63"/>
  <c r="Q353" i="63" s="1"/>
  <c r="AE447" i="4"/>
  <c r="AU447" i="4" s="1"/>
  <c r="AE436" i="4"/>
  <c r="BA436" i="4" s="1"/>
  <c r="AE432" i="4"/>
  <c r="AQ432" i="4" s="1"/>
  <c r="AF114" i="63"/>
  <c r="Q129" i="63" s="1"/>
  <c r="AN100" i="62"/>
  <c r="Y115" i="62" s="1"/>
  <c r="E37" i="62" s="1"/>
  <c r="N37" i="62" s="1"/>
  <c r="AM100" i="62"/>
  <c r="Y114" i="62" s="1"/>
  <c r="E36" i="62" s="1"/>
  <c r="N36" i="62" s="1"/>
  <c r="AE114" i="63"/>
  <c r="Q128" i="63" s="1"/>
  <c r="AM268" i="62"/>
  <c r="Y282" i="62" s="1"/>
  <c r="J9" i="62" s="1"/>
  <c r="S9" i="62" s="1"/>
  <c r="AE282" i="63"/>
  <c r="Q296" i="63" s="1"/>
  <c r="AS292" i="62"/>
  <c r="Y312" i="62" s="1"/>
  <c r="J39" i="62" s="1"/>
  <c r="S39" i="62" s="1"/>
  <c r="AK306" i="63"/>
  <c r="Q326" i="63" s="1"/>
  <c r="AF76" i="62"/>
  <c r="Y83" i="62" s="1"/>
  <c r="E5" i="62" s="1"/>
  <c r="X90" i="63"/>
  <c r="Q97" i="63" s="1"/>
  <c r="V90" i="63"/>
  <c r="Q95" i="63" s="1"/>
  <c r="AD76" i="62"/>
  <c r="Y81" i="62" s="1"/>
  <c r="D42" i="62" s="1"/>
  <c r="M42" i="62" s="1"/>
  <c r="AB76" i="62"/>
  <c r="Y79" i="62" s="1"/>
  <c r="D40" i="62" s="1"/>
  <c r="M40" i="62" s="1"/>
  <c r="T90" i="63"/>
  <c r="Q93" i="63" s="1"/>
  <c r="AE98" i="4" a="1"/>
  <c r="Q90" i="63"/>
  <c r="AA8" i="3"/>
  <c r="AB8" i="3"/>
  <c r="Y76" i="62"/>
  <c r="D37" i="62" s="1"/>
  <c r="M37" i="62" s="1"/>
  <c r="AG76" i="62"/>
  <c r="Y84" i="62" s="1"/>
  <c r="E6" i="62" s="1"/>
  <c r="N6" i="62" s="1"/>
  <c r="Y90" i="63"/>
  <c r="Q98" i="63" s="1"/>
  <c r="AO76" i="62"/>
  <c r="Y92" i="62" s="1"/>
  <c r="E14" i="62" s="1"/>
  <c r="N14" i="62" s="1"/>
  <c r="AG90" i="63"/>
  <c r="Q106" i="63" s="1"/>
  <c r="AR316" i="62"/>
  <c r="Y335" i="62" s="1"/>
  <c r="K23" i="62" s="1"/>
  <c r="T23" i="62" s="1"/>
  <c r="AJ330" i="63"/>
  <c r="Q349" i="63" s="1"/>
  <c r="AQ316" i="62"/>
  <c r="Y334" i="62" s="1"/>
  <c r="K22" i="62" s="1"/>
  <c r="T22" i="62" s="1"/>
  <c r="AI330" i="63"/>
  <c r="Q348" i="63" s="1"/>
  <c r="AF330" i="63"/>
  <c r="Q345" i="63" s="1"/>
  <c r="AN316" i="62"/>
  <c r="Y331" i="62" s="1"/>
  <c r="K19" i="62" s="1"/>
  <c r="T19" i="62" s="1"/>
  <c r="AJ316" i="62"/>
  <c r="Y327" i="62" s="1"/>
  <c r="K15" i="62" s="1"/>
  <c r="T15" i="62" s="1"/>
  <c r="AB330" i="63"/>
  <c r="Q341" i="63" s="1"/>
  <c r="AE443" i="4"/>
  <c r="AE442" i="4"/>
  <c r="AS442" i="4" s="1"/>
  <c r="AE450" i="4"/>
  <c r="AU450" i="4" s="1"/>
  <c r="AE433" i="4"/>
  <c r="AE448" i="4"/>
  <c r="AE435" i="4"/>
  <c r="AE429" i="4"/>
  <c r="CF16" i="9"/>
  <c r="BS41" i="9"/>
  <c r="CF63" i="9"/>
  <c r="BH72" i="9"/>
  <c r="AI40" i="9"/>
  <c r="BH93" i="9"/>
  <c r="AX13" i="4"/>
  <c r="AY13" i="4"/>
  <c r="AQ18" i="4"/>
  <c r="AP18" i="4"/>
  <c r="AS31" i="4"/>
  <c r="AT31" i="4"/>
  <c r="AI80" i="4"/>
  <c r="AH80" i="4"/>
  <c r="AW105" i="4"/>
  <c r="AY105" i="4"/>
  <c r="AS30" i="4"/>
  <c r="AT30" i="4"/>
  <c r="AP83" i="4"/>
  <c r="AO83" i="4"/>
  <c r="AP70" i="4"/>
  <c r="AQ70" i="4"/>
  <c r="AG120" i="4"/>
  <c r="AH120" i="4"/>
  <c r="AL135" i="4"/>
  <c r="AK135" i="4"/>
  <c r="AI144" i="4"/>
  <c r="AH144" i="4"/>
  <c r="AM112" i="4"/>
  <c r="AL112" i="4"/>
  <c r="AL107" i="4"/>
  <c r="AK107" i="4"/>
  <c r="AL99" i="4"/>
  <c r="AK99" i="4"/>
  <c r="AM115" i="4"/>
  <c r="AL115" i="4"/>
  <c r="AK98" i="4"/>
  <c r="AL98" i="4"/>
  <c r="AH210" i="4"/>
  <c r="AG210" i="4"/>
  <c r="AH255" i="4"/>
  <c r="AI255" i="4"/>
  <c r="BC261" i="4"/>
  <c r="BB261" i="4"/>
  <c r="AU280" i="4"/>
  <c r="AT280" i="4"/>
  <c r="AP250" i="4"/>
  <c r="AQ250" i="4"/>
  <c r="AY254" i="4"/>
  <c r="AX254" i="4"/>
  <c r="AW261" i="4"/>
  <c r="AY261" i="4"/>
  <c r="AP265" i="4"/>
  <c r="AO265" i="4"/>
  <c r="AW282" i="4"/>
  <c r="AY282" i="4"/>
  <c r="AI286" i="4"/>
  <c r="AH286" i="4"/>
  <c r="BC140" i="4"/>
  <c r="BB140" i="4"/>
  <c r="BA145" i="4"/>
  <c r="BB145" i="4"/>
  <c r="AH207" i="4"/>
  <c r="AG207" i="4"/>
  <c r="AH191" i="4"/>
  <c r="AG191" i="4"/>
  <c r="AP278" i="4"/>
  <c r="AQ278" i="4"/>
  <c r="AL290" i="4"/>
  <c r="AM290" i="4"/>
  <c r="AW345" i="4"/>
  <c r="AY345" i="4"/>
  <c r="AT371" i="4"/>
  <c r="AU371" i="4"/>
  <c r="BB326" i="4"/>
  <c r="BC326" i="4"/>
  <c r="AU372" i="4"/>
  <c r="AT372" i="4"/>
  <c r="AH385" i="4"/>
  <c r="AI385" i="4"/>
  <c r="AY327" i="4"/>
  <c r="AW327" i="4"/>
  <c r="H7" i="57"/>
  <c r="B8" i="57"/>
  <c r="X17" i="9"/>
  <c r="U50" i="9"/>
  <c r="AU33" i="9"/>
  <c r="AS66" i="9"/>
  <c r="CF18" i="9"/>
  <c r="AJ38" i="9"/>
  <c r="AI38" i="9"/>
  <c r="BH60" i="9"/>
  <c r="BH61" i="9"/>
  <c r="BG62" i="9"/>
  <c r="BG63" i="9"/>
  <c r="BG64" i="9"/>
  <c r="BG65" i="9"/>
  <c r="AJ79" i="9"/>
  <c r="BH85" i="9"/>
  <c r="BG85" i="9"/>
  <c r="BH16" i="9"/>
  <c r="BS16" i="9"/>
  <c r="CF96" i="9"/>
  <c r="CF97" i="9"/>
  <c r="AW9" i="4"/>
  <c r="AY9" i="4"/>
  <c r="AP21" i="4"/>
  <c r="AQ21" i="4"/>
  <c r="AY24" i="4"/>
  <c r="AW24" i="4"/>
  <c r="AL30" i="4"/>
  <c r="AM30" i="4"/>
  <c r="AI77" i="4"/>
  <c r="AH77" i="4"/>
  <c r="BB101" i="4"/>
  <c r="BA101" i="4"/>
  <c r="BB108" i="4"/>
  <c r="BA108" i="4"/>
  <c r="BG98" i="9"/>
  <c r="BT98" i="9"/>
  <c r="AT8" i="4"/>
  <c r="AU8" i="4"/>
  <c r="AO11" i="4"/>
  <c r="AP11" i="4"/>
  <c r="AO15" i="4"/>
  <c r="AP15" i="4"/>
  <c r="AW21" i="4"/>
  <c r="AY21" i="4"/>
  <c r="BB27" i="4"/>
  <c r="BC27" i="4"/>
  <c r="AY69" i="4"/>
  <c r="AW69" i="4"/>
  <c r="AY78" i="4"/>
  <c r="AW78" i="4"/>
  <c r="AH104" i="4"/>
  <c r="AI104" i="4"/>
  <c r="AK129" i="4"/>
  <c r="AL129" i="4"/>
  <c r="AI136" i="4"/>
  <c r="AH136" i="4"/>
  <c r="AH142" i="4"/>
  <c r="AI142" i="4"/>
  <c r="AH148" i="4"/>
  <c r="AG148" i="4"/>
  <c r="AP90" i="4"/>
  <c r="AQ90" i="4"/>
  <c r="AO85" i="4"/>
  <c r="AP85" i="4"/>
  <c r="AQ80" i="4"/>
  <c r="AP80" i="4"/>
  <c r="AP75" i="4"/>
  <c r="AO75" i="4"/>
  <c r="AH108" i="4"/>
  <c r="AI108" i="4"/>
  <c r="AY129" i="4"/>
  <c r="AW129" i="4"/>
  <c r="AK133" i="4"/>
  <c r="AL133" i="4"/>
  <c r="AH138" i="4"/>
  <c r="AI138" i="4"/>
  <c r="AM140" i="4"/>
  <c r="AL140" i="4"/>
  <c r="AL145" i="4"/>
  <c r="AM145" i="4"/>
  <c r="AG99" i="4"/>
  <c r="AH99" i="4"/>
  <c r="AH114" i="4"/>
  <c r="AI114" i="4"/>
  <c r="AM116" i="4"/>
  <c r="AL116" i="4"/>
  <c r="AL111" i="4"/>
  <c r="AM111" i="4"/>
  <c r="AM110" i="4"/>
  <c r="AL110" i="4"/>
  <c r="AL101" i="4"/>
  <c r="AK101" i="4"/>
  <c r="AM120" i="4"/>
  <c r="AL120" i="4"/>
  <c r="AL106" i="4"/>
  <c r="AK106" i="4"/>
  <c r="AP165" i="4"/>
  <c r="AO165" i="4"/>
  <c r="BC202" i="4"/>
  <c r="BB202" i="4"/>
  <c r="BA203" i="4"/>
  <c r="BB203" i="4"/>
  <c r="AI202" i="4"/>
  <c r="AH202" i="4"/>
  <c r="AO251" i="4"/>
  <c r="AP251" i="4"/>
  <c r="AH257" i="4"/>
  <c r="AI257" i="4"/>
  <c r="AT259" i="4"/>
  <c r="AS259" i="4"/>
  <c r="BB262" i="4"/>
  <c r="BC262" i="4"/>
  <c r="AO267" i="4"/>
  <c r="AP267" i="4"/>
  <c r="BA270" i="4"/>
  <c r="BB270" i="4"/>
  <c r="AP284" i="4"/>
  <c r="AO284" i="4"/>
  <c r="AX287" i="4"/>
  <c r="AW287" i="4"/>
  <c r="AS289" i="4"/>
  <c r="AT289" i="4"/>
  <c r="AH292" i="4"/>
  <c r="AI292" i="4"/>
  <c r="AI294" i="4"/>
  <c r="AH294" i="4"/>
  <c r="AM297" i="4"/>
  <c r="AL297" i="4"/>
  <c r="AH299" i="4"/>
  <c r="AG299" i="4"/>
  <c r="AL311" i="4"/>
  <c r="AK311" i="4"/>
  <c r="AM320" i="4"/>
  <c r="AL320" i="4"/>
  <c r="AL327" i="4"/>
  <c r="AM327" i="4"/>
  <c r="AH189" i="4"/>
  <c r="AG189" i="4"/>
  <c r="AI203" i="4"/>
  <c r="AH203" i="4"/>
  <c r="AG209" i="4"/>
  <c r="AH209" i="4"/>
  <c r="AX227" i="4"/>
  <c r="AW227" i="4"/>
  <c r="AH192" i="4"/>
  <c r="AG192" i="4"/>
  <c r="AG252" i="4"/>
  <c r="AH252" i="4"/>
  <c r="AW252" i="4"/>
  <c r="AY252" i="4"/>
  <c r="AU251" i="4"/>
  <c r="AT251" i="4"/>
  <c r="AT256" i="4"/>
  <c r="AS256" i="4"/>
  <c r="AY259" i="4"/>
  <c r="AX259" i="4"/>
  <c r="AM263" i="4"/>
  <c r="AL263" i="4"/>
  <c r="BC266" i="4"/>
  <c r="BB266" i="4"/>
  <c r="AY271" i="4"/>
  <c r="AX271" i="4"/>
  <c r="AL282" i="4"/>
  <c r="AK282" i="4"/>
  <c r="AI285" i="4"/>
  <c r="AH285" i="4"/>
  <c r="AI287" i="4"/>
  <c r="AH287" i="4"/>
  <c r="AY289" i="4"/>
  <c r="AX289" i="4"/>
  <c r="AM292" i="4"/>
  <c r="AL292" i="4"/>
  <c r="AO294" i="4"/>
  <c r="AP294" i="4"/>
  <c r="AS297" i="4"/>
  <c r="AT297" i="4"/>
  <c r="AQ300" i="4"/>
  <c r="AP300" i="4"/>
  <c r="BC148" i="4"/>
  <c r="BB148" i="4"/>
  <c r="BB131" i="4"/>
  <c r="BA131" i="4"/>
  <c r="AL162" i="4"/>
  <c r="AK162" i="4"/>
  <c r="AH201" i="4"/>
  <c r="AI201" i="4"/>
  <c r="AI199" i="4"/>
  <c r="AH199" i="4"/>
  <c r="AG188" i="4"/>
  <c r="AH188" i="4"/>
  <c r="AX250" i="4"/>
  <c r="AW250" i="4"/>
  <c r="AG278" i="4"/>
  <c r="AH278" i="4"/>
  <c r="AX278" i="4"/>
  <c r="AY278" i="4"/>
  <c r="AH281" i="4"/>
  <c r="AG281" i="4"/>
  <c r="AK283" i="4"/>
  <c r="AL283" i="4"/>
  <c r="AO285" i="4"/>
  <c r="AP285" i="4"/>
  <c r="AT291" i="4"/>
  <c r="AU291" i="4"/>
  <c r="AL294" i="4"/>
  <c r="AM294" i="4"/>
  <c r="AH297" i="4"/>
  <c r="AG297" i="4"/>
  <c r="AL299" i="4"/>
  <c r="AM299" i="4"/>
  <c r="BB331" i="4"/>
  <c r="BA331" i="4"/>
  <c r="AH347" i="4"/>
  <c r="AI347" i="4"/>
  <c r="AP351" i="4"/>
  <c r="AQ351" i="4"/>
  <c r="AG370" i="4"/>
  <c r="AH370" i="4"/>
  <c r="AH377" i="4"/>
  <c r="AI377" i="4"/>
  <c r="AQ381" i="4"/>
  <c r="AP381" i="4"/>
  <c r="AS387" i="4"/>
  <c r="AT387" i="4"/>
  <c r="AW390" i="4"/>
  <c r="AY390" i="4"/>
  <c r="AL436" i="4"/>
  <c r="AK436" i="4"/>
  <c r="AO342" i="4"/>
  <c r="AP342" i="4"/>
  <c r="AH344" i="4"/>
  <c r="AI344" i="4"/>
  <c r="AY368" i="4"/>
  <c r="AX368" i="4"/>
  <c r="AX373" i="4"/>
  <c r="AY373" i="4"/>
  <c r="AH380" i="4"/>
  <c r="AI380" i="4"/>
  <c r="AX383" i="4"/>
  <c r="AW383" i="4"/>
  <c r="AW321" i="4"/>
  <c r="AY321" i="4"/>
  <c r="AX319" i="4"/>
  <c r="AY319" i="4"/>
  <c r="AW329" i="4"/>
  <c r="AX329" i="4"/>
  <c r="AX317" i="4"/>
  <c r="AW317" i="4"/>
  <c r="AX371" i="4"/>
  <c r="AW371" i="4"/>
  <c r="AI375" i="4"/>
  <c r="AH375" i="4"/>
  <c r="AY387" i="4"/>
  <c r="AW387" i="4"/>
  <c r="BB324" i="4"/>
  <c r="BA324" i="4"/>
  <c r="BB312" i="4"/>
  <c r="BA312" i="4"/>
  <c r="BC316" i="4"/>
  <c r="BB316" i="4"/>
  <c r="AM475" i="4"/>
  <c r="AL475" i="4"/>
  <c r="AT460" i="4"/>
  <c r="AU460" i="4"/>
  <c r="AS464" i="4"/>
  <c r="AT464" i="4"/>
  <c r="BB470" i="4"/>
  <c r="BC470" i="4"/>
  <c r="AX463" i="4"/>
  <c r="AY463" i="4"/>
  <c r="AY480" i="4"/>
  <c r="AW480" i="4"/>
  <c r="BA492" i="4"/>
  <c r="BB492" i="4"/>
  <c r="AP498" i="4"/>
  <c r="AQ498" i="4"/>
  <c r="BA505" i="4"/>
  <c r="BB505" i="4"/>
  <c r="BB508" i="4"/>
  <c r="BC508" i="4"/>
  <c r="BA511" i="4"/>
  <c r="BB511" i="4"/>
  <c r="BC511" i="4"/>
  <c r="AX526" i="4"/>
  <c r="AW526" i="4"/>
  <c r="AQ532" i="4"/>
  <c r="AP532" i="4"/>
  <c r="AX538" i="4"/>
  <c r="AW538" i="4"/>
  <c r="BA540" i="4"/>
  <c r="BB540" i="4"/>
  <c r="AL560" i="4"/>
  <c r="AM560" i="4"/>
  <c r="AL569" i="4"/>
  <c r="AM569" i="4"/>
  <c r="AT580" i="4"/>
  <c r="AU580" i="4"/>
  <c r="AO586" i="4"/>
  <c r="AP586" i="4"/>
  <c r="AH590" i="4"/>
  <c r="AI590" i="4"/>
  <c r="AQ592" i="4"/>
  <c r="AP592" i="4"/>
  <c r="AS597" i="4"/>
  <c r="AT597" i="4"/>
  <c r="BB402" i="4"/>
  <c r="BA402" i="4"/>
  <c r="BA414" i="4"/>
  <c r="BB414" i="4"/>
  <c r="BB400" i="4"/>
  <c r="BC400" i="4"/>
  <c r="BB412" i="4"/>
  <c r="BC412" i="4"/>
  <c r="AS495" i="4"/>
  <c r="AT495" i="4"/>
  <c r="BB489" i="4"/>
  <c r="BC489" i="4"/>
  <c r="AW552" i="4"/>
  <c r="AY552" i="4"/>
  <c r="AU411" i="4"/>
  <c r="AT411" i="4"/>
  <c r="AU400" i="4"/>
  <c r="AT400" i="4"/>
  <c r="AU399" i="4"/>
  <c r="AT399" i="4"/>
  <c r="AU415" i="4"/>
  <c r="AT415" i="4"/>
  <c r="AU398" i="4"/>
  <c r="AT398" i="4"/>
  <c r="AH467" i="4"/>
  <c r="AI467" i="4"/>
  <c r="AP478" i="4"/>
  <c r="AO478" i="4"/>
  <c r="AX458" i="4"/>
  <c r="AY458" i="4"/>
  <c r="AQ497" i="4"/>
  <c r="AP497" i="4"/>
  <c r="AY492" i="4"/>
  <c r="AW492" i="4"/>
  <c r="BC448" i="4"/>
  <c r="BB448" i="4"/>
  <c r="BA448" i="4"/>
  <c r="AY468" i="4"/>
  <c r="AW468" i="4"/>
  <c r="AL492" i="4"/>
  <c r="AK492" i="4"/>
  <c r="AG490" i="4"/>
  <c r="AH490" i="4"/>
  <c r="BA498" i="4"/>
  <c r="BB498" i="4"/>
  <c r="AP502" i="4"/>
  <c r="AQ502" i="4"/>
  <c r="AG506" i="4"/>
  <c r="AH506" i="4"/>
  <c r="AG509" i="4"/>
  <c r="AH509" i="4"/>
  <c r="AP518" i="4"/>
  <c r="AQ518" i="4"/>
  <c r="AT522" i="4"/>
  <c r="AU522" i="4"/>
  <c r="BC525" i="4"/>
  <c r="BB525" i="4"/>
  <c r="AY530" i="4"/>
  <c r="AX530" i="4"/>
  <c r="AY537" i="4"/>
  <c r="AW537" i="4"/>
  <c r="AW550" i="4"/>
  <c r="AX550" i="4"/>
  <c r="AW558" i="4"/>
  <c r="AY558" i="4"/>
  <c r="BA595" i="4"/>
  <c r="BB595" i="4"/>
  <c r="BA600" i="4"/>
  <c r="BB600" i="4"/>
  <c r="BB584" i="4"/>
  <c r="BC584" i="4"/>
  <c r="BB615" i="4"/>
  <c r="BC615" i="4"/>
  <c r="BA629" i="4"/>
  <c r="BB629" i="4"/>
  <c r="AW767" i="4"/>
  <c r="AX767" i="4"/>
  <c r="AH800" i="4"/>
  <c r="AI800" i="4"/>
  <c r="BA583" i="4"/>
  <c r="BB583" i="4"/>
  <c r="AS629" i="4"/>
  <c r="AT629" i="4"/>
  <c r="AS628" i="4"/>
  <c r="AT628" i="4"/>
  <c r="AU622" i="4"/>
  <c r="AT622" i="4"/>
  <c r="BA623" i="4"/>
  <c r="BB623" i="4"/>
  <c r="AX673" i="4"/>
  <c r="AY673" i="4"/>
  <c r="AH685" i="4"/>
  <c r="AI685" i="4"/>
  <c r="AT691" i="4"/>
  <c r="AS691" i="4"/>
  <c r="AX737" i="4"/>
  <c r="AW737" i="4"/>
  <c r="AP743" i="4"/>
  <c r="AO743" i="4"/>
  <c r="AT750" i="4"/>
  <c r="AS750" i="4"/>
  <c r="AP769" i="4"/>
  <c r="AQ769" i="4"/>
  <c r="BB778" i="4"/>
  <c r="BC778" i="4"/>
  <c r="AH803" i="4"/>
  <c r="AI803" i="4"/>
  <c r="AL627" i="4"/>
  <c r="AM627" i="4"/>
  <c r="AK608" i="4"/>
  <c r="AL608" i="4"/>
  <c r="AK617" i="4"/>
  <c r="AL617" i="4"/>
  <c r="AL650" i="4"/>
  <c r="AM650" i="4"/>
  <c r="AT671" i="4"/>
  <c r="AU671" i="4"/>
  <c r="AL684" i="4"/>
  <c r="AM684" i="4"/>
  <c r="AL689" i="4"/>
  <c r="AM689" i="4"/>
  <c r="BB699" i="4"/>
  <c r="BC699" i="4"/>
  <c r="AQ728" i="4"/>
  <c r="AP728" i="4"/>
  <c r="AQ730" i="4"/>
  <c r="AP730" i="4"/>
  <c r="AS748" i="4"/>
  <c r="AT748" i="4"/>
  <c r="AW762" i="4"/>
  <c r="AY762" i="4"/>
  <c r="AS768" i="4"/>
  <c r="AT768" i="4"/>
  <c r="BA797" i="4"/>
  <c r="BB797" i="4"/>
  <c r="AO803" i="4"/>
  <c r="AP803" i="4"/>
  <c r="AT805" i="4"/>
  <c r="AU805" i="4"/>
  <c r="AG807" i="4"/>
  <c r="AH807" i="4"/>
  <c r="AP820" i="4"/>
  <c r="AQ820" i="4"/>
  <c r="AK826" i="4"/>
  <c r="AL826" i="4"/>
  <c r="AQ829" i="4"/>
  <c r="AP829" i="4"/>
  <c r="AI835" i="4"/>
  <c r="AH835" i="4"/>
  <c r="AM838" i="4"/>
  <c r="AL838" i="4"/>
  <c r="AT840" i="4"/>
  <c r="AS840" i="4"/>
  <c r="AI862" i="4"/>
  <c r="AH862" i="4"/>
  <c r="AQ848" i="4"/>
  <c r="AP848" i="4"/>
  <c r="BA852" i="4"/>
  <c r="BB852" i="4"/>
  <c r="AW821" i="4"/>
  <c r="AX821" i="4"/>
  <c r="AY834" i="4"/>
  <c r="AW834" i="4"/>
  <c r="AX823" i="4"/>
  <c r="AY823" i="4"/>
  <c r="AU864" i="4"/>
  <c r="AT864" i="4"/>
  <c r="AT861" i="4"/>
  <c r="AU861" i="4"/>
  <c r="AW870" i="4"/>
  <c r="AY870" i="4"/>
  <c r="AY853" i="4"/>
  <c r="AX853" i="4"/>
  <c r="AW851" i="4"/>
  <c r="AX851" i="4"/>
  <c r="AM867" i="4"/>
  <c r="AL867" i="4"/>
  <c r="AL848" i="4"/>
  <c r="AK848" i="4"/>
  <c r="BB851" i="4"/>
  <c r="BA851" i="4"/>
  <c r="BC854" i="4"/>
  <c r="BB854" i="4"/>
  <c r="AL18" i="63"/>
  <c r="Q39" i="63" s="1"/>
  <c r="AT4" i="62"/>
  <c r="Y25" i="62" s="1"/>
  <c r="C25" i="62" s="1"/>
  <c r="L25" i="62" s="1"/>
  <c r="AA4" i="62"/>
  <c r="Y6" i="62" s="1"/>
  <c r="C6" i="62" s="1"/>
  <c r="L6" i="62" s="1"/>
  <c r="S18" i="63"/>
  <c r="Q20" i="63" s="1"/>
  <c r="AR4" i="62"/>
  <c r="Y23" i="62" s="1"/>
  <c r="C23" i="62" s="1"/>
  <c r="L23" i="62" s="1"/>
  <c r="AJ18" i="63"/>
  <c r="Q37" i="63" s="1"/>
  <c r="AN4" i="62"/>
  <c r="Y19" i="62" s="1"/>
  <c r="C19" i="62" s="1"/>
  <c r="L19" i="62" s="1"/>
  <c r="AF18" i="63"/>
  <c r="Q33" i="63" s="1"/>
  <c r="AA5" i="3"/>
  <c r="AJ28" i="62"/>
  <c r="Y39" i="62" s="1"/>
  <c r="C39" i="62" s="1"/>
  <c r="L39" i="62" s="1"/>
  <c r="AB42" i="63"/>
  <c r="Q53" i="63" s="1"/>
  <c r="AB6" i="3"/>
  <c r="AE38" i="4" a="1"/>
  <c r="Q42" i="63"/>
  <c r="AA6" i="3"/>
  <c r="Y28" i="62"/>
  <c r="C28" i="62" s="1"/>
  <c r="L28" i="62" s="1"/>
  <c r="AO28" i="62"/>
  <c r="Y44" i="62" s="1"/>
  <c r="D5" i="62" s="1"/>
  <c r="M5" i="62" s="1"/>
  <c r="AG42" i="63"/>
  <c r="Q58" i="63" s="1"/>
  <c r="AH28" i="62"/>
  <c r="Y37" i="62" s="1"/>
  <c r="C37" i="62" s="1"/>
  <c r="L37" i="62" s="1"/>
  <c r="Z42" i="63"/>
  <c r="Q51" i="63" s="1"/>
  <c r="AS28" i="62"/>
  <c r="Y48" i="62" s="1"/>
  <c r="D9" i="62" s="1"/>
  <c r="M9" i="62" s="1"/>
  <c r="AK42" i="63"/>
  <c r="Q62" i="63" s="1"/>
  <c r="AR28" i="62"/>
  <c r="Y47" i="62" s="1"/>
  <c r="D8" i="62" s="1"/>
  <c r="M8" i="62" s="1"/>
  <c r="AJ42" i="63"/>
  <c r="Q61" i="63" s="1"/>
  <c r="M65" i="56"/>
  <c r="B121" i="56"/>
  <c r="AJ148" i="62"/>
  <c r="Y159" i="62" s="1"/>
  <c r="F42" i="62" s="1"/>
  <c r="O42" i="62" s="1"/>
  <c r="AB162" i="63"/>
  <c r="Q173" i="63" s="1"/>
  <c r="AA148" i="62"/>
  <c r="Y150" i="62" s="1"/>
  <c r="F33" i="62" s="1"/>
  <c r="O33" i="62" s="1"/>
  <c r="S162" i="63"/>
  <c r="Q164" i="63" s="1"/>
  <c r="Q162" i="63"/>
  <c r="AB11" i="3"/>
  <c r="AA11" i="3"/>
  <c r="Y148" i="62"/>
  <c r="F31" i="62" s="1"/>
  <c r="O31" i="62" s="1"/>
  <c r="AE188" i="4" a="1"/>
  <c r="AP148" i="62"/>
  <c r="Y165" i="62" s="1"/>
  <c r="G9" i="62" s="1"/>
  <c r="P9" i="62" s="1"/>
  <c r="AH162" i="63"/>
  <c r="Q179" i="63" s="1"/>
  <c r="Z148" i="62"/>
  <c r="Y149" i="62" s="1"/>
  <c r="F32" i="62" s="1"/>
  <c r="O32" i="62" s="1"/>
  <c r="R162" i="63"/>
  <c r="Q163" i="63" s="1"/>
  <c r="AT148" i="62"/>
  <c r="Y169" i="62" s="1"/>
  <c r="G13" i="62" s="1"/>
  <c r="P13" i="62" s="1"/>
  <c r="AL162" i="63"/>
  <c r="Q183" i="63" s="1"/>
  <c r="AC292" i="62"/>
  <c r="Y296" i="62" s="1"/>
  <c r="J23" i="62" s="1"/>
  <c r="S23" i="62" s="1"/>
  <c r="U306" i="63"/>
  <c r="Q310" i="63" s="1"/>
  <c r="AE398" i="4" a="1"/>
  <c r="AP316" i="62"/>
  <c r="Y333" i="62" s="1"/>
  <c r="K21" i="62" s="1"/>
  <c r="AH330" i="63"/>
  <c r="AB18" i="3"/>
  <c r="AA18" i="3"/>
  <c r="AA124" i="62"/>
  <c r="Y126" i="62" s="1"/>
  <c r="F9" i="62" s="1"/>
  <c r="O9" i="62" s="1"/>
  <c r="S138" i="63"/>
  <c r="Q140" i="63" s="1"/>
  <c r="AV124" i="62"/>
  <c r="Y147" i="62" s="1"/>
  <c r="F30" i="62" s="1"/>
  <c r="O30" i="62" s="1"/>
  <c r="AN138" i="63"/>
  <c r="Q161" i="63" s="1"/>
  <c r="AS124" i="62"/>
  <c r="Y144" i="62" s="1"/>
  <c r="F27" i="62" s="1"/>
  <c r="O27" i="62" s="1"/>
  <c r="AK138" i="63"/>
  <c r="Q158" i="63" s="1"/>
  <c r="AH124" i="62"/>
  <c r="Y133" i="62" s="1"/>
  <c r="F16" i="62" s="1"/>
  <c r="O16" i="62" s="1"/>
  <c r="Z138" i="63"/>
  <c r="Q147" i="63" s="1"/>
  <c r="AQ124" i="62"/>
  <c r="Y142" i="62" s="1"/>
  <c r="F25" i="62" s="1"/>
  <c r="O25" i="62" s="1"/>
  <c r="AI138" i="63"/>
  <c r="Q156" i="63" s="1"/>
  <c r="AC124" i="62"/>
  <c r="Y128" i="62" s="1"/>
  <c r="F11" i="62" s="1"/>
  <c r="O11" i="62" s="1"/>
  <c r="U138" i="63"/>
  <c r="Q142" i="63" s="1"/>
  <c r="AE172" i="62"/>
  <c r="Y178" i="62" s="1"/>
  <c r="G22" i="62" s="1"/>
  <c r="P22" i="62" s="1"/>
  <c r="W186" i="63"/>
  <c r="Q192" i="63" s="1"/>
  <c r="AD172" i="62"/>
  <c r="Y177" i="62" s="1"/>
  <c r="G21" i="62" s="1"/>
  <c r="P21" i="62" s="1"/>
  <c r="V186" i="63"/>
  <c r="Q191" i="63" s="1"/>
  <c r="AL196" i="62"/>
  <c r="Y209" i="62" s="1"/>
  <c r="H14" i="62" s="1"/>
  <c r="Q14" i="62" s="1"/>
  <c r="AD210" i="63"/>
  <c r="Q223" i="63" s="1"/>
  <c r="AC196" i="62"/>
  <c r="Y200" i="62" s="1"/>
  <c r="H5" i="62" s="1"/>
  <c r="Q5" i="62" s="1"/>
  <c r="U210" i="63"/>
  <c r="Q214" i="63" s="1"/>
  <c r="AU292" i="62"/>
  <c r="Y314" i="62" s="1"/>
  <c r="J41" i="62" s="1"/>
  <c r="S41" i="62" s="1"/>
  <c r="AM306" i="63"/>
  <c r="Q328" i="63" s="1"/>
  <c r="AA172" i="62"/>
  <c r="Y174" i="62" s="1"/>
  <c r="G18" i="62" s="1"/>
  <c r="P18" i="62" s="1"/>
  <c r="S186" i="63"/>
  <c r="Q188" i="63" s="1"/>
  <c r="AA12" i="3"/>
  <c r="AV196" i="62"/>
  <c r="Y219" i="62" s="1"/>
  <c r="H24" i="62" s="1"/>
  <c r="Q24" i="62" s="1"/>
  <c r="AN210" i="63"/>
  <c r="Q233" i="63" s="1"/>
  <c r="AG244" i="62"/>
  <c r="Y252" i="62" s="1"/>
  <c r="I18" i="62" s="1"/>
  <c r="R18" i="62" s="1"/>
  <c r="Y258" i="63"/>
  <c r="Q266" i="63" s="1"/>
  <c r="AP172" i="62"/>
  <c r="Y189" i="62" s="1"/>
  <c r="G33" i="62" s="1"/>
  <c r="P33" i="62" s="1"/>
  <c r="AH186" i="63"/>
  <c r="Q203" i="63" s="1"/>
  <c r="AV172" i="62"/>
  <c r="Y195" i="62" s="1"/>
  <c r="G39" i="62" s="1"/>
  <c r="P39" i="62" s="1"/>
  <c r="AN186" i="63"/>
  <c r="Q209" i="63" s="1"/>
  <c r="AO196" i="62"/>
  <c r="Y212" i="62" s="1"/>
  <c r="H17" i="62" s="1"/>
  <c r="Q17" i="62" s="1"/>
  <c r="AG210" i="63"/>
  <c r="Q226" i="63" s="1"/>
  <c r="AP244" i="62"/>
  <c r="Y261" i="62" s="1"/>
  <c r="I27" i="62" s="1"/>
  <c r="R27" i="62" s="1"/>
  <c r="AH258" i="63"/>
  <c r="Q275" i="63" s="1"/>
  <c r="AL220" i="62"/>
  <c r="Y233" i="62" s="1"/>
  <c r="H38" i="62" s="1"/>
  <c r="Q38" i="62" s="1"/>
  <c r="AD234" i="63"/>
  <c r="Q247" i="63" s="1"/>
  <c r="AM220" i="62"/>
  <c r="Y234" i="62" s="1"/>
  <c r="H39" i="62" s="1"/>
  <c r="Q39" i="62" s="1"/>
  <c r="AE234" i="63"/>
  <c r="Q248" i="63" s="1"/>
  <c r="W234" i="63"/>
  <c r="Q240" i="63" s="1"/>
  <c r="AE220" i="62"/>
  <c r="Y226" i="62" s="1"/>
  <c r="H31" i="62" s="1"/>
  <c r="Q31" i="62" s="1"/>
  <c r="AF220" i="62"/>
  <c r="Y227" i="62" s="1"/>
  <c r="H32" i="62" s="1"/>
  <c r="Q32" i="62" s="1"/>
  <c r="X234" i="63"/>
  <c r="Q241" i="63" s="1"/>
  <c r="AB220" i="62"/>
  <c r="Y223" i="62" s="1"/>
  <c r="H28" i="62" s="1"/>
  <c r="Q28" i="62" s="1"/>
  <c r="T234" i="63"/>
  <c r="Q237" i="63" s="1"/>
  <c r="AD220" i="62"/>
  <c r="Y225" i="62" s="1"/>
  <c r="H30" i="62" s="1"/>
  <c r="Q30" i="62" s="1"/>
  <c r="V234" i="63"/>
  <c r="Q239" i="63" s="1"/>
  <c r="Q363" i="63"/>
  <c r="AO440" i="4"/>
  <c r="AG434" i="4"/>
  <c r="AQ434" i="4"/>
  <c r="AM434" i="4"/>
  <c r="BA434" i="4"/>
  <c r="AU434" i="4"/>
  <c r="AW434" i="4"/>
  <c r="AE608" i="4" a="1"/>
  <c r="AB25" i="3"/>
  <c r="AA25" i="3"/>
  <c r="AE848" i="4" a="1"/>
  <c r="AA33" i="3"/>
  <c r="AB33" i="3"/>
  <c r="T30" i="3"/>
  <c r="V30" i="3"/>
  <c r="E30" i="3"/>
  <c r="J30" i="3"/>
  <c r="G30" i="3"/>
  <c r="Y30" i="3"/>
  <c r="W30" i="3"/>
  <c r="R30" i="3"/>
  <c r="O30" i="3"/>
  <c r="S30" i="3"/>
  <c r="P30" i="3"/>
  <c r="C30" i="3"/>
  <c r="K30" i="3"/>
  <c r="Z30" i="3"/>
  <c r="M30" i="3"/>
  <c r="L30" i="3"/>
  <c r="H30" i="3"/>
  <c r="F30" i="3"/>
  <c r="N30" i="3"/>
  <c r="U30" i="3"/>
  <c r="X30" i="3"/>
  <c r="Q30" i="3"/>
  <c r="D30" i="3"/>
  <c r="I30" i="3"/>
  <c r="V39" i="2"/>
  <c r="CF25" i="9"/>
  <c r="CE62" i="9"/>
  <c r="CF64" i="9"/>
  <c r="BT79" i="9"/>
  <c r="BH18" i="9"/>
  <c r="BG95" i="9"/>
  <c r="BB28" i="4"/>
  <c r="BC28" i="4"/>
  <c r="AL149" i="4"/>
  <c r="AM149" i="4"/>
  <c r="BB248" i="4"/>
  <c r="BC248" i="4"/>
  <c r="B7" i="56"/>
  <c r="H6" i="56"/>
  <c r="AV19" i="9"/>
  <c r="AS52" i="9"/>
  <c r="BH19" i="9"/>
  <c r="BG19" i="9"/>
  <c r="BH41" i="9"/>
  <c r="BT60" i="9"/>
  <c r="BT61" i="9"/>
  <c r="BS62" i="9"/>
  <c r="BS63" i="9"/>
  <c r="BS64" i="9"/>
  <c r="BT65" i="9"/>
  <c r="AI72" i="9"/>
  <c r="BG79" i="9"/>
  <c r="F19" i="46"/>
  <c r="F40" i="46" s="1"/>
  <c r="H9" i="52" s="1"/>
  <c r="BG33" i="9"/>
  <c r="AJ93" i="9"/>
  <c r="AJ94" i="9"/>
  <c r="AJ96" i="9"/>
  <c r="AJ97" i="9"/>
  <c r="AG11" i="4"/>
  <c r="AH11" i="4"/>
  <c r="AK16" i="4"/>
  <c r="AL16" i="4"/>
  <c r="AL25" i="4"/>
  <c r="AM25" i="4"/>
  <c r="BA30" i="4"/>
  <c r="BB30" i="4"/>
  <c r="AI78" i="4"/>
  <c r="AH78" i="4"/>
  <c r="BC104" i="4"/>
  <c r="BB104" i="4"/>
  <c r="BC112" i="4"/>
  <c r="BB112" i="4"/>
  <c r="BB8" i="4"/>
  <c r="BC8" i="4"/>
  <c r="AU12" i="4"/>
  <c r="AT12" i="4"/>
  <c r="AT16" i="4"/>
  <c r="AS16" i="4"/>
  <c r="AT22" i="4"/>
  <c r="AU22" i="4"/>
  <c r="AT28" i="4"/>
  <c r="AS28" i="4"/>
  <c r="AW71" i="4"/>
  <c r="AX71" i="4"/>
  <c r="BB102" i="4"/>
  <c r="BA102" i="4"/>
  <c r="AT20" i="4"/>
  <c r="AU20" i="4"/>
  <c r="BA24" i="4"/>
  <c r="BB24" i="4"/>
  <c r="AH107" i="4"/>
  <c r="AI107" i="4"/>
  <c r="AK130" i="4"/>
  <c r="AL130" i="4"/>
  <c r="AK138" i="4"/>
  <c r="AL138" i="4"/>
  <c r="AU142" i="4"/>
  <c r="AT142" i="4"/>
  <c r="AS148" i="4"/>
  <c r="AT148" i="4"/>
  <c r="AO73" i="4"/>
  <c r="AP73" i="4"/>
  <c r="AP84" i="4"/>
  <c r="AO84" i="4"/>
  <c r="AQ79" i="4"/>
  <c r="AP79" i="4"/>
  <c r="AP69" i="4"/>
  <c r="AQ69" i="4"/>
  <c r="AI110" i="4"/>
  <c r="AH110" i="4"/>
  <c r="AG130" i="4"/>
  <c r="AH130" i="4"/>
  <c r="AK134" i="4"/>
  <c r="AL134" i="4"/>
  <c r="AT138" i="4"/>
  <c r="AS138" i="4"/>
  <c r="AI141" i="4"/>
  <c r="AH141" i="4"/>
  <c r="AG149" i="4"/>
  <c r="AH149" i="4"/>
  <c r="AH105" i="4"/>
  <c r="AI105" i="4"/>
  <c r="AI112" i="4"/>
  <c r="AH112" i="4"/>
  <c r="AI111" i="4"/>
  <c r="AH111" i="4"/>
  <c r="AL114" i="4"/>
  <c r="AM114" i="4"/>
  <c r="AM113" i="4"/>
  <c r="AL113" i="4"/>
  <c r="AK108" i="4"/>
  <c r="AL108" i="4"/>
  <c r="AK100" i="4"/>
  <c r="AL100" i="4"/>
  <c r="AM118" i="4"/>
  <c r="AL118" i="4"/>
  <c r="AL104" i="4"/>
  <c r="AK104" i="4"/>
  <c r="BB128" i="4"/>
  <c r="BC128" i="4"/>
  <c r="AO177" i="4"/>
  <c r="AP177" i="4"/>
  <c r="AM178" i="4"/>
  <c r="AL178" i="4"/>
  <c r="BB198" i="4"/>
  <c r="BA198" i="4"/>
  <c r="BB191" i="4"/>
  <c r="BA191" i="4"/>
  <c r="BB253" i="4"/>
  <c r="BA253" i="4"/>
  <c r="AP257" i="4"/>
  <c r="AQ257" i="4"/>
  <c r="BB260" i="4"/>
  <c r="BC260" i="4"/>
  <c r="AT264" i="4"/>
  <c r="AU264" i="4"/>
  <c r="AW267" i="4"/>
  <c r="AY267" i="4"/>
  <c r="AT271" i="4"/>
  <c r="AS271" i="4"/>
  <c r="AL285" i="4"/>
  <c r="AK285" i="4"/>
  <c r="AL288" i="4"/>
  <c r="AK288" i="4"/>
  <c r="AI290" i="4"/>
  <c r="AH290" i="4"/>
  <c r="AQ292" i="4"/>
  <c r="AP292" i="4"/>
  <c r="AU294" i="4"/>
  <c r="AT294" i="4"/>
  <c r="AY297" i="4"/>
  <c r="AW297" i="4"/>
  <c r="AW300" i="4"/>
  <c r="AY300" i="4"/>
  <c r="AL312" i="4"/>
  <c r="AK312" i="4"/>
  <c r="AM321" i="4"/>
  <c r="AL321" i="4"/>
  <c r="AM328" i="4"/>
  <c r="AL328" i="4"/>
  <c r="AO161" i="4"/>
  <c r="AP161" i="4"/>
  <c r="AH193" i="4"/>
  <c r="AG193" i="4"/>
  <c r="AY231" i="4"/>
  <c r="AW231" i="4"/>
  <c r="AH206" i="4"/>
  <c r="AG206" i="4"/>
  <c r="AK251" i="4"/>
  <c r="AL251" i="4"/>
  <c r="BA251" i="4"/>
  <c r="BB251" i="4"/>
  <c r="AX253" i="4"/>
  <c r="AY253" i="4"/>
  <c r="AL257" i="4"/>
  <c r="AK257" i="4"/>
  <c r="AI260" i="4"/>
  <c r="AH260" i="4"/>
  <c r="AP264" i="4"/>
  <c r="AO264" i="4"/>
  <c r="AT267" i="4"/>
  <c r="AS267" i="4"/>
  <c r="AY283" i="4"/>
  <c r="AX283" i="4"/>
  <c r="AS285" i="4"/>
  <c r="AT285" i="4"/>
  <c r="AH288" i="4"/>
  <c r="AI288" i="4"/>
  <c r="AP290" i="4"/>
  <c r="AQ290" i="4"/>
  <c r="AW292" i="4"/>
  <c r="AX292" i="4"/>
  <c r="AU295" i="4"/>
  <c r="AT295" i="4"/>
  <c r="AO298" i="4"/>
  <c r="AP298" i="4"/>
  <c r="AS301" i="4"/>
  <c r="AT301" i="4"/>
  <c r="BC147" i="4"/>
  <c r="BB147" i="4"/>
  <c r="BB151" i="4"/>
  <c r="BA151" i="4"/>
  <c r="AK160" i="4"/>
  <c r="AL160" i="4"/>
  <c r="AH197" i="4"/>
  <c r="AI197" i="4"/>
  <c r="AH194" i="4"/>
  <c r="AI194" i="4"/>
  <c r="AX248" i="4"/>
  <c r="AY248" i="4"/>
  <c r="AK278" i="4"/>
  <c r="AL278" i="4"/>
  <c r="AW279" i="4"/>
  <c r="AY279" i="4"/>
  <c r="AT281" i="4"/>
  <c r="AU281" i="4"/>
  <c r="AT283" i="4"/>
  <c r="AU283" i="4"/>
  <c r="AQ287" i="4"/>
  <c r="AP287" i="4"/>
  <c r="AO297" i="4"/>
  <c r="AP297" i="4"/>
  <c r="AG300" i="4"/>
  <c r="AH300" i="4"/>
  <c r="BC327" i="4"/>
  <c r="BB327" i="4"/>
  <c r="AG341" i="4"/>
  <c r="AH341" i="4"/>
  <c r="AK345" i="4"/>
  <c r="AL345" i="4"/>
  <c r="AW347" i="4"/>
  <c r="AX347" i="4"/>
  <c r="AI352" i="4"/>
  <c r="AH352" i="4"/>
  <c r="AT370" i="4"/>
  <c r="AU370" i="4"/>
  <c r="AH382" i="4"/>
  <c r="AI382" i="4"/>
  <c r="AX385" i="4"/>
  <c r="AY385" i="4"/>
  <c r="AG388" i="4"/>
  <c r="AH388" i="4"/>
  <c r="AH391" i="4"/>
  <c r="AG391" i="4"/>
  <c r="AW411" i="4"/>
  <c r="AY411" i="4"/>
  <c r="AM440" i="4"/>
  <c r="AL440" i="4"/>
  <c r="AW342" i="4"/>
  <c r="AY342" i="4"/>
  <c r="AH345" i="4"/>
  <c r="AI345" i="4"/>
  <c r="AH378" i="4"/>
  <c r="AI378" i="4"/>
  <c r="AU380" i="4"/>
  <c r="AT380" i="4"/>
  <c r="AY320" i="4"/>
  <c r="AX320" i="4"/>
  <c r="AX316" i="4"/>
  <c r="AW316" i="4"/>
  <c r="AW328" i="4"/>
  <c r="AX328" i="4"/>
  <c r="AW311" i="4"/>
  <c r="AX311" i="4"/>
  <c r="AH340" i="4"/>
  <c r="AG340" i="4"/>
  <c r="AH373" i="4"/>
  <c r="AG373" i="4"/>
  <c r="AH389" i="4"/>
  <c r="AG389" i="4"/>
  <c r="BC320" i="4"/>
  <c r="BB320" i="4"/>
  <c r="BB311" i="4"/>
  <c r="BA311" i="4"/>
  <c r="BC314" i="4"/>
  <c r="BB314" i="4"/>
  <c r="AU442" i="4"/>
  <c r="AT442" i="4"/>
  <c r="AL470" i="4"/>
  <c r="AM470" i="4"/>
  <c r="AT458" i="4"/>
  <c r="AU458" i="4"/>
  <c r="AU459" i="4"/>
  <c r="AT459" i="4"/>
  <c r="BC459" i="4"/>
  <c r="BB459" i="4"/>
  <c r="AI464" i="4"/>
  <c r="AH464" i="4"/>
  <c r="AX494" i="4"/>
  <c r="AY494" i="4"/>
  <c r="AP499" i="4"/>
  <c r="AQ499" i="4"/>
  <c r="AX506" i="4"/>
  <c r="AY506" i="4"/>
  <c r="AQ509" i="4"/>
  <c r="AP509" i="4"/>
  <c r="AT520" i="4"/>
  <c r="AU520" i="4"/>
  <c r="AQ527" i="4"/>
  <c r="AP527" i="4"/>
  <c r="AS536" i="4"/>
  <c r="AT536" i="4"/>
  <c r="AP539" i="4"/>
  <c r="AQ539" i="4"/>
  <c r="AS541" i="4"/>
  <c r="AT541" i="4"/>
  <c r="AL561" i="4"/>
  <c r="AM561" i="4"/>
  <c r="AL570" i="4"/>
  <c r="AM570" i="4"/>
  <c r="AG583" i="4"/>
  <c r="AH583" i="4"/>
  <c r="AK588" i="4"/>
  <c r="AL588" i="4"/>
  <c r="AT590" i="4"/>
  <c r="AU590" i="4"/>
  <c r="AL593" i="4"/>
  <c r="AM593" i="4"/>
  <c r="AP600" i="4"/>
  <c r="AQ600" i="4"/>
  <c r="BA420" i="4"/>
  <c r="BB420" i="4"/>
  <c r="BB409" i="4"/>
  <c r="BA409" i="4"/>
  <c r="BB421" i="4"/>
  <c r="BA421" i="4"/>
  <c r="BB404" i="4"/>
  <c r="BC404" i="4"/>
  <c r="AU493" i="4"/>
  <c r="AT493" i="4"/>
  <c r="AQ520" i="4"/>
  <c r="AP520" i="4"/>
  <c r="AW561" i="4"/>
  <c r="AY561" i="4"/>
  <c r="AT405" i="4"/>
  <c r="AS405" i="4"/>
  <c r="AT414" i="4"/>
  <c r="AU414" i="4"/>
  <c r="AS418" i="4"/>
  <c r="AT418" i="4"/>
  <c r="AS409" i="4"/>
  <c r="AT409" i="4"/>
  <c r="AG462" i="4"/>
  <c r="AH462" i="4"/>
  <c r="AO465" i="4"/>
  <c r="AP465" i="4"/>
  <c r="AX472" i="4"/>
  <c r="AW472" i="4"/>
  <c r="AO494" i="4"/>
  <c r="AP494" i="4"/>
  <c r="BB496" i="4"/>
  <c r="BC496" i="4"/>
  <c r="AY464" i="4"/>
  <c r="AX464" i="4"/>
  <c r="AM471" i="4"/>
  <c r="AL471" i="4"/>
  <c r="AL490" i="4"/>
  <c r="AK490" i="4"/>
  <c r="BB490" i="4"/>
  <c r="BC490" i="4"/>
  <c r="AS499" i="4"/>
  <c r="AT499" i="4"/>
  <c r="AT501" i="4"/>
  <c r="AU501" i="4"/>
  <c r="AO504" i="4"/>
  <c r="AP504" i="4"/>
  <c r="BA509" i="4"/>
  <c r="BB509" i="4"/>
  <c r="AT518" i="4"/>
  <c r="AU518" i="4"/>
  <c r="BB520" i="4"/>
  <c r="BC520" i="4"/>
  <c r="AS526" i="4"/>
  <c r="AT526" i="4"/>
  <c r="AP529" i="4"/>
  <c r="AQ529" i="4"/>
  <c r="AU531" i="4"/>
  <c r="AT531" i="4"/>
  <c r="AS538" i="4"/>
  <c r="AT538" i="4"/>
  <c r="AY541" i="4"/>
  <c r="AX541" i="4"/>
  <c r="AK553" i="4"/>
  <c r="AL553" i="4"/>
  <c r="BA587" i="4"/>
  <c r="BB587" i="4"/>
  <c r="BB598" i="4"/>
  <c r="BC598" i="4"/>
  <c r="BB614" i="4"/>
  <c r="BC614" i="4"/>
  <c r="BB628" i="4"/>
  <c r="BC628" i="4"/>
  <c r="AG789" i="4"/>
  <c r="AH789" i="4"/>
  <c r="AT621" i="4"/>
  <c r="AU621" i="4"/>
  <c r="AS627" i="4"/>
  <c r="AT627" i="4"/>
  <c r="AT620" i="4"/>
  <c r="AU620" i="4"/>
  <c r="AT670" i="4"/>
  <c r="AU670" i="4"/>
  <c r="AH674" i="4"/>
  <c r="AI674" i="4"/>
  <c r="AW678" i="4"/>
  <c r="AY678" i="4"/>
  <c r="AS686" i="4"/>
  <c r="AT686" i="4"/>
  <c r="AO733" i="4"/>
  <c r="AP733" i="4"/>
  <c r="AS738" i="4"/>
  <c r="AT738" i="4"/>
  <c r="AO744" i="4"/>
  <c r="AP744" i="4"/>
  <c r="AQ751" i="4"/>
  <c r="AP751" i="4"/>
  <c r="AS780" i="4"/>
  <c r="AT780" i="4"/>
  <c r="AH808" i="4"/>
  <c r="AG808" i="4"/>
  <c r="AL625" i="4"/>
  <c r="AM625" i="4"/>
  <c r="AL626" i="4"/>
  <c r="AM626" i="4"/>
  <c r="AK615" i="4"/>
  <c r="AL615" i="4"/>
  <c r="AK641" i="4"/>
  <c r="AL641" i="4"/>
  <c r="AK646" i="4"/>
  <c r="AL646" i="4"/>
  <c r="AS674" i="4"/>
  <c r="AT674" i="4"/>
  <c r="AT675" i="4"/>
  <c r="AS675" i="4"/>
  <c r="AL685" i="4"/>
  <c r="AM685" i="4"/>
  <c r="BA702" i="4"/>
  <c r="BB702" i="4"/>
  <c r="AT728" i="4"/>
  <c r="AU728" i="4"/>
  <c r="AP734" i="4"/>
  <c r="AO734" i="4"/>
  <c r="AQ742" i="4"/>
  <c r="AP742" i="4"/>
  <c r="AY744" i="4"/>
  <c r="AW744" i="4"/>
  <c r="AX751" i="4"/>
  <c r="AY751" i="4"/>
  <c r="AT760" i="4"/>
  <c r="AU760" i="4"/>
  <c r="BA793" i="4"/>
  <c r="BB793" i="4"/>
  <c r="AS795" i="4"/>
  <c r="AT795" i="4"/>
  <c r="AP798" i="4"/>
  <c r="AQ798" i="4"/>
  <c r="AT800" i="4"/>
  <c r="AU800" i="4"/>
  <c r="AW803" i="4"/>
  <c r="AX803" i="4"/>
  <c r="AG806" i="4"/>
  <c r="AH806" i="4"/>
  <c r="AS807" i="4"/>
  <c r="AT807" i="4"/>
  <c r="AK821" i="4"/>
  <c r="AL821" i="4"/>
  <c r="AK827" i="4"/>
  <c r="AL827" i="4"/>
  <c r="AP831" i="4"/>
  <c r="AQ831" i="4"/>
  <c r="AH836" i="4"/>
  <c r="AG836" i="4"/>
  <c r="AL839" i="4"/>
  <c r="AM839" i="4"/>
  <c r="AQ841" i="4"/>
  <c r="AP841" i="4"/>
  <c r="AI864" i="4"/>
  <c r="AH864" i="4"/>
  <c r="AP861" i="4"/>
  <c r="AQ861" i="4"/>
  <c r="AP857" i="4"/>
  <c r="AQ857" i="4"/>
  <c r="AY822" i="4"/>
  <c r="AW822" i="4"/>
  <c r="AW820" i="4"/>
  <c r="AX820" i="4"/>
  <c r="AY818" i="4"/>
  <c r="AX818" i="4"/>
  <c r="AU863" i="4"/>
  <c r="AT863" i="4"/>
  <c r="AT853" i="4"/>
  <c r="AU853" i="4"/>
  <c r="AW867" i="4"/>
  <c r="AY867" i="4"/>
  <c r="AY848" i="4"/>
  <c r="AX848" i="4"/>
  <c r="AY849" i="4"/>
  <c r="AW849" i="4"/>
  <c r="AL866" i="4"/>
  <c r="AM866" i="4"/>
  <c r="BA864" i="4"/>
  <c r="BB864" i="4"/>
  <c r="BB850" i="4"/>
  <c r="BC850" i="4"/>
  <c r="BC848" i="4"/>
  <c r="BB848" i="4"/>
  <c r="AG4" i="62"/>
  <c r="Y12" i="62" s="1"/>
  <c r="C12" i="62" s="1"/>
  <c r="L12" i="62" s="1"/>
  <c r="Y18" i="63"/>
  <c r="Q26" i="63" s="1"/>
  <c r="AF4" i="62"/>
  <c r="Y11" i="62" s="1"/>
  <c r="C11" i="62" s="1"/>
  <c r="L11" i="62" s="1"/>
  <c r="X18" i="63"/>
  <c r="Q25" i="63" s="1"/>
  <c r="H11" i="47"/>
  <c r="D14" i="47"/>
  <c r="D12" i="47"/>
  <c r="F12" i="47" s="1"/>
  <c r="H12" i="47" s="1"/>
  <c r="AI4" i="62"/>
  <c r="Y14" i="62" s="1"/>
  <c r="C14" i="62" s="1"/>
  <c r="L14" i="62" s="1"/>
  <c r="AA18" i="63"/>
  <c r="Q28" i="63" s="1"/>
  <c r="AS4" i="62"/>
  <c r="Y24" i="62" s="1"/>
  <c r="C24" i="62" s="1"/>
  <c r="L24" i="62" s="1"/>
  <c r="AK18" i="63"/>
  <c r="Q38" i="63" s="1"/>
  <c r="B37" i="2"/>
  <c r="AD42" i="63"/>
  <c r="Q55" i="63" s="1"/>
  <c r="AL28" i="62"/>
  <c r="Y41" i="62" s="1"/>
  <c r="C41" i="62" s="1"/>
  <c r="L41" i="62" s="1"/>
  <c r="AP28" i="62"/>
  <c r="Y45" i="62" s="1"/>
  <c r="D6" i="62" s="1"/>
  <c r="M6" i="62" s="1"/>
  <c r="AH42" i="63"/>
  <c r="Q59" i="63" s="1"/>
  <c r="AE42" i="63"/>
  <c r="Q56" i="63" s="1"/>
  <c r="AM28" i="62"/>
  <c r="Y42" i="62" s="1"/>
  <c r="C42" i="62" s="1"/>
  <c r="L42" i="62" s="1"/>
  <c r="AL42" i="63"/>
  <c r="Q63" i="63" s="1"/>
  <c r="AT28" i="62"/>
  <c r="Y49" i="62" s="1"/>
  <c r="D10" i="62" s="1"/>
  <c r="M10" i="62" s="1"/>
  <c r="AK28" i="62"/>
  <c r="Y40" i="62" s="1"/>
  <c r="C40" i="62" s="1"/>
  <c r="L40" i="62" s="1"/>
  <c r="AC42" i="63"/>
  <c r="Q54" i="63" s="1"/>
  <c r="AD28" i="62"/>
  <c r="Y33" i="62" s="1"/>
  <c r="C33" i="62" s="1"/>
  <c r="L33" i="62" s="1"/>
  <c r="V42" i="63"/>
  <c r="Q47" i="63" s="1"/>
  <c r="F35" i="47"/>
  <c r="I12" i="52" s="1"/>
  <c r="I13" i="53" s="1"/>
  <c r="F28" i="47"/>
  <c r="H28" i="47" s="1"/>
  <c r="H30" i="47" s="1"/>
  <c r="Q7" i="3"/>
  <c r="D7" i="3"/>
  <c r="O7" i="3"/>
  <c r="Z7" i="3"/>
  <c r="P7" i="3"/>
  <c r="N7" i="3"/>
  <c r="W7" i="3"/>
  <c r="I7" i="3"/>
  <c r="S7" i="3"/>
  <c r="G7" i="3"/>
  <c r="J7" i="3"/>
  <c r="U7" i="3"/>
  <c r="L7" i="3"/>
  <c r="H7" i="3"/>
  <c r="T7" i="3"/>
  <c r="V7" i="3"/>
  <c r="E7" i="3"/>
  <c r="C7" i="3"/>
  <c r="R7" i="3"/>
  <c r="M7" i="3"/>
  <c r="Y7" i="3"/>
  <c r="K7" i="3"/>
  <c r="F7" i="3"/>
  <c r="X7" i="3"/>
  <c r="AS148" i="62"/>
  <c r="Y168" i="62" s="1"/>
  <c r="G12" i="62" s="1"/>
  <c r="P12" i="62" s="1"/>
  <c r="AK162" i="63"/>
  <c r="Q182" i="63" s="1"/>
  <c r="AC148" i="62"/>
  <c r="Y152" i="62" s="1"/>
  <c r="F35" i="62" s="1"/>
  <c r="O35" i="62" s="1"/>
  <c r="U162" i="63"/>
  <c r="Q166" i="63" s="1"/>
  <c r="AR148" i="62"/>
  <c r="Y167" i="62" s="1"/>
  <c r="G11" i="62" s="1"/>
  <c r="P11" i="62" s="1"/>
  <c r="AJ162" i="63"/>
  <c r="Q181" i="63" s="1"/>
  <c r="AO148" i="62"/>
  <c r="Y164" i="62" s="1"/>
  <c r="G8" i="62" s="1"/>
  <c r="P8" i="62" s="1"/>
  <c r="AG162" i="63"/>
  <c r="Q178" i="63" s="1"/>
  <c r="W162" i="63"/>
  <c r="Q168" i="63" s="1"/>
  <c r="AE148" i="62"/>
  <c r="Y154" i="62" s="1"/>
  <c r="F37" i="62" s="1"/>
  <c r="O37" i="62" s="1"/>
  <c r="AF148" i="62"/>
  <c r="Y155" i="62" s="1"/>
  <c r="F38" i="62" s="1"/>
  <c r="O38" i="62" s="1"/>
  <c r="X162" i="63"/>
  <c r="Q169" i="63" s="1"/>
  <c r="AE292" i="62"/>
  <c r="Y298" i="62" s="1"/>
  <c r="J25" i="62" s="1"/>
  <c r="S25" i="62" s="1"/>
  <c r="W306" i="63"/>
  <c r="Q312" i="63" s="1"/>
  <c r="AT316" i="62"/>
  <c r="Y337" i="62" s="1"/>
  <c r="K25" i="62" s="1"/>
  <c r="T25" i="62" s="1"/>
  <c r="AL330" i="63"/>
  <c r="Q351" i="63" s="1"/>
  <c r="AP124" i="62"/>
  <c r="Y141" i="62" s="1"/>
  <c r="F24" i="62" s="1"/>
  <c r="O24" i="62" s="1"/>
  <c r="AH138" i="63"/>
  <c r="Q155" i="63" s="1"/>
  <c r="AJ124" i="62"/>
  <c r="Y135" i="62" s="1"/>
  <c r="F18" i="62" s="1"/>
  <c r="O18" i="62" s="1"/>
  <c r="AB138" i="63"/>
  <c r="Q149" i="63" s="1"/>
  <c r="AD138" i="63"/>
  <c r="Q151" i="63" s="1"/>
  <c r="AL124" i="62"/>
  <c r="Y137" i="62" s="1"/>
  <c r="F20" i="62" s="1"/>
  <c r="O20" i="62" s="1"/>
  <c r="AD124" i="62"/>
  <c r="Y129" i="62" s="1"/>
  <c r="F12" i="62" s="1"/>
  <c r="O12" i="62" s="1"/>
  <c r="V138" i="63"/>
  <c r="Q143" i="63" s="1"/>
  <c r="AF124" i="62"/>
  <c r="Y131" i="62" s="1"/>
  <c r="F14" i="62" s="1"/>
  <c r="O14" i="62" s="1"/>
  <c r="X138" i="63"/>
  <c r="Q145" i="63" s="1"/>
  <c r="AE124" i="62"/>
  <c r="Y130" i="62" s="1"/>
  <c r="F13" i="62" s="1"/>
  <c r="O13" i="62" s="1"/>
  <c r="W138" i="63"/>
  <c r="Q144" i="63" s="1"/>
  <c r="AL172" i="62"/>
  <c r="Y185" i="62" s="1"/>
  <c r="G29" i="62" s="1"/>
  <c r="P29" i="62" s="1"/>
  <c r="AD186" i="63"/>
  <c r="Q199" i="63" s="1"/>
  <c r="AH196" i="62"/>
  <c r="Y205" i="62" s="1"/>
  <c r="H10" i="62" s="1"/>
  <c r="Q10" i="62" s="1"/>
  <c r="Z210" i="63"/>
  <c r="Q219" i="63" s="1"/>
  <c r="AM292" i="62"/>
  <c r="Y306" i="62" s="1"/>
  <c r="J33" i="62" s="1"/>
  <c r="S33" i="62" s="1"/>
  <c r="AE306" i="63"/>
  <c r="Q320" i="63" s="1"/>
  <c r="AN172" i="62"/>
  <c r="Y187" i="62" s="1"/>
  <c r="G31" i="62" s="1"/>
  <c r="P31" i="62" s="1"/>
  <c r="AF186" i="63"/>
  <c r="Q201" i="63" s="1"/>
  <c r="AT196" i="62"/>
  <c r="Y217" i="62" s="1"/>
  <c r="H22" i="62" s="1"/>
  <c r="Q22" i="62" s="1"/>
  <c r="AL210" i="63"/>
  <c r="Q231" i="63" s="1"/>
  <c r="AM210" i="63"/>
  <c r="Q232" i="63" s="1"/>
  <c r="AU196" i="62"/>
  <c r="Y218" i="62" s="1"/>
  <c r="H23" i="62" s="1"/>
  <c r="Q23" i="62" s="1"/>
  <c r="R258" i="63"/>
  <c r="AA15" i="3"/>
  <c r="AE308" i="4" a="1"/>
  <c r="Z244" i="62"/>
  <c r="Y245" i="62" s="1"/>
  <c r="I11" i="62" s="1"/>
  <c r="R11" i="62" s="1"/>
  <c r="AB15" i="3"/>
  <c r="AI172" i="62"/>
  <c r="Y182" i="62" s="1"/>
  <c r="G26" i="62" s="1"/>
  <c r="P26" i="62" s="1"/>
  <c r="AA186" i="63"/>
  <c r="Q196" i="63" s="1"/>
  <c r="AB12" i="3"/>
  <c r="Z172" i="62"/>
  <c r="Y173" i="62" s="1"/>
  <c r="G17" i="62" s="1"/>
  <c r="P17" i="62" s="1"/>
  <c r="R186" i="63"/>
  <c r="Q187" i="63" s="1"/>
  <c r="AP196" i="62"/>
  <c r="Y213" i="62" s="1"/>
  <c r="H18" i="62" s="1"/>
  <c r="Q18" i="62" s="1"/>
  <c r="AH210" i="63"/>
  <c r="Q227" i="63" s="1"/>
  <c r="AK244" i="62"/>
  <c r="Y256" i="62" s="1"/>
  <c r="I22" i="62" s="1"/>
  <c r="R22" i="62" s="1"/>
  <c r="AC258" i="63"/>
  <c r="Q270" i="63" s="1"/>
  <c r="I36" i="2"/>
  <c r="I37" i="2" s="1"/>
  <c r="AL234" i="63"/>
  <c r="Q255" i="63" s="1"/>
  <c r="AT220" i="62"/>
  <c r="Y241" i="62" s="1"/>
  <c r="I7" i="62" s="1"/>
  <c r="R7" i="62" s="1"/>
  <c r="AV220" i="62"/>
  <c r="Y243" i="62" s="1"/>
  <c r="I9" i="62" s="1"/>
  <c r="R9" i="62" s="1"/>
  <c r="AN234" i="63"/>
  <c r="Q257" i="63" s="1"/>
  <c r="AO220" i="62"/>
  <c r="Y236" i="62" s="1"/>
  <c r="H41" i="62" s="1"/>
  <c r="Q41" i="62" s="1"/>
  <c r="AG234" i="63"/>
  <c r="Q250" i="63" s="1"/>
  <c r="AR220" i="62"/>
  <c r="Y239" i="62" s="1"/>
  <c r="I5" i="62" s="1"/>
  <c r="R5" i="62" s="1"/>
  <c r="AJ234" i="63"/>
  <c r="Q253" i="63" s="1"/>
  <c r="Z220" i="62"/>
  <c r="Y221" i="62" s="1"/>
  <c r="H26" i="62" s="1"/>
  <c r="Q26" i="62" s="1"/>
  <c r="R234" i="63"/>
  <c r="Q235" i="63" s="1"/>
  <c r="AB14" i="3"/>
  <c r="Q234" i="63"/>
  <c r="AE278" i="4" a="1"/>
  <c r="AA14" i="3"/>
  <c r="Y220" i="62"/>
  <c r="H25" i="62" s="1"/>
  <c r="Q25" i="62" s="1"/>
  <c r="AY436" i="4"/>
  <c r="AG436" i="4"/>
  <c r="AM430" i="4"/>
  <c r="AS430" i="4"/>
  <c r="AI430" i="4"/>
  <c r="BA430" i="4"/>
  <c r="AE518" i="4" a="1"/>
  <c r="AA22" i="3"/>
  <c r="AB22" i="3"/>
  <c r="AK511" i="4"/>
  <c r="AO511" i="4"/>
  <c r="AB23" i="3"/>
  <c r="AA23" i="3"/>
  <c r="AE548" i="4" a="1"/>
  <c r="AB31" i="3"/>
  <c r="BT33" i="9"/>
  <c r="X19" i="9"/>
  <c r="U52" i="9"/>
  <c r="CE61" i="9"/>
  <c r="CF65" i="9"/>
  <c r="BG96" i="9"/>
  <c r="AJ98" i="9"/>
  <c r="CF98" i="9"/>
  <c r="AK10" i="4"/>
  <c r="AL10" i="4"/>
  <c r="AG116" i="4"/>
  <c r="AH116" i="4"/>
  <c r="AL131" i="4"/>
  <c r="AK131" i="4"/>
  <c r="AL139" i="4"/>
  <c r="AK139" i="4"/>
  <c r="AG146" i="4"/>
  <c r="AH146" i="4"/>
  <c r="AP72" i="4"/>
  <c r="AO72" i="4"/>
  <c r="AM151" i="4"/>
  <c r="AL151" i="4"/>
  <c r="BA132" i="4"/>
  <c r="BB132" i="4"/>
  <c r="BB136" i="4"/>
  <c r="BC136" i="4"/>
  <c r="BB197" i="4"/>
  <c r="BA197" i="4"/>
  <c r="AI198" i="4"/>
  <c r="AH198" i="4"/>
  <c r="AU290" i="4"/>
  <c r="AT290" i="4"/>
  <c r="AY235" i="4"/>
  <c r="AX235" i="4"/>
  <c r="AG282" i="4"/>
  <c r="AH282" i="4"/>
  <c r="AT292" i="4"/>
  <c r="AU292" i="4"/>
  <c r="AL298" i="4"/>
  <c r="AM298" i="4"/>
  <c r="AH301" i="4"/>
  <c r="AG301" i="4"/>
  <c r="AT382" i="4"/>
  <c r="AU382" i="4"/>
  <c r="AS378" i="4"/>
  <c r="AT378" i="4"/>
  <c r="AX313" i="4"/>
  <c r="AY313" i="4"/>
  <c r="AY309" i="4"/>
  <c r="AW309" i="4"/>
  <c r="AY381" i="4"/>
  <c r="AW381" i="4"/>
  <c r="AG390" i="4"/>
  <c r="AH390" i="4"/>
  <c r="BB319" i="4"/>
  <c r="BA319" i="4"/>
  <c r="BA318" i="4"/>
  <c r="BB318" i="4"/>
  <c r="BC308" i="4"/>
  <c r="BB308" i="4"/>
  <c r="AL459" i="4"/>
  <c r="AK459" i="4"/>
  <c r="AS480" i="4"/>
  <c r="AT480" i="4"/>
  <c r="BB458" i="4"/>
  <c r="BC458" i="4"/>
  <c r="BA461" i="4"/>
  <c r="BB461" i="4"/>
  <c r="AI468" i="4"/>
  <c r="AH468" i="4"/>
  <c r="AT488" i="4"/>
  <c r="AU488" i="4"/>
  <c r="AT496" i="4"/>
  <c r="AS496" i="4"/>
  <c r="AP500" i="4"/>
  <c r="AQ500" i="4"/>
  <c r="AY507" i="4"/>
  <c r="AW507" i="4"/>
  <c r="AW509" i="4"/>
  <c r="AX509" i="4"/>
  <c r="AX523" i="4"/>
  <c r="AY523" i="4"/>
  <c r="AW527" i="4"/>
  <c r="AX527" i="4"/>
  <c r="AS537" i="4"/>
  <c r="AT537" i="4"/>
  <c r="AW539" i="4"/>
  <c r="AX539" i="4"/>
  <c r="BB541" i="4"/>
  <c r="BA541" i="4"/>
  <c r="AL562" i="4"/>
  <c r="AM562" i="4"/>
  <c r="AW570" i="4"/>
  <c r="AY570" i="4"/>
  <c r="AH584" i="4"/>
  <c r="AI584" i="4"/>
  <c r="AH589" i="4"/>
  <c r="AI589" i="4"/>
  <c r="AH591" i="4"/>
  <c r="AI591" i="4"/>
  <c r="AL594" i="4"/>
  <c r="AM594" i="4"/>
  <c r="BB416" i="4"/>
  <c r="BC416" i="4"/>
  <c r="BC417" i="4"/>
  <c r="BB417" i="4"/>
  <c r="BA407" i="4"/>
  <c r="BB407" i="4"/>
  <c r="BA419" i="4"/>
  <c r="BB419" i="4"/>
  <c r="BB401" i="4"/>
  <c r="BA401" i="4"/>
  <c r="AG459" i="4"/>
  <c r="AH459" i="4"/>
  <c r="AT490" i="4"/>
  <c r="AU490" i="4"/>
  <c r="AU523" i="4"/>
  <c r="AT523" i="4"/>
  <c r="AW562" i="4"/>
  <c r="AX562" i="4"/>
  <c r="AU413" i="4"/>
  <c r="AT413" i="4"/>
  <c r="AT404" i="4"/>
  <c r="AS404" i="4"/>
  <c r="AS406" i="4"/>
  <c r="AT406" i="4"/>
  <c r="AS417" i="4"/>
  <c r="AT417" i="4"/>
  <c r="AS408" i="4"/>
  <c r="AT408" i="4"/>
  <c r="AG458" i="4"/>
  <c r="AH458" i="4"/>
  <c r="AO461" i="4"/>
  <c r="AP461" i="4"/>
  <c r="AP462" i="4"/>
  <c r="AO462" i="4"/>
  <c r="AW467" i="4"/>
  <c r="AX467" i="4"/>
  <c r="AW497" i="4"/>
  <c r="AX497" i="4"/>
  <c r="BC494" i="4"/>
  <c r="BB494" i="4"/>
  <c r="BB466" i="4"/>
  <c r="BC466" i="4"/>
  <c r="BB479" i="4"/>
  <c r="BA479" i="4"/>
  <c r="AK489" i="4"/>
  <c r="AL489" i="4"/>
  <c r="BC502" i="4"/>
  <c r="BB502" i="4"/>
  <c r="AH507" i="4"/>
  <c r="AG507" i="4"/>
  <c r="AW510" i="4"/>
  <c r="AY510" i="4"/>
  <c r="AX518" i="4"/>
  <c r="AY518" i="4"/>
  <c r="AO521" i="4"/>
  <c r="AP521" i="4"/>
  <c r="BB526" i="4"/>
  <c r="BC526" i="4"/>
  <c r="BB529" i="4"/>
  <c r="BA529" i="4"/>
  <c r="AT532" i="4"/>
  <c r="AU532" i="4"/>
  <c r="BB536" i="4"/>
  <c r="BC536" i="4"/>
  <c r="BB538" i="4"/>
  <c r="BC538" i="4"/>
  <c r="AY549" i="4"/>
  <c r="AW549" i="4"/>
  <c r="AY553" i="4"/>
  <c r="AX553" i="4"/>
  <c r="BB586" i="4"/>
  <c r="BC586" i="4"/>
  <c r="BB597" i="4"/>
  <c r="BC597" i="4"/>
  <c r="BC608" i="4"/>
  <c r="BB608" i="4"/>
  <c r="BB620" i="4"/>
  <c r="BC620" i="4"/>
  <c r="AW735" i="4"/>
  <c r="AY735" i="4"/>
  <c r="AG790" i="4"/>
  <c r="AH790" i="4"/>
  <c r="AS631" i="4"/>
  <c r="AT631" i="4"/>
  <c r="AT613" i="4"/>
  <c r="AU613" i="4"/>
  <c r="AS626" i="4"/>
  <c r="AT626" i="4"/>
  <c r="AS614" i="4"/>
  <c r="AT614" i="4"/>
  <c r="BA619" i="4"/>
  <c r="BB619" i="4"/>
  <c r="AG668" i="4"/>
  <c r="AH668" i="4"/>
  <c r="AK676" i="4"/>
  <c r="AL676" i="4"/>
  <c r="AT687" i="4"/>
  <c r="AS687" i="4"/>
  <c r="AS734" i="4"/>
  <c r="AT734" i="4"/>
  <c r="AY740" i="4"/>
  <c r="AX740" i="4"/>
  <c r="AT746" i="4"/>
  <c r="AS746" i="4"/>
  <c r="AS764" i="4"/>
  <c r="AT764" i="4"/>
  <c r="BA774" i="4"/>
  <c r="BB774" i="4"/>
  <c r="AG791" i="4"/>
  <c r="AH791" i="4"/>
  <c r="AH796" i="4"/>
  <c r="AI796" i="4"/>
  <c r="AH801" i="4"/>
  <c r="AI801" i="4"/>
  <c r="AH809" i="4"/>
  <c r="AG809" i="4"/>
  <c r="AL624" i="4"/>
  <c r="AM624" i="4"/>
  <c r="AL623" i="4"/>
  <c r="AM623" i="4"/>
  <c r="AK614" i="4"/>
  <c r="AL614" i="4"/>
  <c r="AL658" i="4"/>
  <c r="AM658" i="4"/>
  <c r="AK642" i="4"/>
  <c r="AL642" i="4"/>
  <c r="AS678" i="4"/>
  <c r="AT678" i="4"/>
  <c r="AX728" i="4"/>
  <c r="AY728" i="4"/>
  <c r="AW731" i="4"/>
  <c r="AX731" i="4"/>
  <c r="AX736" i="4"/>
  <c r="AW736" i="4"/>
  <c r="AO745" i="4"/>
  <c r="AP745" i="4"/>
  <c r="AW747" i="4"/>
  <c r="AY747" i="4"/>
  <c r="AG762" i="4"/>
  <c r="AH762" i="4"/>
  <c r="AW771" i="4"/>
  <c r="AY771" i="4"/>
  <c r="AL778" i="4"/>
  <c r="AM778" i="4"/>
  <c r="AW790" i="4"/>
  <c r="AX790" i="4"/>
  <c r="AS794" i="4"/>
  <c r="AT794" i="4"/>
  <c r="BB796" i="4"/>
  <c r="BC796" i="4"/>
  <c r="AH804" i="4"/>
  <c r="AI804" i="4"/>
  <c r="AS806" i="4"/>
  <c r="AT806" i="4"/>
  <c r="AW808" i="4"/>
  <c r="AX808" i="4"/>
  <c r="AP819" i="4"/>
  <c r="AQ819" i="4"/>
  <c r="AO822" i="4"/>
  <c r="AP822" i="4"/>
  <c r="AS827" i="4"/>
  <c r="AT827" i="4"/>
  <c r="AI834" i="4"/>
  <c r="AH834" i="4"/>
  <c r="AP836" i="4"/>
  <c r="AO836" i="4"/>
  <c r="AT839" i="4"/>
  <c r="AS839" i="4"/>
  <c r="AI856" i="4"/>
  <c r="AH856" i="4"/>
  <c r="AH869" i="4"/>
  <c r="AG869" i="4"/>
  <c r="AQ860" i="4"/>
  <c r="AP860" i="4"/>
  <c r="AQ849" i="4"/>
  <c r="AP849" i="4"/>
  <c r="AX836" i="4"/>
  <c r="AY836" i="4"/>
  <c r="AY819" i="4"/>
  <c r="AW819" i="4"/>
  <c r="AT869" i="4"/>
  <c r="AS869" i="4"/>
  <c r="AS857" i="4"/>
  <c r="AT857" i="4"/>
  <c r="AU848" i="4"/>
  <c r="AT848" i="4"/>
  <c r="AY861" i="4"/>
  <c r="AW861" i="4"/>
  <c r="AX859" i="4"/>
  <c r="AY859" i="4"/>
  <c r="AL852" i="4"/>
  <c r="AK852" i="4"/>
  <c r="BB859" i="4"/>
  <c r="BA859" i="4"/>
  <c r="BB862" i="4"/>
  <c r="BC862" i="4"/>
  <c r="AB18" i="63"/>
  <c r="Q29" i="63" s="1"/>
  <c r="AJ4" i="62"/>
  <c r="Y15" i="62" s="1"/>
  <c r="C15" i="62" s="1"/>
  <c r="L15" i="62" s="1"/>
  <c r="AV4" i="62"/>
  <c r="Y27" i="62" s="1"/>
  <c r="C27" i="62" s="1"/>
  <c r="L27" i="62" s="1"/>
  <c r="AN18" i="63"/>
  <c r="Q41" i="63" s="1"/>
  <c r="AE4" i="62"/>
  <c r="Y10" i="62" s="1"/>
  <c r="C10" i="62" s="1"/>
  <c r="L10" i="62" s="1"/>
  <c r="W18" i="63"/>
  <c r="Q24" i="63" s="1"/>
  <c r="F7" i="47"/>
  <c r="H7" i="47" s="1"/>
  <c r="H9" i="47" s="1"/>
  <c r="F32" i="47"/>
  <c r="E12" i="52" s="1"/>
  <c r="E13" i="53" s="1"/>
  <c r="AD4" i="62"/>
  <c r="Y9" i="62" s="1"/>
  <c r="C9" i="62" s="1"/>
  <c r="L9" i="62" s="1"/>
  <c r="V18" i="63"/>
  <c r="Q23" i="63" s="1"/>
  <c r="AU4" i="62"/>
  <c r="Y26" i="62" s="1"/>
  <c r="C26" i="62" s="1"/>
  <c r="L26" i="62" s="1"/>
  <c r="AM18" i="63"/>
  <c r="Q40" i="63" s="1"/>
  <c r="AI28" i="62"/>
  <c r="Y38" i="62" s="1"/>
  <c r="C38" i="62" s="1"/>
  <c r="L38" i="62" s="1"/>
  <c r="AA42" i="63"/>
  <c r="Q52" i="63" s="1"/>
  <c r="AQ28" i="62"/>
  <c r="Y46" i="62" s="1"/>
  <c r="D7" i="62" s="1"/>
  <c r="M7" i="62" s="1"/>
  <c r="AI42" i="63"/>
  <c r="Q60" i="63" s="1"/>
  <c r="AB28" i="62"/>
  <c r="Y31" i="62" s="1"/>
  <c r="C31" i="62" s="1"/>
  <c r="L31" i="62" s="1"/>
  <c r="T42" i="63"/>
  <c r="Q45" i="63" s="1"/>
  <c r="S42" i="63"/>
  <c r="Q44" i="63" s="1"/>
  <c r="AA28" i="62"/>
  <c r="Y30" i="62" s="1"/>
  <c r="C30" i="62" s="1"/>
  <c r="L30" i="62" s="1"/>
  <c r="AU28" i="62"/>
  <c r="Y50" i="62" s="1"/>
  <c r="D11" i="62" s="1"/>
  <c r="M11" i="62" s="1"/>
  <c r="AM42" i="63"/>
  <c r="Q64" i="63" s="1"/>
  <c r="AV28" i="62"/>
  <c r="Y51" i="62" s="1"/>
  <c r="D12" i="62" s="1"/>
  <c r="M12" i="62" s="1"/>
  <c r="AN42" i="63"/>
  <c r="Q65" i="63" s="1"/>
  <c r="AQ148" i="62"/>
  <c r="Y166" i="62" s="1"/>
  <c r="G10" i="62" s="1"/>
  <c r="P10" i="62" s="1"/>
  <c r="AI162" i="63"/>
  <c r="Q180" i="63" s="1"/>
  <c r="AK148" i="62"/>
  <c r="Y160" i="62" s="1"/>
  <c r="G4" i="62" s="1"/>
  <c r="AC162" i="63"/>
  <c r="Q174" i="63" s="1"/>
  <c r="AL148" i="62"/>
  <c r="Y161" i="62" s="1"/>
  <c r="G5" i="62" s="1"/>
  <c r="P5" i="62" s="1"/>
  <c r="AD162" i="63"/>
  <c r="Q175" i="63" s="1"/>
  <c r="AI148" i="62"/>
  <c r="Y158" i="62" s="1"/>
  <c r="F41" i="62" s="1"/>
  <c r="O41" i="62" s="1"/>
  <c r="AA162" i="63"/>
  <c r="Q172" i="63" s="1"/>
  <c r="AU148" i="62"/>
  <c r="Y170" i="62" s="1"/>
  <c r="G14" i="62" s="1"/>
  <c r="P14" i="62" s="1"/>
  <c r="AM162" i="63"/>
  <c r="Q184" i="63" s="1"/>
  <c r="AG148" i="62"/>
  <c r="Y156" i="62" s="1"/>
  <c r="F39" i="62" s="1"/>
  <c r="O39" i="62" s="1"/>
  <c r="Y162" i="63"/>
  <c r="Q170" i="63" s="1"/>
  <c r="AB292" i="62"/>
  <c r="Y295" i="62" s="1"/>
  <c r="J22" i="62" s="1"/>
  <c r="S22" i="62" s="1"/>
  <c r="T306" i="63"/>
  <c r="Q309" i="63" s="1"/>
  <c r="AM124" i="62"/>
  <c r="Y138" i="62" s="1"/>
  <c r="F21" i="62" s="1"/>
  <c r="O21" i="62" s="1"/>
  <c r="AE138" i="63"/>
  <c r="Q152" i="63" s="1"/>
  <c r="Z124" i="62"/>
  <c r="Y125" i="62" s="1"/>
  <c r="F8" i="62" s="1"/>
  <c r="O8" i="62" s="1"/>
  <c r="R138" i="63"/>
  <c r="Q139" i="63" s="1"/>
  <c r="AK124" i="62"/>
  <c r="Y136" i="62" s="1"/>
  <c r="F19" i="62" s="1"/>
  <c r="O19" i="62" s="1"/>
  <c r="AC138" i="63"/>
  <c r="Q150" i="63" s="1"/>
  <c r="AB124" i="62"/>
  <c r="Y127" i="62" s="1"/>
  <c r="F10" i="62" s="1"/>
  <c r="O10" i="62" s="1"/>
  <c r="T138" i="63"/>
  <c r="Q141" i="63" s="1"/>
  <c r="AO124" i="62"/>
  <c r="Y140" i="62" s="1"/>
  <c r="F23" i="62" s="1"/>
  <c r="O23" i="62" s="1"/>
  <c r="AG138" i="63"/>
  <c r="Q154" i="63" s="1"/>
  <c r="AT124" i="62"/>
  <c r="Y145" i="62" s="1"/>
  <c r="F28" i="62" s="1"/>
  <c r="O28" i="62" s="1"/>
  <c r="AL138" i="63"/>
  <c r="Q159" i="63" s="1"/>
  <c r="AH172" i="62"/>
  <c r="Y181" i="62" s="1"/>
  <c r="G25" i="62" s="1"/>
  <c r="P25" i="62" s="1"/>
  <c r="Z186" i="63"/>
  <c r="Q195" i="63" s="1"/>
  <c r="AB196" i="62"/>
  <c r="Y199" i="62" s="1"/>
  <c r="H4" i="62" s="1"/>
  <c r="T210" i="63"/>
  <c r="Q213" i="63" s="1"/>
  <c r="AA292" i="62"/>
  <c r="Y294" i="62" s="1"/>
  <c r="J21" i="62" s="1"/>
  <c r="S21" i="62" s="1"/>
  <c r="S306" i="63"/>
  <c r="Q308" i="63" s="1"/>
  <c r="AV292" i="62"/>
  <c r="Y315" i="62" s="1"/>
  <c r="J42" i="62" s="1"/>
  <c r="S42" i="62" s="1"/>
  <c r="AN306" i="63"/>
  <c r="Q329" i="63" s="1"/>
  <c r="AJ172" i="62"/>
  <c r="Y183" i="62" s="1"/>
  <c r="G27" i="62" s="1"/>
  <c r="P27" i="62" s="1"/>
  <c r="AB186" i="63"/>
  <c r="Q197" i="63" s="1"/>
  <c r="AQ172" i="62"/>
  <c r="Y190" i="62" s="1"/>
  <c r="G34" i="62" s="1"/>
  <c r="P34" i="62" s="1"/>
  <c r="AI186" i="63"/>
  <c r="Q204" i="63" s="1"/>
  <c r="AJ196" i="62"/>
  <c r="Y207" i="62" s="1"/>
  <c r="H12" i="62" s="1"/>
  <c r="Q12" i="62" s="1"/>
  <c r="AB210" i="63"/>
  <c r="Q221" i="63" s="1"/>
  <c r="AE196" i="62"/>
  <c r="Y202" i="62" s="1"/>
  <c r="H7" i="62" s="1"/>
  <c r="Q7" i="62" s="1"/>
  <c r="W210" i="63"/>
  <c r="Q216" i="63" s="1"/>
  <c r="AD244" i="62"/>
  <c r="Y249" i="62" s="1"/>
  <c r="I15" i="62" s="1"/>
  <c r="R15" i="62" s="1"/>
  <c r="V258" i="63"/>
  <c r="Q263" i="63" s="1"/>
  <c r="T186" i="63"/>
  <c r="Q189" i="63" s="1"/>
  <c r="AB172" i="62"/>
  <c r="Y175" i="62" s="1"/>
  <c r="G19" i="62" s="1"/>
  <c r="P19" i="62" s="1"/>
  <c r="AE218" i="4" a="1"/>
  <c r="AR196" i="62"/>
  <c r="Y215" i="62" s="1"/>
  <c r="H20" i="62" s="1"/>
  <c r="Q20" i="62" s="1"/>
  <c r="AJ210" i="63"/>
  <c r="Q229" i="63" s="1"/>
  <c r="AD196" i="62"/>
  <c r="Y201" i="62" s="1"/>
  <c r="H6" i="62" s="1"/>
  <c r="Q6" i="62" s="1"/>
  <c r="V210" i="63"/>
  <c r="Q215" i="63" s="1"/>
  <c r="AL244" i="62"/>
  <c r="Y257" i="62" s="1"/>
  <c r="I23" i="62" s="1"/>
  <c r="R23" i="62" s="1"/>
  <c r="AD258" i="63"/>
  <c r="Q271" i="63" s="1"/>
  <c r="AN244" i="62"/>
  <c r="Y259" i="62" s="1"/>
  <c r="I25" i="62" s="1"/>
  <c r="R25" i="62" s="1"/>
  <c r="AF258" i="63"/>
  <c r="Q273" i="63" s="1"/>
  <c r="AC220" i="62"/>
  <c r="Y224" i="62" s="1"/>
  <c r="H29" i="62" s="1"/>
  <c r="Q29" i="62" s="1"/>
  <c r="U234" i="63"/>
  <c r="Q238" i="63" s="1"/>
  <c r="AF234" i="63"/>
  <c r="Q249" i="63" s="1"/>
  <c r="AN220" i="62"/>
  <c r="Y235" i="62" s="1"/>
  <c r="H40" i="62" s="1"/>
  <c r="Q40" i="62" s="1"/>
  <c r="AS220" i="62"/>
  <c r="Y240" i="62" s="1"/>
  <c r="I6" i="62" s="1"/>
  <c r="R6" i="62" s="1"/>
  <c r="AK234" i="63"/>
  <c r="Q254" i="63" s="1"/>
  <c r="AI234" i="63"/>
  <c r="Q252" i="63" s="1"/>
  <c r="AQ220" i="62"/>
  <c r="Y238" i="62" s="1"/>
  <c r="I4" i="62" s="1"/>
  <c r="AI220" i="62"/>
  <c r="Y230" i="62" s="1"/>
  <c r="H35" i="62" s="1"/>
  <c r="Q35" i="62" s="1"/>
  <c r="AA234" i="63"/>
  <c r="Q244" i="63" s="1"/>
  <c r="AA220" i="62"/>
  <c r="Y222" i="62" s="1"/>
  <c r="H27" i="62" s="1"/>
  <c r="Q27" i="62" s="1"/>
  <c r="S234" i="63"/>
  <c r="Q236" i="63" s="1"/>
  <c r="AX432" i="4"/>
  <c r="AB24" i="3"/>
  <c r="AE578" i="4" a="1"/>
  <c r="AA24" i="3"/>
  <c r="AA26" i="3"/>
  <c r="AE638" i="4" a="1"/>
  <c r="AB26" i="3"/>
  <c r="AO451" i="4"/>
  <c r="AW428" i="4"/>
  <c r="BA428" i="4"/>
  <c r="AS428" i="4"/>
  <c r="AM428" i="4"/>
  <c r="AA27" i="3"/>
  <c r="AE668" i="4" a="1"/>
  <c r="AB27" i="3"/>
  <c r="O32" i="3"/>
  <c r="G32" i="3"/>
  <c r="I32" i="3"/>
  <c r="V32" i="3"/>
  <c r="R32" i="3"/>
  <c r="W32" i="3"/>
  <c r="L32" i="3"/>
  <c r="S32" i="3"/>
  <c r="N32" i="3"/>
  <c r="T32" i="3"/>
  <c r="K32" i="3"/>
  <c r="Q32" i="3"/>
  <c r="H32" i="3"/>
  <c r="J32" i="3"/>
  <c r="Z32" i="3"/>
  <c r="E32" i="3"/>
  <c r="P32" i="3"/>
  <c r="X32" i="3"/>
  <c r="U32" i="3"/>
  <c r="F32" i="3"/>
  <c r="C32" i="3"/>
  <c r="Y32" i="3"/>
  <c r="D32" i="3"/>
  <c r="M32" i="3"/>
  <c r="V37" i="2"/>
  <c r="AA31" i="3"/>
  <c r="BT18" i="9"/>
  <c r="CE60" i="9"/>
  <c r="BH94" i="9"/>
  <c r="AJ99" i="9"/>
  <c r="AI99" i="9"/>
  <c r="AL22" i="4"/>
  <c r="AM22" i="4"/>
  <c r="AY19" i="4"/>
  <c r="AX19" i="4"/>
  <c r="AT25" i="4"/>
  <c r="AU25" i="4"/>
  <c r="AY74" i="4"/>
  <c r="AX74" i="4"/>
  <c r="AK14" i="4"/>
  <c r="AL14" i="4"/>
  <c r="AU130" i="4"/>
  <c r="AT130" i="4"/>
  <c r="AH139" i="4"/>
  <c r="AI139" i="4"/>
  <c r="AH102" i="4"/>
  <c r="AG102" i="4"/>
  <c r="AI109" i="4"/>
  <c r="AH109" i="4"/>
  <c r="AG101" i="4"/>
  <c r="AH101" i="4"/>
  <c r="AL105" i="4"/>
  <c r="AK105" i="4"/>
  <c r="AI258" i="4"/>
  <c r="AH258" i="4"/>
  <c r="AM265" i="4"/>
  <c r="AL265" i="4"/>
  <c r="AS269" i="4"/>
  <c r="AT269" i="4"/>
  <c r="AO286" i="4"/>
  <c r="AP286" i="4"/>
  <c r="AW288" i="4"/>
  <c r="AY288" i="4"/>
  <c r="AM293" i="4"/>
  <c r="AL293" i="4"/>
  <c r="AI295" i="4"/>
  <c r="AH295" i="4"/>
  <c r="AH298" i="4"/>
  <c r="AG298" i="4"/>
  <c r="AM301" i="4"/>
  <c r="AL301" i="4"/>
  <c r="AL313" i="4"/>
  <c r="AK313" i="4"/>
  <c r="AM324" i="4"/>
  <c r="AL324" i="4"/>
  <c r="AX167" i="4"/>
  <c r="AW167" i="4"/>
  <c r="AL249" i="4"/>
  <c r="AK249" i="4"/>
  <c r="AL258" i="4"/>
  <c r="AK258" i="4"/>
  <c r="BB268" i="4"/>
  <c r="BC268" i="4"/>
  <c r="AL284" i="4"/>
  <c r="AK284" i="4"/>
  <c r="AQ288" i="4"/>
  <c r="AP288" i="4"/>
  <c r="AY290" i="4"/>
  <c r="AX290" i="4"/>
  <c r="AI293" i="4"/>
  <c r="AH293" i="4"/>
  <c r="AT299" i="4"/>
  <c r="AS299" i="4"/>
  <c r="AK314" i="4"/>
  <c r="AL314" i="4"/>
  <c r="AH196" i="4"/>
  <c r="AI196" i="4"/>
  <c r="AL280" i="4"/>
  <c r="AK280" i="4"/>
  <c r="AL295" i="4"/>
  <c r="AM295" i="4"/>
  <c r="AP348" i="4"/>
  <c r="AQ348" i="4"/>
  <c r="AO353" i="4"/>
  <c r="AP353" i="4"/>
  <c r="AW378" i="4"/>
  <c r="AY378" i="4"/>
  <c r="AX386" i="4"/>
  <c r="AY386" i="4"/>
  <c r="AT388" i="4"/>
  <c r="AS388" i="4"/>
  <c r="AS391" i="4"/>
  <c r="AT391" i="4"/>
  <c r="AM444" i="4"/>
  <c r="AL444" i="4"/>
  <c r="AY375" i="4"/>
  <c r="AW375" i="4"/>
  <c r="AH497" i="4"/>
  <c r="AI497" i="4"/>
  <c r="W26" i="9"/>
  <c r="U59" i="9"/>
  <c r="AJ60" i="9"/>
  <c r="AJ61" i="9"/>
  <c r="AJ62" i="9"/>
  <c r="AJ63" i="9"/>
  <c r="AJ64" i="9"/>
  <c r="AJ65" i="9"/>
  <c r="AI78" i="9"/>
  <c r="AJ78" i="9"/>
  <c r="AI26" i="9"/>
  <c r="AJ26" i="9"/>
  <c r="BT93" i="9"/>
  <c r="BT94" i="9"/>
  <c r="BS95" i="9"/>
  <c r="BS96" i="9"/>
  <c r="BS97" i="9"/>
  <c r="AH15" i="4"/>
  <c r="AI15" i="4"/>
  <c r="AP19" i="4"/>
  <c r="AQ19" i="4"/>
  <c r="AW23" i="4"/>
  <c r="AX23" i="4"/>
  <c r="AH70" i="4"/>
  <c r="AG70" i="4"/>
  <c r="AY99" i="4"/>
  <c r="AW99" i="4"/>
  <c r="BB106" i="4"/>
  <c r="BC106" i="4"/>
  <c r="AK8" i="4"/>
  <c r="AL8" i="4"/>
  <c r="AP10" i="4"/>
  <c r="AQ10" i="4"/>
  <c r="AO14" i="4"/>
  <c r="AP14" i="4"/>
  <c r="AX20" i="4"/>
  <c r="AY20" i="4"/>
  <c r="AL27" i="4"/>
  <c r="AM27" i="4"/>
  <c r="BA31" i="4"/>
  <c r="BB31" i="4"/>
  <c r="AX77" i="4"/>
  <c r="AW77" i="4"/>
  <c r="AL11" i="4"/>
  <c r="AK11" i="4"/>
  <c r="AL15" i="4"/>
  <c r="AK15" i="4"/>
  <c r="AS18" i="4"/>
  <c r="AT18" i="4"/>
  <c r="AH103" i="4"/>
  <c r="AG103" i="4"/>
  <c r="AH118" i="4"/>
  <c r="AG118" i="4"/>
  <c r="AH132" i="4"/>
  <c r="AG132" i="4"/>
  <c r="AL141" i="4"/>
  <c r="AM141" i="4"/>
  <c r="AT146" i="4"/>
  <c r="AS146" i="4"/>
  <c r="AP91" i="4"/>
  <c r="AQ91" i="4"/>
  <c r="AP68" i="4"/>
  <c r="AQ68" i="4"/>
  <c r="AP81" i="4"/>
  <c r="AQ81" i="4"/>
  <c r="AP86" i="4"/>
  <c r="AO86" i="4"/>
  <c r="AH129" i="4"/>
  <c r="AG129" i="4"/>
  <c r="AG131" i="4"/>
  <c r="AH131" i="4"/>
  <c r="AK137" i="4"/>
  <c r="AL137" i="4"/>
  <c r="AS139" i="4"/>
  <c r="AT139" i="4"/>
  <c r="AT144" i="4"/>
  <c r="AU144" i="4"/>
  <c r="AG100" i="4"/>
  <c r="AH100" i="4"/>
  <c r="AH117" i="4"/>
  <c r="AG117" i="4"/>
  <c r="AG98" i="4"/>
  <c r="AH98" i="4"/>
  <c r="AM119" i="4"/>
  <c r="AL119" i="4"/>
  <c r="AK103" i="4"/>
  <c r="AL103" i="4"/>
  <c r="AK102" i="4"/>
  <c r="AL102" i="4"/>
  <c r="AM121" i="4"/>
  <c r="AL121" i="4"/>
  <c r="AK109" i="4"/>
  <c r="AL109" i="4"/>
  <c r="AP173" i="4"/>
  <c r="AO173" i="4"/>
  <c r="BA204" i="4"/>
  <c r="BB204" i="4"/>
  <c r="BB188" i="4"/>
  <c r="BC188" i="4"/>
  <c r="AH250" i="4"/>
  <c r="AG250" i="4"/>
  <c r="AP256" i="4"/>
  <c r="AO256" i="4"/>
  <c r="AH259" i="4"/>
  <c r="AI259" i="4"/>
  <c r="AT262" i="4"/>
  <c r="AU262" i="4"/>
  <c r="AL266" i="4"/>
  <c r="AM266" i="4"/>
  <c r="AS270" i="4"/>
  <c r="AT270" i="4"/>
  <c r="AH284" i="4"/>
  <c r="AI284" i="4"/>
  <c r="AX286" i="4"/>
  <c r="AW286" i="4"/>
  <c r="AI289" i="4"/>
  <c r="AH289" i="4"/>
  <c r="AI291" i="4"/>
  <c r="AH291" i="4"/>
  <c r="AW293" i="4"/>
  <c r="AX293" i="4"/>
  <c r="AX296" i="4"/>
  <c r="AY296" i="4"/>
  <c r="AS298" i="4"/>
  <c r="AT298" i="4"/>
  <c r="AX301" i="4"/>
  <c r="AY301" i="4"/>
  <c r="AT313" i="4"/>
  <c r="AU313" i="4"/>
  <c r="AM325" i="4"/>
  <c r="AL325" i="4"/>
  <c r="BA144" i="4"/>
  <c r="BB144" i="4"/>
  <c r="AM174" i="4"/>
  <c r="AL174" i="4"/>
  <c r="AY223" i="4"/>
  <c r="AX223" i="4"/>
  <c r="AX239" i="4"/>
  <c r="AW239" i="4"/>
  <c r="AU249" i="4"/>
  <c r="AT249" i="4"/>
  <c r="AL250" i="4"/>
  <c r="AK250" i="4"/>
  <c r="AK256" i="4"/>
  <c r="AL256" i="4"/>
  <c r="AP259" i="4"/>
  <c r="AQ259" i="4"/>
  <c r="AX262" i="4"/>
  <c r="AW262" i="4"/>
  <c r="AS266" i="4"/>
  <c r="AT266" i="4"/>
  <c r="AY270" i="4"/>
  <c r="AW270" i="4"/>
  <c r="AQ279" i="4"/>
  <c r="AP279" i="4"/>
  <c r="AX284" i="4"/>
  <c r="AY284" i="4"/>
  <c r="AT286" i="4"/>
  <c r="AS286" i="4"/>
  <c r="AL289" i="4"/>
  <c r="AK289" i="4"/>
  <c r="AY291" i="4"/>
  <c r="AW291" i="4"/>
  <c r="AT293" i="4"/>
  <c r="AU293" i="4"/>
  <c r="AP296" i="4"/>
  <c r="AO296" i="4"/>
  <c r="AL317" i="4"/>
  <c r="AK317" i="4"/>
  <c r="BC135" i="4"/>
  <c r="BB135" i="4"/>
  <c r="BB139" i="4"/>
  <c r="BA139" i="4"/>
  <c r="AM170" i="4"/>
  <c r="AL170" i="4"/>
  <c r="AI205" i="4"/>
  <c r="AH205" i="4"/>
  <c r="AH204" i="4"/>
  <c r="AI204" i="4"/>
  <c r="AH190" i="4"/>
  <c r="AG190" i="4"/>
  <c r="AW249" i="4"/>
  <c r="AY249" i="4"/>
  <c r="AT278" i="4"/>
  <c r="AU278" i="4"/>
  <c r="AW280" i="4"/>
  <c r="AX280" i="4"/>
  <c r="AU282" i="4"/>
  <c r="AT282" i="4"/>
  <c r="AS284" i="4"/>
  <c r="AT284" i="4"/>
  <c r="AL291" i="4"/>
  <c r="AM291" i="4"/>
  <c r="AO293" i="4"/>
  <c r="AP293" i="4"/>
  <c r="AG296" i="4"/>
  <c r="AH296" i="4"/>
  <c r="AP301" i="4"/>
  <c r="AQ301" i="4"/>
  <c r="BA330" i="4"/>
  <c r="BB330" i="4"/>
  <c r="AP346" i="4"/>
  <c r="AO346" i="4"/>
  <c r="AH349" i="4"/>
  <c r="AI349" i="4"/>
  <c r="AO356" i="4"/>
  <c r="AP356" i="4"/>
  <c r="AO375" i="4"/>
  <c r="AP375" i="4"/>
  <c r="AI379" i="4"/>
  <c r="AH379" i="4"/>
  <c r="AO383" i="4"/>
  <c r="AP383" i="4"/>
  <c r="AH387" i="4"/>
  <c r="AG387" i="4"/>
  <c r="AW389" i="4"/>
  <c r="AX389" i="4"/>
  <c r="AM448" i="4"/>
  <c r="AL448" i="4"/>
  <c r="AK448" i="4"/>
  <c r="AY339" i="4"/>
  <c r="AW339" i="4"/>
  <c r="AH368" i="4"/>
  <c r="AG368" i="4"/>
  <c r="AS379" i="4"/>
  <c r="AT379" i="4"/>
  <c r="AY330" i="4"/>
  <c r="AW330" i="4"/>
  <c r="AX308" i="4"/>
  <c r="AY308" i="4"/>
  <c r="AW323" i="4"/>
  <c r="AX323" i="4"/>
  <c r="BB328" i="4"/>
  <c r="BC328" i="4"/>
  <c r="AY369" i="4"/>
  <c r="AW369" i="4"/>
  <c r="AX374" i="4"/>
  <c r="AY374" i="4"/>
  <c r="AG386" i="4"/>
  <c r="AH386" i="4"/>
  <c r="AY391" i="4"/>
  <c r="AX391" i="4"/>
  <c r="BB310" i="4"/>
  <c r="BC310" i="4"/>
  <c r="BC315" i="4"/>
  <c r="BB315" i="4"/>
  <c r="BC322" i="4"/>
  <c r="BB322" i="4"/>
  <c r="AT450" i="4"/>
  <c r="AS450" i="4"/>
  <c r="AK458" i="4"/>
  <c r="AL458" i="4"/>
  <c r="AK461" i="4"/>
  <c r="AL461" i="4"/>
  <c r="AU473" i="4"/>
  <c r="AT473" i="4"/>
  <c r="BB475" i="4"/>
  <c r="BA475" i="4"/>
  <c r="AX460" i="4"/>
  <c r="AW460" i="4"/>
  <c r="AY476" i="4"/>
  <c r="AX476" i="4"/>
  <c r="AY488" i="4"/>
  <c r="AX488" i="4"/>
  <c r="BA497" i="4"/>
  <c r="BB497" i="4"/>
  <c r="AO503" i="4"/>
  <c r="AP503" i="4"/>
  <c r="AT508" i="4"/>
  <c r="AS508" i="4"/>
  <c r="AS510" i="4"/>
  <c r="AT510" i="4"/>
  <c r="AP524" i="4"/>
  <c r="AO524" i="4"/>
  <c r="AQ528" i="4"/>
  <c r="AP528" i="4"/>
  <c r="AO538" i="4"/>
  <c r="AP538" i="4"/>
  <c r="AQ540" i="4"/>
  <c r="AP540" i="4"/>
  <c r="BB555" i="4"/>
  <c r="BC555" i="4"/>
  <c r="AL568" i="4"/>
  <c r="AM568" i="4"/>
  <c r="AX571" i="4"/>
  <c r="AY571" i="4"/>
  <c r="AO584" i="4"/>
  <c r="AP584" i="4"/>
  <c r="AS589" i="4"/>
  <c r="AT589" i="4"/>
  <c r="AH592" i="4"/>
  <c r="AI592" i="4"/>
  <c r="AL596" i="4"/>
  <c r="AM596" i="4"/>
  <c r="BA408" i="4"/>
  <c r="BB408" i="4"/>
  <c r="BA415" i="4"/>
  <c r="BB415" i="4"/>
  <c r="BB406" i="4"/>
  <c r="BC406" i="4"/>
  <c r="BB418" i="4"/>
  <c r="BC418" i="4"/>
  <c r="BB398" i="4"/>
  <c r="BC398" i="4"/>
  <c r="AT498" i="4"/>
  <c r="AS498" i="4"/>
  <c r="BB488" i="4"/>
  <c r="BC488" i="4"/>
  <c r="AT527" i="4"/>
  <c r="AS527" i="4"/>
  <c r="AX566" i="4"/>
  <c r="AY566" i="4"/>
  <c r="AU412" i="4"/>
  <c r="AT412" i="4"/>
  <c r="AT402" i="4"/>
  <c r="AU402" i="4"/>
  <c r="AU403" i="4"/>
  <c r="AT403" i="4"/>
  <c r="AS416" i="4"/>
  <c r="AT416" i="4"/>
  <c r="AT407" i="4"/>
  <c r="AS407" i="4"/>
  <c r="AI472" i="4"/>
  <c r="AH472" i="4"/>
  <c r="AP458" i="4"/>
  <c r="AQ458" i="4"/>
  <c r="AQ460" i="4"/>
  <c r="AP460" i="4"/>
  <c r="AW462" i="4"/>
  <c r="AY462" i="4"/>
  <c r="AY489" i="4"/>
  <c r="AW489" i="4"/>
  <c r="BC440" i="4"/>
  <c r="BB440" i="4"/>
  <c r="AL467" i="4"/>
  <c r="AK467" i="4"/>
  <c r="AL498" i="4"/>
  <c r="AK498" i="4"/>
  <c r="BA493" i="4"/>
  <c r="BB493" i="4"/>
  <c r="AS497" i="4"/>
  <c r="AT497" i="4"/>
  <c r="AX500" i="4"/>
  <c r="AY500" i="4"/>
  <c r="AT503" i="4"/>
  <c r="AU503" i="4"/>
  <c r="AO507" i="4"/>
  <c r="AP507" i="4"/>
  <c r="AP519" i="4"/>
  <c r="AQ519" i="4"/>
  <c r="BB521" i="4"/>
  <c r="BA521" i="4"/>
  <c r="AO525" i="4"/>
  <c r="AP525" i="4"/>
  <c r="AP530" i="4"/>
  <c r="AQ530" i="4"/>
  <c r="AU535" i="4"/>
  <c r="AT535" i="4"/>
  <c r="AW557" i="4"/>
  <c r="AX557" i="4"/>
  <c r="BB578" i="4"/>
  <c r="BC578" i="4"/>
  <c r="BB592" i="4"/>
  <c r="BC592" i="4"/>
  <c r="BB622" i="4"/>
  <c r="BC622" i="4"/>
  <c r="BA631" i="4"/>
  <c r="BB631" i="4"/>
  <c r="BA612" i="4"/>
  <c r="BB612" i="4"/>
  <c r="AS736" i="4"/>
  <c r="AT736" i="4"/>
  <c r="BB579" i="4"/>
  <c r="BC579" i="4"/>
  <c r="AS630" i="4"/>
  <c r="AT630" i="4"/>
  <c r="AU608" i="4"/>
  <c r="AT608" i="4"/>
  <c r="AT625" i="4"/>
  <c r="AU625" i="4"/>
  <c r="AT612" i="4"/>
  <c r="AU612" i="4"/>
  <c r="AM620" i="4"/>
  <c r="AL620" i="4"/>
  <c r="BB624" i="4"/>
  <c r="BA624" i="4"/>
  <c r="AX668" i="4"/>
  <c r="AY668" i="4"/>
  <c r="AK677" i="4"/>
  <c r="AL677" i="4"/>
  <c r="AT683" i="4"/>
  <c r="AU683" i="4"/>
  <c r="AL690" i="4"/>
  <c r="AM690" i="4"/>
  <c r="AO735" i="4"/>
  <c r="AP735" i="4"/>
  <c r="AP741" i="4"/>
  <c r="AQ741" i="4"/>
  <c r="AP749" i="4"/>
  <c r="AQ749" i="4"/>
  <c r="AS776" i="4"/>
  <c r="AT776" i="4"/>
  <c r="AG792" i="4"/>
  <c r="AH792" i="4"/>
  <c r="AH802" i="4"/>
  <c r="AI802" i="4"/>
  <c r="AL630" i="4"/>
  <c r="AM630" i="4"/>
  <c r="AK616" i="4"/>
  <c r="AL616" i="4"/>
  <c r="AL622" i="4"/>
  <c r="AM622" i="4"/>
  <c r="AL654" i="4"/>
  <c r="AM654" i="4"/>
  <c r="AT668" i="4"/>
  <c r="AU668" i="4"/>
  <c r="AL688" i="4"/>
  <c r="AM688" i="4"/>
  <c r="AW729" i="4"/>
  <c r="AY729" i="4"/>
  <c r="AU733" i="4"/>
  <c r="AT733" i="4"/>
  <c r="AT737" i="4"/>
  <c r="AS737" i="4"/>
  <c r="AP750" i="4"/>
  <c r="AQ750" i="4"/>
  <c r="AP760" i="4"/>
  <c r="AQ760" i="4"/>
  <c r="AO765" i="4"/>
  <c r="AP765" i="4"/>
  <c r="AL774" i="4"/>
  <c r="AM774" i="4"/>
  <c r="AW789" i="4"/>
  <c r="AY789" i="4"/>
  <c r="BA792" i="4"/>
  <c r="BB792" i="4"/>
  <c r="AH795" i="4"/>
  <c r="AI795" i="4"/>
  <c r="AW802" i="4"/>
  <c r="AX802" i="4"/>
  <c r="BB806" i="4"/>
  <c r="BC806" i="4"/>
  <c r="AW809" i="4"/>
  <c r="AX809" i="4"/>
  <c r="AG820" i="4"/>
  <c r="AH820" i="4"/>
  <c r="AO823" i="4"/>
  <c r="AP823" i="4"/>
  <c r="AT828" i="4"/>
  <c r="AS828" i="4"/>
  <c r="AU834" i="4"/>
  <c r="AT834" i="4"/>
  <c r="AM837" i="4"/>
  <c r="AL837" i="4"/>
  <c r="AI857" i="4"/>
  <c r="AH857" i="4"/>
  <c r="AO853" i="4"/>
  <c r="AP853" i="4"/>
  <c r="AW837" i="4"/>
  <c r="AY837" i="4"/>
  <c r="AY835" i="4"/>
  <c r="AX835" i="4"/>
  <c r="AX824" i="4"/>
  <c r="AY824" i="4"/>
  <c r="AS866" i="4"/>
  <c r="AT866" i="4"/>
  <c r="AU849" i="4"/>
  <c r="AT849" i="4"/>
  <c r="AX871" i="4"/>
  <c r="AY871" i="4"/>
  <c r="AW855" i="4"/>
  <c r="AY855" i="4"/>
  <c r="AX857" i="4"/>
  <c r="AW857" i="4"/>
  <c r="AM871" i="4"/>
  <c r="AL871" i="4"/>
  <c r="AL856" i="4"/>
  <c r="AK856" i="4"/>
  <c r="BA858" i="4"/>
  <c r="BB858" i="4"/>
  <c r="BB855" i="4"/>
  <c r="BC855" i="4"/>
  <c r="AL4" i="62"/>
  <c r="Y17" i="62" s="1"/>
  <c r="C17" i="62" s="1"/>
  <c r="L17" i="62" s="1"/>
  <c r="AD18" i="63"/>
  <c r="Q31" i="63" s="1"/>
  <c r="AK4" i="62"/>
  <c r="Y16" i="62" s="1"/>
  <c r="C16" i="62" s="1"/>
  <c r="L16" i="62" s="1"/>
  <c r="AC18" i="63"/>
  <c r="Q30" i="63" s="1"/>
  <c r="R18" i="63"/>
  <c r="AE8" i="4" a="1"/>
  <c r="Z4" i="62"/>
  <c r="Y5" i="62" s="1"/>
  <c r="C5" i="62" s="1"/>
  <c r="L5" i="62" s="1"/>
  <c r="AC4" i="62"/>
  <c r="Y8" i="62" s="1"/>
  <c r="C8" i="62" s="1"/>
  <c r="L8" i="62" s="1"/>
  <c r="U18" i="63"/>
  <c r="Q22" i="63" s="1"/>
  <c r="L4" i="62"/>
  <c r="B11" i="60"/>
  <c r="H10" i="60"/>
  <c r="AF28" i="62"/>
  <c r="Y35" i="62" s="1"/>
  <c r="C35" i="62" s="1"/>
  <c r="L35" i="62" s="1"/>
  <c r="X42" i="63"/>
  <c r="Q49" i="63" s="1"/>
  <c r="R42" i="63"/>
  <c r="Q43" i="63" s="1"/>
  <c r="Z28" i="62"/>
  <c r="Y29" i="62" s="1"/>
  <c r="C29" i="62" s="1"/>
  <c r="L29" i="62" s="1"/>
  <c r="AG28" i="62"/>
  <c r="Y36" i="62" s="1"/>
  <c r="C36" i="62" s="1"/>
  <c r="L36" i="62" s="1"/>
  <c r="Y42" i="63"/>
  <c r="Q50" i="63" s="1"/>
  <c r="AN28" i="62"/>
  <c r="Y43" i="62" s="1"/>
  <c r="D4" i="62" s="1"/>
  <c r="AF42" i="63"/>
  <c r="Q57" i="63" s="1"/>
  <c r="AC28" i="62"/>
  <c r="Y32" i="62" s="1"/>
  <c r="C32" i="62" s="1"/>
  <c r="L32" i="62" s="1"/>
  <c r="U42" i="63"/>
  <c r="Q46" i="63" s="1"/>
  <c r="AE28" i="62"/>
  <c r="Y34" i="62" s="1"/>
  <c r="C34" i="62" s="1"/>
  <c r="L34" i="62" s="1"/>
  <c r="W42" i="63"/>
  <c r="Q48" i="63" s="1"/>
  <c r="AD148" i="62"/>
  <c r="Y153" i="62" s="1"/>
  <c r="F36" i="62" s="1"/>
  <c r="O36" i="62" s="1"/>
  <c r="V162" i="63"/>
  <c r="Q167" i="63" s="1"/>
  <c r="AN148" i="62"/>
  <c r="Y163" i="62" s="1"/>
  <c r="G7" i="62" s="1"/>
  <c r="P7" i="62" s="1"/>
  <c r="AF162" i="63"/>
  <c r="Q177" i="63" s="1"/>
  <c r="AB148" i="62"/>
  <c r="Y151" i="62" s="1"/>
  <c r="F34" i="62" s="1"/>
  <c r="O34" i="62" s="1"/>
  <c r="T162" i="63"/>
  <c r="Q165" i="63" s="1"/>
  <c r="AH148" i="62"/>
  <c r="Y157" i="62" s="1"/>
  <c r="F40" i="62" s="1"/>
  <c r="O40" i="62" s="1"/>
  <c r="Z162" i="63"/>
  <c r="Q171" i="63" s="1"/>
  <c r="AV148" i="62"/>
  <c r="Y171" i="62" s="1"/>
  <c r="G15" i="62" s="1"/>
  <c r="P15" i="62" s="1"/>
  <c r="AN162" i="63"/>
  <c r="Q185" i="63" s="1"/>
  <c r="AM148" i="62"/>
  <c r="Y162" i="62" s="1"/>
  <c r="G6" i="62" s="1"/>
  <c r="P6" i="62" s="1"/>
  <c r="AE162" i="63"/>
  <c r="Q176" i="63" s="1"/>
  <c r="AB17" i="3"/>
  <c r="AA17" i="3"/>
  <c r="Y292" i="62"/>
  <c r="J19" i="62" s="1"/>
  <c r="AE368" i="4" a="1"/>
  <c r="Q306" i="63"/>
  <c r="AN292" i="62"/>
  <c r="Y307" i="62" s="1"/>
  <c r="J34" i="62" s="1"/>
  <c r="S34" i="62" s="1"/>
  <c r="AF306" i="63"/>
  <c r="Q321" i="63" s="1"/>
  <c r="Y124" i="62"/>
  <c r="F7" i="62" s="1"/>
  <c r="AB10" i="3"/>
  <c r="Q138" i="63"/>
  <c r="AA10" i="3"/>
  <c r="AE158" i="4" a="1"/>
  <c r="AU124" i="62"/>
  <c r="Y146" i="62" s="1"/>
  <c r="F29" i="62" s="1"/>
  <c r="O29" i="62" s="1"/>
  <c r="AM138" i="63"/>
  <c r="Q160" i="63" s="1"/>
  <c r="AR124" i="62"/>
  <c r="Y143" i="62" s="1"/>
  <c r="F26" i="62" s="1"/>
  <c r="O26" i="62" s="1"/>
  <c r="AJ138" i="63"/>
  <c r="Q157" i="63" s="1"/>
  <c r="AN124" i="62"/>
  <c r="Y139" i="62" s="1"/>
  <c r="F22" i="62" s="1"/>
  <c r="O22" i="62" s="1"/>
  <c r="AF138" i="63"/>
  <c r="Q153" i="63" s="1"/>
  <c r="AG124" i="62"/>
  <c r="Y132" i="62" s="1"/>
  <c r="F15" i="62" s="1"/>
  <c r="O15" i="62" s="1"/>
  <c r="Y138" i="63"/>
  <c r="Q146" i="63" s="1"/>
  <c r="AA138" i="63"/>
  <c r="Q148" i="63" s="1"/>
  <c r="AI124" i="62"/>
  <c r="Y134" i="62" s="1"/>
  <c r="F17" i="62" s="1"/>
  <c r="O17" i="62" s="1"/>
  <c r="AS172" i="62"/>
  <c r="Y192" i="62" s="1"/>
  <c r="G36" i="62" s="1"/>
  <c r="P36" i="62" s="1"/>
  <c r="AK186" i="63"/>
  <c r="Q206" i="63" s="1"/>
  <c r="AK196" i="62"/>
  <c r="Y208" i="62" s="1"/>
  <c r="H13" i="62" s="1"/>
  <c r="Q13" i="62" s="1"/>
  <c r="AC210" i="63"/>
  <c r="Q222" i="63" s="1"/>
  <c r="AG292" i="62"/>
  <c r="Y300" i="62" s="1"/>
  <c r="J27" i="62" s="1"/>
  <c r="S27" i="62" s="1"/>
  <c r="Y306" i="63"/>
  <c r="Q314" i="63" s="1"/>
  <c r="AO292" i="62"/>
  <c r="Y308" i="62" s="1"/>
  <c r="J35" i="62" s="1"/>
  <c r="S35" i="62" s="1"/>
  <c r="AG306" i="63"/>
  <c r="Q322" i="63" s="1"/>
  <c r="AT172" i="62"/>
  <c r="Y193" i="62" s="1"/>
  <c r="G37" i="62" s="1"/>
  <c r="P37" i="62" s="1"/>
  <c r="AL186" i="63"/>
  <c r="Q207" i="63" s="1"/>
  <c r="AU172" i="62"/>
  <c r="Y194" i="62" s="1"/>
  <c r="G38" i="62" s="1"/>
  <c r="P38" i="62" s="1"/>
  <c r="AM186" i="63"/>
  <c r="Q208" i="63" s="1"/>
  <c r="AQ196" i="62"/>
  <c r="Y214" i="62" s="1"/>
  <c r="H19" i="62" s="1"/>
  <c r="Q19" i="62" s="1"/>
  <c r="AI210" i="63"/>
  <c r="Q228" i="63" s="1"/>
  <c r="AJ244" i="62"/>
  <c r="Y255" i="62" s="1"/>
  <c r="I21" i="62" s="1"/>
  <c r="R21" i="62" s="1"/>
  <c r="AB258" i="63"/>
  <c r="Q269" i="63" s="1"/>
  <c r="AV244" i="62"/>
  <c r="Y267" i="62" s="1"/>
  <c r="I33" i="62" s="1"/>
  <c r="R33" i="62" s="1"/>
  <c r="AN258" i="63"/>
  <c r="Q281" i="63" s="1"/>
  <c r="AR172" i="62"/>
  <c r="Y191" i="62" s="1"/>
  <c r="G35" i="62" s="1"/>
  <c r="P35" i="62" s="1"/>
  <c r="AJ186" i="63"/>
  <c r="Q205" i="63" s="1"/>
  <c r="AE248" i="4" a="1"/>
  <c r="AA13" i="3"/>
  <c r="AB13" i="3"/>
  <c r="Q210" i="63"/>
  <c r="Y196" i="62"/>
  <c r="G40" i="62" s="1"/>
  <c r="P40" i="62" s="1"/>
  <c r="AM196" i="62"/>
  <c r="Y210" i="62" s="1"/>
  <c r="H15" i="62" s="1"/>
  <c r="Q15" i="62" s="1"/>
  <c r="AE210" i="63"/>
  <c r="Q224" i="63" s="1"/>
  <c r="Z258" i="63"/>
  <c r="Q267" i="63" s="1"/>
  <c r="AH244" i="62"/>
  <c r="Y253" i="62" s="1"/>
  <c r="I19" i="62" s="1"/>
  <c r="R19" i="62" s="1"/>
  <c r="AE244" i="62"/>
  <c r="Y250" i="62" s="1"/>
  <c r="I16" i="62" s="1"/>
  <c r="R16" i="62" s="1"/>
  <c r="W258" i="63"/>
  <c r="Q264" i="63" s="1"/>
  <c r="AH234" i="63"/>
  <c r="Q251" i="63" s="1"/>
  <c r="AP220" i="62"/>
  <c r="Y237" i="62" s="1"/>
  <c r="H42" i="62" s="1"/>
  <c r="Q42" i="62" s="1"/>
  <c r="AJ220" i="62"/>
  <c r="Y231" i="62" s="1"/>
  <c r="H36" i="62" s="1"/>
  <c r="Q36" i="62" s="1"/>
  <c r="AB234" i="63"/>
  <c r="Q245" i="63" s="1"/>
  <c r="AH220" i="62"/>
  <c r="Y229" i="62" s="1"/>
  <c r="H34" i="62" s="1"/>
  <c r="Q34" i="62" s="1"/>
  <c r="Z234" i="63"/>
  <c r="Q243" i="63" s="1"/>
  <c r="AG220" i="62"/>
  <c r="Y228" i="62" s="1"/>
  <c r="H33" i="62" s="1"/>
  <c r="Q33" i="62" s="1"/>
  <c r="Y234" i="63"/>
  <c r="Q242" i="63" s="1"/>
  <c r="AK220" i="62"/>
  <c r="Y232" i="62" s="1"/>
  <c r="H37" i="62" s="1"/>
  <c r="Q37" i="62" s="1"/>
  <c r="AC234" i="63"/>
  <c r="Q246" i="63" s="1"/>
  <c r="AU220" i="62"/>
  <c r="Y242" i="62" s="1"/>
  <c r="I8" i="62" s="1"/>
  <c r="R8" i="62" s="1"/>
  <c r="AM234" i="63"/>
  <c r="Q256" i="63" s="1"/>
  <c r="AM439" i="4"/>
  <c r="BC439" i="4"/>
  <c r="AW439" i="4"/>
  <c r="AO439" i="4"/>
  <c r="AG439" i="4"/>
  <c r="AU439" i="4"/>
  <c r="AK446" i="4"/>
  <c r="BA446" i="4"/>
  <c r="AI446" i="4"/>
  <c r="AQ446" i="4"/>
  <c r="AU446" i="4"/>
  <c r="AW446" i="4"/>
  <c r="Z28" i="3"/>
  <c r="Y28" i="3"/>
  <c r="J28" i="3"/>
  <c r="V28" i="3"/>
  <c r="I28" i="3"/>
  <c r="G28" i="3"/>
  <c r="R28" i="3"/>
  <c r="T28" i="3"/>
  <c r="W28" i="3"/>
  <c r="E28" i="3"/>
  <c r="Q28" i="3"/>
  <c r="K28" i="3"/>
  <c r="O28" i="3"/>
  <c r="C28" i="3"/>
  <c r="P28" i="3"/>
  <c r="M28" i="3"/>
  <c r="F28" i="3"/>
  <c r="N28" i="3"/>
  <c r="H28" i="3"/>
  <c r="S28" i="3"/>
  <c r="D28" i="3"/>
  <c r="X28" i="3"/>
  <c r="U28" i="3"/>
  <c r="L28" i="3"/>
  <c r="J29" i="3"/>
  <c r="O29" i="3"/>
  <c r="W29" i="3"/>
  <c r="R29" i="3"/>
  <c r="D29" i="3"/>
  <c r="T29" i="3"/>
  <c r="H29" i="3"/>
  <c r="I29" i="3"/>
  <c r="K29" i="3"/>
  <c r="N29" i="3"/>
  <c r="F29" i="3"/>
  <c r="L29" i="3"/>
  <c r="Q29" i="3"/>
  <c r="Z29" i="3"/>
  <c r="U29" i="3"/>
  <c r="X29" i="3"/>
  <c r="Y29" i="3"/>
  <c r="E29" i="3"/>
  <c r="V29" i="3"/>
  <c r="P29" i="3"/>
  <c r="C29" i="3"/>
  <c r="S29" i="3"/>
  <c r="G29" i="3"/>
  <c r="M29" i="3"/>
  <c r="V38" i="2"/>
  <c r="W38" i="2" s="1"/>
  <c r="AI52" i="9" l="1"/>
  <c r="AJ52" i="9"/>
  <c r="BQ85" i="9"/>
  <c r="BT85" i="9" s="1"/>
  <c r="BN85" i="9"/>
  <c r="BY79" i="9"/>
  <c r="CC79" i="9"/>
  <c r="CE79" i="9" s="1"/>
  <c r="AE500" i="4"/>
  <c r="BY95" i="9"/>
  <c r="CC95" i="9"/>
  <c r="CE95" i="9" s="1"/>
  <c r="F67" i="9"/>
  <c r="AD85" i="9"/>
  <c r="AG85" i="9"/>
  <c r="AC85" i="9"/>
  <c r="X41" i="9"/>
  <c r="U74" i="9"/>
  <c r="X74" i="9" s="1"/>
  <c r="BB73" i="9"/>
  <c r="BE73" i="9"/>
  <c r="BH73" i="9" s="1"/>
  <c r="AG75" i="9"/>
  <c r="AI75" i="9" s="1"/>
  <c r="AC75" i="9"/>
  <c r="CF71" i="9"/>
  <c r="CE71" i="9"/>
  <c r="AE489" i="4"/>
  <c r="BA489" i="4" s="1"/>
  <c r="BQ86" i="9"/>
  <c r="BT86" i="9" s="1"/>
  <c r="BN86" i="9"/>
  <c r="W48" i="9"/>
  <c r="U81" i="9"/>
  <c r="W81" i="9" s="1"/>
  <c r="AU57" i="9"/>
  <c r="AS90" i="9"/>
  <c r="AU90" i="9" s="1"/>
  <c r="AD80" i="9"/>
  <c r="AG80" i="9"/>
  <c r="AJ80" i="9" s="1"/>
  <c r="AE497" i="4"/>
  <c r="BQ77" i="9"/>
  <c r="BT77" i="9" s="1"/>
  <c r="BN77" i="9"/>
  <c r="AD95" i="9"/>
  <c r="AG95" i="9"/>
  <c r="AJ95" i="9" s="1"/>
  <c r="AG91" i="9"/>
  <c r="AI91" i="9" s="1"/>
  <c r="AC91" i="9"/>
  <c r="W42" i="9"/>
  <c r="U75" i="9"/>
  <c r="W75" i="9" s="1"/>
  <c r="BN92" i="9"/>
  <c r="BQ92" i="9"/>
  <c r="BT92" i="9" s="1"/>
  <c r="BM81" i="9"/>
  <c r="BQ81" i="9"/>
  <c r="BS81" i="9" s="1"/>
  <c r="W47" i="9"/>
  <c r="U80" i="9"/>
  <c r="W80" i="9" s="1"/>
  <c r="BE89" i="9"/>
  <c r="BG89" i="9" s="1"/>
  <c r="BA89" i="9"/>
  <c r="CC77" i="9"/>
  <c r="CF77" i="9" s="1"/>
  <c r="BZ77" i="9"/>
  <c r="BB92" i="9"/>
  <c r="BE92" i="9"/>
  <c r="BH92" i="9" s="1"/>
  <c r="CC81" i="9"/>
  <c r="CE81" i="9" s="1"/>
  <c r="BY81" i="9"/>
  <c r="BY94" i="9"/>
  <c r="CC94" i="9"/>
  <c r="CE94" i="9" s="1"/>
  <c r="BA76" i="9"/>
  <c r="BE76" i="9"/>
  <c r="BG76" i="9" s="1"/>
  <c r="BC444" i="4"/>
  <c r="BY93" i="9"/>
  <c r="CC93" i="9"/>
  <c r="CE93" i="9" s="1"/>
  <c r="AG503" i="4"/>
  <c r="AS444" i="4"/>
  <c r="AG444" i="4"/>
  <c r="AQ436" i="4"/>
  <c r="AK444" i="4"/>
  <c r="AW451" i="4"/>
  <c r="AQ444" i="4"/>
  <c r="AU436" i="4"/>
  <c r="AM436" i="4"/>
  <c r="AK451" i="4"/>
  <c r="AE788" i="4"/>
  <c r="BQ89" i="9"/>
  <c r="BS89" i="9" s="1"/>
  <c r="BM89" i="9"/>
  <c r="CC86" i="9"/>
  <c r="CE86" i="9" s="1"/>
  <c r="BY86" i="9"/>
  <c r="X65" i="9"/>
  <c r="U98" i="9"/>
  <c r="X98" i="9" s="1"/>
  <c r="AU59" i="9"/>
  <c r="AS92" i="9"/>
  <c r="AU92" i="9" s="1"/>
  <c r="W46" i="9"/>
  <c r="U79" i="9"/>
  <c r="W79" i="9" s="1"/>
  <c r="B5" i="51"/>
  <c r="B11" i="51" s="1"/>
  <c r="H15" i="53"/>
  <c r="AE792" i="4"/>
  <c r="BC792" i="4" s="1"/>
  <c r="AG84" i="9"/>
  <c r="AJ84" i="9" s="1"/>
  <c r="AD84" i="9"/>
  <c r="AV44" i="9"/>
  <c r="AS77" i="9"/>
  <c r="AV77" i="9" s="1"/>
  <c r="AU58" i="9"/>
  <c r="AS91" i="9"/>
  <c r="AU91" i="9" s="1"/>
  <c r="X38" i="9"/>
  <c r="U71" i="9"/>
  <c r="X71" i="9" s="1"/>
  <c r="W62" i="9"/>
  <c r="U95" i="9"/>
  <c r="W95" i="9" s="1"/>
  <c r="W58" i="9"/>
  <c r="U91" i="9"/>
  <c r="W91" i="9" s="1"/>
  <c r="AE789" i="4"/>
  <c r="AX789" i="4" s="1"/>
  <c r="AE498" i="4"/>
  <c r="AE507" i="4"/>
  <c r="AQ507" i="4" s="1"/>
  <c r="AE496" i="4"/>
  <c r="AG496" i="4" s="1"/>
  <c r="AV60" i="9"/>
  <c r="AS93" i="9"/>
  <c r="AV93" i="9" s="1"/>
  <c r="BE87" i="9"/>
  <c r="BG87" i="9" s="1"/>
  <c r="BA87" i="9"/>
  <c r="AS81" i="9"/>
  <c r="AU81" i="9" s="1"/>
  <c r="AU48" i="9"/>
  <c r="AU46" i="9"/>
  <c r="AS79" i="9"/>
  <c r="AU79" i="9" s="1"/>
  <c r="AQ505" i="4"/>
  <c r="AS441" i="4"/>
  <c r="AQ503" i="4"/>
  <c r="AE506" i="4"/>
  <c r="AK506" i="4" s="1"/>
  <c r="AE501" i="4"/>
  <c r="AE490" i="4"/>
  <c r="AS490" i="4" s="1"/>
  <c r="X55" i="9"/>
  <c r="U88" i="9"/>
  <c r="X88" i="9" s="1"/>
  <c r="BA97" i="9"/>
  <c r="BE97" i="9"/>
  <c r="BG97" i="9" s="1"/>
  <c r="AV64" i="9"/>
  <c r="AS97" i="9"/>
  <c r="AV97" i="9" s="1"/>
  <c r="X49" i="9"/>
  <c r="U82" i="9"/>
  <c r="X82" i="9" s="1"/>
  <c r="AU65" i="9"/>
  <c r="AS98" i="9"/>
  <c r="AU98" i="9" s="1"/>
  <c r="AU55" i="9"/>
  <c r="AS88" i="9"/>
  <c r="AU88" i="9" s="1"/>
  <c r="BB81" i="9"/>
  <c r="BE81" i="9"/>
  <c r="BH81" i="9" s="1"/>
  <c r="AG90" i="9"/>
  <c r="AI90" i="9" s="1"/>
  <c r="AC90" i="9"/>
  <c r="AV50" i="9"/>
  <c r="AS83" i="9"/>
  <c r="AV83" i="9" s="1"/>
  <c r="AP354" i="63"/>
  <c r="AG499" i="4"/>
  <c r="BC499" i="4"/>
  <c r="AO499" i="4"/>
  <c r="AU499" i="4"/>
  <c r="AS503" i="4"/>
  <c r="AY503" i="4"/>
  <c r="AO498" i="4"/>
  <c r="AE801" i="4"/>
  <c r="AG801" i="4" s="1"/>
  <c r="AE806" i="4"/>
  <c r="AK806" i="4" s="1"/>
  <c r="AE807" i="4"/>
  <c r="AX807" i="4" s="1"/>
  <c r="AK505" i="4"/>
  <c r="AX441" i="4"/>
  <c r="AI792" i="4"/>
  <c r="AM498" i="4"/>
  <c r="AG505" i="4"/>
  <c r="AS505" i="4"/>
  <c r="AK441" i="4"/>
  <c r="AG441" i="4"/>
  <c r="AO501" i="4"/>
  <c r="AI428" i="4"/>
  <c r="AU507" i="4"/>
  <c r="AW511" i="4"/>
  <c r="BC503" i="4"/>
  <c r="AO430" i="4"/>
  <c r="AI789" i="4"/>
  <c r="AW506" i="4"/>
  <c r="AK500" i="4"/>
  <c r="AU449" i="4"/>
  <c r="BC505" i="4"/>
  <c r="AE805" i="4"/>
  <c r="AS805" i="4" s="1"/>
  <c r="AE811" i="4"/>
  <c r="AE802" i="4"/>
  <c r="AS802" i="4" s="1"/>
  <c r="AE491" i="4"/>
  <c r="AQ491" i="4" s="1"/>
  <c r="AE509" i="4"/>
  <c r="AY509" i="4" s="1"/>
  <c r="AE504" i="4"/>
  <c r="AG504" i="4" s="1"/>
  <c r="AE493" i="4"/>
  <c r="AE488" i="4"/>
  <c r="AE492" i="4"/>
  <c r="AX507" i="4"/>
  <c r="BA441" i="4"/>
  <c r="AI511" i="4"/>
  <c r="AX498" i="4"/>
  <c r="AO438" i="4"/>
  <c r="AO497" i="4"/>
  <c r="AE809" i="4"/>
  <c r="AO809" i="4" s="1"/>
  <c r="AE808" i="4"/>
  <c r="AQ808" i="4" s="1"/>
  <c r="AE790" i="4"/>
  <c r="AO790" i="4" s="1"/>
  <c r="AE510" i="4"/>
  <c r="AU510" i="4" s="1"/>
  <c r="AE508" i="4"/>
  <c r="AI508" i="4" s="1"/>
  <c r="AE494" i="4"/>
  <c r="AU494" i="4" s="1"/>
  <c r="AE495" i="4"/>
  <c r="AM495" i="4" s="1"/>
  <c r="AE502" i="4"/>
  <c r="AK502" i="4" s="1"/>
  <c r="AM499" i="4"/>
  <c r="AW499" i="4"/>
  <c r="BC510" i="4"/>
  <c r="BA440" i="4"/>
  <c r="B114" i="63"/>
  <c r="X100" i="62"/>
  <c r="B9" i="6"/>
  <c r="B10" i="3"/>
  <c r="AD124" i="4"/>
  <c r="AC152" i="4" s="1"/>
  <c r="F21" i="47"/>
  <c r="H21" i="47" s="1"/>
  <c r="H23" i="47" s="1"/>
  <c r="F34" i="47"/>
  <c r="H12" i="52" s="1"/>
  <c r="H13" i="53" s="1"/>
  <c r="AF74" i="9"/>
  <c r="H74" i="9"/>
  <c r="T41" i="9"/>
  <c r="AX8" i="9"/>
  <c r="AX41" i="9" s="1"/>
  <c r="AX74" i="9" s="1"/>
  <c r="BD41" i="9"/>
  <c r="BP41" i="9"/>
  <c r="AR74" i="9"/>
  <c r="CB8" i="9"/>
  <c r="BD74" i="9"/>
  <c r="N41" i="9"/>
  <c r="Z8" i="9"/>
  <c r="Z41" i="9"/>
  <c r="T8" i="9"/>
  <c r="BJ74" i="9"/>
  <c r="AR41" i="9"/>
  <c r="AL74" i="9"/>
  <c r="H8" i="9"/>
  <c r="N74" i="9"/>
  <c r="AF8" i="9"/>
  <c r="BJ8" i="9"/>
  <c r="CB74" i="9"/>
  <c r="AL8" i="9"/>
  <c r="BV74" i="9"/>
  <c r="N8" i="9"/>
  <c r="AL41" i="9"/>
  <c r="BV8" i="9"/>
  <c r="BD8" i="9"/>
  <c r="CB41" i="9"/>
  <c r="T74" i="9"/>
  <c r="B74" i="9"/>
  <c r="B41" i="9"/>
  <c r="Z74" i="9"/>
  <c r="H41" i="9"/>
  <c r="AF41" i="9"/>
  <c r="BJ41" i="9"/>
  <c r="B8" i="9"/>
  <c r="BP8" i="9"/>
  <c r="AR8" i="9"/>
  <c r="Z7" i="9"/>
  <c r="AX7" i="9"/>
  <c r="AX40" i="9" s="1"/>
  <c r="AX73" i="9" s="1"/>
  <c r="N7" i="9"/>
  <c r="BV7" i="9"/>
  <c r="BD40" i="9"/>
  <c r="CB7" i="9"/>
  <c r="H40" i="9"/>
  <c r="AL7" i="9"/>
  <c r="T40" i="9"/>
  <c r="T7" i="9"/>
  <c r="AF7" i="9"/>
  <c r="B40" i="9"/>
  <c r="CB73" i="9"/>
  <c r="Z73" i="9"/>
  <c r="BD7" i="9"/>
  <c r="BP7" i="9"/>
  <c r="BV73" i="9"/>
  <c r="AR40" i="9"/>
  <c r="B7" i="9"/>
  <c r="N40" i="9"/>
  <c r="AL73" i="9"/>
  <c r="N73" i="9"/>
  <c r="BP40" i="9"/>
  <c r="CB40" i="9"/>
  <c r="AL40" i="9"/>
  <c r="AF40" i="9"/>
  <c r="BJ73" i="9"/>
  <c r="T73" i="9"/>
  <c r="H73" i="9"/>
  <c r="H7" i="9"/>
  <c r="AR73" i="9"/>
  <c r="BJ7" i="9"/>
  <c r="AF73" i="9"/>
  <c r="B73" i="9"/>
  <c r="AR7" i="9"/>
  <c r="BJ40" i="9"/>
  <c r="Z40" i="9"/>
  <c r="BD73" i="9"/>
  <c r="B8" i="33"/>
  <c r="BV46" i="9"/>
  <c r="B8" i="34"/>
  <c r="BP79" i="9"/>
  <c r="B8" i="32"/>
  <c r="B8" i="31"/>
  <c r="B7" i="33"/>
  <c r="BP78" i="9"/>
  <c r="B7" i="32"/>
  <c r="BV45" i="9"/>
  <c r="B7" i="34"/>
  <c r="B7" i="31"/>
  <c r="N72" i="9"/>
  <c r="BJ72" i="9"/>
  <c r="BD72" i="9"/>
  <c r="BJ6" i="9"/>
  <c r="CB6" i="9"/>
  <c r="Z39" i="9"/>
  <c r="T6" i="9"/>
  <c r="AR6" i="9"/>
  <c r="B72" i="9"/>
  <c r="H72" i="9"/>
  <c r="AR72" i="9"/>
  <c r="AL72" i="9"/>
  <c r="H6" i="9"/>
  <c r="B6" i="9"/>
  <c r="BV6" i="9"/>
  <c r="T39" i="9"/>
  <c r="N39" i="9"/>
  <c r="H39" i="9"/>
  <c r="CB72" i="9"/>
  <c r="T72" i="9"/>
  <c r="BD6" i="9"/>
  <c r="B39" i="9"/>
  <c r="BJ39" i="9"/>
  <c r="CB39" i="9"/>
  <c r="BV72" i="9"/>
  <c r="AF72" i="9"/>
  <c r="N6" i="9"/>
  <c r="AF6" i="9"/>
  <c r="Z6" i="9"/>
  <c r="BP6" i="9"/>
  <c r="AR39" i="9"/>
  <c r="AL39" i="9"/>
  <c r="AF39" i="9"/>
  <c r="Z72" i="9"/>
  <c r="AL6" i="9"/>
  <c r="AX6" i="9"/>
  <c r="AX39" i="9" s="1"/>
  <c r="AX72" i="9" s="1"/>
  <c r="BP39" i="9"/>
  <c r="BD39" i="9"/>
  <c r="B6" i="32"/>
  <c r="BP77" i="9"/>
  <c r="B6" i="34"/>
  <c r="BV44" i="9"/>
  <c r="B6" i="33"/>
  <c r="B6" i="31"/>
  <c r="AO282" i="63"/>
  <c r="H35" i="3"/>
  <c r="AI447" i="4"/>
  <c r="BC431" i="4"/>
  <c r="AU437" i="4"/>
  <c r="AI431" i="4"/>
  <c r="BC437" i="4"/>
  <c r="AS431" i="4"/>
  <c r="AS445" i="4"/>
  <c r="AX447" i="4"/>
  <c r="AW440" i="4"/>
  <c r="AQ431" i="4"/>
  <c r="AW445" i="4"/>
  <c r="AK440" i="4"/>
  <c r="AS440" i="4"/>
  <c r="AY437" i="4"/>
  <c r="AO437" i="4"/>
  <c r="AG437" i="4"/>
  <c r="AM431" i="4"/>
  <c r="AE452" i="4"/>
  <c r="AI451" i="4"/>
  <c r="AQ445" i="4"/>
  <c r="AK447" i="4"/>
  <c r="AQ447" i="4"/>
  <c r="BC449" i="4"/>
  <c r="AG445" i="4"/>
  <c r="BA447" i="4"/>
  <c r="AK449" i="4"/>
  <c r="AO449" i="4"/>
  <c r="AO354" i="63"/>
  <c r="AE471" i="4"/>
  <c r="AE470" i="4"/>
  <c r="AE469" i="4"/>
  <c r="AE468" i="4"/>
  <c r="AE481" i="4"/>
  <c r="AE477" i="4"/>
  <c r="AE459" i="4"/>
  <c r="AE473" i="4"/>
  <c r="AE480" i="4"/>
  <c r="AE466" i="4"/>
  <c r="AE462" i="4"/>
  <c r="AE479" i="4"/>
  <c r="AE458" i="4"/>
  <c r="AE467" i="4"/>
  <c r="AE475" i="4"/>
  <c r="AE464" i="4"/>
  <c r="AE465" i="4"/>
  <c r="AE460" i="4"/>
  <c r="AE478" i="4"/>
  <c r="AE463" i="4"/>
  <c r="AE476" i="4"/>
  <c r="AE461" i="4"/>
  <c r="AE472" i="4"/>
  <c r="AE474" i="4"/>
  <c r="BC451" i="4"/>
  <c r="AK445" i="4"/>
  <c r="AY449" i="4"/>
  <c r="AM492" i="4"/>
  <c r="AM432" i="4"/>
  <c r="AI432" i="4"/>
  <c r="AM438" i="4"/>
  <c r="AS432" i="4"/>
  <c r="BC432" i="4"/>
  <c r="AG438" i="4"/>
  <c r="BC438" i="4"/>
  <c r="AU438" i="4"/>
  <c r="AE803" i="4"/>
  <c r="AE798" i="4"/>
  <c r="AO798" i="4" s="1"/>
  <c r="AE795" i="4"/>
  <c r="AE791" i="4"/>
  <c r="AI791" i="4" s="1"/>
  <c r="AE793" i="4"/>
  <c r="BC793" i="4" s="1"/>
  <c r="AE796" i="4"/>
  <c r="AQ796" i="4" s="1"/>
  <c r="AQ433" i="4"/>
  <c r="AS433" i="4"/>
  <c r="AW433" i="4"/>
  <c r="AM433" i="4"/>
  <c r="BC433" i="4"/>
  <c r="AI433" i="4"/>
  <c r="N5" i="62"/>
  <c r="N43" i="62" s="1"/>
  <c r="E43" i="62"/>
  <c r="AO429" i="4"/>
  <c r="AS429" i="4"/>
  <c r="BA429" i="4"/>
  <c r="AM429" i="4"/>
  <c r="AI429" i="4"/>
  <c r="AX429" i="4"/>
  <c r="AI450" i="4"/>
  <c r="AO450" i="4"/>
  <c r="AX450" i="4"/>
  <c r="AK450" i="4"/>
  <c r="BC450" i="4"/>
  <c r="AP90" i="63"/>
  <c r="AO90" i="63"/>
  <c r="AE794" i="4"/>
  <c r="AU794" i="4" s="1"/>
  <c r="AE800" i="4"/>
  <c r="AO800" i="4" s="1"/>
  <c r="AE797" i="4"/>
  <c r="BC797" i="4" s="1"/>
  <c r="AE799" i="4"/>
  <c r="AW799" i="4" s="1"/>
  <c r="AE810" i="4"/>
  <c r="AI810" i="4" s="1"/>
  <c r="BA435" i="4"/>
  <c r="AU435" i="4"/>
  <c r="AM435" i="4"/>
  <c r="AG435" i="4"/>
  <c r="AX435" i="4"/>
  <c r="AQ435" i="4"/>
  <c r="BA442" i="4"/>
  <c r="AO442" i="4"/>
  <c r="AG442" i="4"/>
  <c r="AK442" i="4"/>
  <c r="AY442" i="4"/>
  <c r="AE104" i="4"/>
  <c r="AE105" i="4"/>
  <c r="AE107" i="4"/>
  <c r="AE101" i="4"/>
  <c r="AE121" i="4"/>
  <c r="AE103" i="4"/>
  <c r="AE110" i="4"/>
  <c r="AE98" i="4"/>
  <c r="AE118" i="4"/>
  <c r="AE99" i="4"/>
  <c r="AE106" i="4"/>
  <c r="AE112" i="4"/>
  <c r="AE108" i="4"/>
  <c r="AE117" i="4"/>
  <c r="AE100" i="4"/>
  <c r="AE113" i="4"/>
  <c r="AE114" i="4"/>
  <c r="AE116" i="4"/>
  <c r="AE109" i="4"/>
  <c r="AE111" i="4"/>
  <c r="AE102" i="4"/>
  <c r="AE115" i="4"/>
  <c r="AE119" i="4"/>
  <c r="AE120" i="4"/>
  <c r="AP114" i="63"/>
  <c r="AO114" i="63"/>
  <c r="AQ448" i="4"/>
  <c r="AU448" i="4"/>
  <c r="AY448" i="4"/>
  <c r="AI448" i="4"/>
  <c r="AK443" i="4"/>
  <c r="AQ443" i="4"/>
  <c r="AY443" i="4"/>
  <c r="AG443" i="4"/>
  <c r="BC443" i="4"/>
  <c r="AS443" i="4"/>
  <c r="AE151" i="4"/>
  <c r="AE149" i="4"/>
  <c r="AE148" i="4"/>
  <c r="AE131" i="4"/>
  <c r="AE144" i="4"/>
  <c r="AE139" i="4"/>
  <c r="AE133" i="4"/>
  <c r="AE141" i="4"/>
  <c r="AE143" i="4"/>
  <c r="AE129" i="4"/>
  <c r="AE128" i="4"/>
  <c r="AE134" i="4"/>
  <c r="AE147" i="4"/>
  <c r="AE145" i="4"/>
  <c r="AE136" i="4"/>
  <c r="AE146" i="4"/>
  <c r="AE150" i="4"/>
  <c r="AE135" i="4"/>
  <c r="AE132" i="4"/>
  <c r="AE130" i="4"/>
  <c r="AE138" i="4"/>
  <c r="AE142" i="4"/>
  <c r="AE140" i="4"/>
  <c r="AE137" i="4"/>
  <c r="AE346" i="4"/>
  <c r="AE347" i="4"/>
  <c r="AE353" i="4"/>
  <c r="AE349" i="4"/>
  <c r="AE338" i="4"/>
  <c r="AE351" i="4"/>
  <c r="AE345" i="4"/>
  <c r="AE343" i="4"/>
  <c r="AE352" i="4"/>
  <c r="AE348" i="4"/>
  <c r="AE358" i="4"/>
  <c r="AE361" i="4"/>
  <c r="AE356" i="4"/>
  <c r="AE344" i="4"/>
  <c r="AE340" i="4"/>
  <c r="AE354" i="4"/>
  <c r="AE339" i="4"/>
  <c r="AE355" i="4"/>
  <c r="AE359" i="4"/>
  <c r="AE350" i="4"/>
  <c r="AE357" i="4"/>
  <c r="AE341" i="4"/>
  <c r="AE360" i="4"/>
  <c r="AE342" i="4"/>
  <c r="Q284" i="63"/>
  <c r="AP282" i="63"/>
  <c r="AO210" i="63"/>
  <c r="AP210" i="63"/>
  <c r="AP138" i="63"/>
  <c r="AO138" i="63"/>
  <c r="C43" i="62"/>
  <c r="H36" i="3"/>
  <c r="Q19" i="63"/>
  <c r="AO18" i="63"/>
  <c r="AP18" i="63"/>
  <c r="H43" i="62"/>
  <c r="Q4" i="62"/>
  <c r="Q43" i="62" s="1"/>
  <c r="AE287" i="4"/>
  <c r="AE296" i="4"/>
  <c r="AE290" i="4"/>
  <c r="AE279" i="4"/>
  <c r="AE295" i="4"/>
  <c r="AE298" i="4"/>
  <c r="AE288" i="4"/>
  <c r="AE289" i="4"/>
  <c r="AE300" i="4"/>
  <c r="AE282" i="4"/>
  <c r="AE301" i="4"/>
  <c r="AE299" i="4"/>
  <c r="AE292" i="4"/>
  <c r="AE297" i="4"/>
  <c r="AE294" i="4"/>
  <c r="AE291" i="4"/>
  <c r="AE280" i="4"/>
  <c r="AE293" i="4"/>
  <c r="AE286" i="4"/>
  <c r="AE278" i="4"/>
  <c r="AE281" i="4"/>
  <c r="AE285" i="4"/>
  <c r="AE284" i="4"/>
  <c r="AE283" i="4"/>
  <c r="AP186" i="63"/>
  <c r="AB52" i="62"/>
  <c r="Y55" i="62" s="1"/>
  <c r="D16" i="62" s="1"/>
  <c r="M16" i="62" s="1"/>
  <c r="T66" i="63"/>
  <c r="Q69" i="63" s="1"/>
  <c r="AN52" i="62"/>
  <c r="Y67" i="62" s="1"/>
  <c r="D28" i="62" s="1"/>
  <c r="M28" i="62" s="1"/>
  <c r="AF66" i="63"/>
  <c r="Q81" i="63" s="1"/>
  <c r="AH66" i="63"/>
  <c r="Q83" i="63" s="1"/>
  <c r="AP52" i="62"/>
  <c r="Y69" i="62" s="1"/>
  <c r="D30" i="62" s="1"/>
  <c r="M30" i="62" s="1"/>
  <c r="AF52" i="62"/>
  <c r="Y59" i="62" s="1"/>
  <c r="D20" i="62" s="1"/>
  <c r="M20" i="62" s="1"/>
  <c r="X66" i="63"/>
  <c r="Q73" i="63" s="1"/>
  <c r="AS52" i="62"/>
  <c r="Y72" i="62" s="1"/>
  <c r="D33" i="62" s="1"/>
  <c r="M33" i="62" s="1"/>
  <c r="AK66" i="63"/>
  <c r="Q86" i="63" s="1"/>
  <c r="AK52" i="62"/>
  <c r="Y64" i="62" s="1"/>
  <c r="D25" i="62" s="1"/>
  <c r="M25" i="62" s="1"/>
  <c r="AC66" i="63"/>
  <c r="Q78" i="63" s="1"/>
  <c r="AE868" i="4"/>
  <c r="AE867" i="4"/>
  <c r="AE862" i="4"/>
  <c r="AE856" i="4"/>
  <c r="AE864" i="4"/>
  <c r="AE860" i="4"/>
  <c r="AE863" i="4"/>
  <c r="AE848" i="4"/>
  <c r="AE851" i="4"/>
  <c r="AE854" i="4"/>
  <c r="AE850" i="4"/>
  <c r="AE861" i="4"/>
  <c r="AE852" i="4"/>
  <c r="AE855" i="4"/>
  <c r="AE871" i="4"/>
  <c r="AE857" i="4"/>
  <c r="AE869" i="4"/>
  <c r="AE870" i="4"/>
  <c r="AE849" i="4"/>
  <c r="AE865" i="4"/>
  <c r="AE853" i="4"/>
  <c r="AE858" i="4"/>
  <c r="AE859" i="4"/>
  <c r="AE866" i="4"/>
  <c r="AE194" i="4"/>
  <c r="AE192" i="4"/>
  <c r="AE206" i="4"/>
  <c r="AE209" i="4"/>
  <c r="AE195" i="4"/>
  <c r="AE202" i="4"/>
  <c r="AE200" i="4"/>
  <c r="AE208" i="4"/>
  <c r="AE197" i="4"/>
  <c r="AE199" i="4"/>
  <c r="AE203" i="4"/>
  <c r="AE211" i="4"/>
  <c r="AE201" i="4"/>
  <c r="AE189" i="4"/>
  <c r="AE205" i="4"/>
  <c r="AE207" i="4"/>
  <c r="AE204" i="4"/>
  <c r="AE210" i="4"/>
  <c r="AE193" i="4"/>
  <c r="AE198" i="4"/>
  <c r="AE190" i="4"/>
  <c r="AE188" i="4"/>
  <c r="AE191" i="4"/>
  <c r="AE196" i="4"/>
  <c r="AP162" i="63"/>
  <c r="AO162" i="63"/>
  <c r="U83" i="9"/>
  <c r="X50" i="9"/>
  <c r="BC809" i="4"/>
  <c r="AX801" i="4"/>
  <c r="AK808" i="4"/>
  <c r="AQ807" i="4"/>
  <c r="AB29" i="3"/>
  <c r="AE728" i="4" a="1"/>
  <c r="AA29" i="3"/>
  <c r="AP306" i="63"/>
  <c r="AO306" i="63"/>
  <c r="L43" i="62"/>
  <c r="W59" i="9"/>
  <c r="U92" i="9"/>
  <c r="U85" i="9"/>
  <c r="X52" i="9"/>
  <c r="AO234" i="63"/>
  <c r="AP234" i="63"/>
  <c r="AE322" i="4"/>
  <c r="AE313" i="4"/>
  <c r="AE310" i="4"/>
  <c r="AE317" i="4"/>
  <c r="AE323" i="4"/>
  <c r="AE318" i="4"/>
  <c r="AE311" i="4"/>
  <c r="AE326" i="4"/>
  <c r="AE324" i="4"/>
  <c r="AE327" i="4"/>
  <c r="AE308" i="4"/>
  <c r="AE328" i="4"/>
  <c r="AE331" i="4"/>
  <c r="AE312" i="4"/>
  <c r="AE320" i="4"/>
  <c r="AE325" i="4"/>
  <c r="AE316" i="4"/>
  <c r="AE314" i="4"/>
  <c r="AE321" i="4"/>
  <c r="AE330" i="4"/>
  <c r="AE315" i="4"/>
  <c r="AE329" i="4"/>
  <c r="AE319" i="4"/>
  <c r="AE309" i="4"/>
  <c r="AG52" i="62"/>
  <c r="Y60" i="62" s="1"/>
  <c r="D21" i="62" s="1"/>
  <c r="M21" i="62" s="1"/>
  <c r="Y66" i="63"/>
  <c r="Q74" i="63" s="1"/>
  <c r="AB7" i="3"/>
  <c r="AA7" i="3"/>
  <c r="Y52" i="62"/>
  <c r="D13" i="62" s="1"/>
  <c r="M13" i="62" s="1"/>
  <c r="Q66" i="63"/>
  <c r="AE68" i="4" a="1"/>
  <c r="AD52" i="62"/>
  <c r="Y57" i="62" s="1"/>
  <c r="D18" i="62" s="1"/>
  <c r="M18" i="62" s="1"/>
  <c r="V66" i="63"/>
  <c r="Q71" i="63" s="1"/>
  <c r="U66" i="63"/>
  <c r="Q70" i="63" s="1"/>
  <c r="AC52" i="62"/>
  <c r="Y56" i="62" s="1"/>
  <c r="D17" i="62" s="1"/>
  <c r="M17" i="62" s="1"/>
  <c r="AJ52" i="62"/>
  <c r="Y63" i="62" s="1"/>
  <c r="D24" i="62" s="1"/>
  <c r="M24" i="62" s="1"/>
  <c r="AB66" i="63"/>
  <c r="Q77" i="63" s="1"/>
  <c r="R66" i="63"/>
  <c r="Q67" i="63" s="1"/>
  <c r="Z52" i="62"/>
  <c r="Y53" i="62" s="1"/>
  <c r="D14" i="62" s="1"/>
  <c r="M14" i="62" s="1"/>
  <c r="J11" i="51"/>
  <c r="H9" i="53"/>
  <c r="W39" i="2"/>
  <c r="AE624" i="4"/>
  <c r="AE609" i="4"/>
  <c r="AE618" i="4"/>
  <c r="AE625" i="4"/>
  <c r="AE617" i="4"/>
  <c r="AE622" i="4"/>
  <c r="AE611" i="4"/>
  <c r="AE615" i="4"/>
  <c r="AE620" i="4"/>
  <c r="AE628" i="4"/>
  <c r="AE608" i="4"/>
  <c r="AE619" i="4"/>
  <c r="AE610" i="4"/>
  <c r="AE621" i="4"/>
  <c r="AE614" i="4"/>
  <c r="AE627" i="4"/>
  <c r="AE630" i="4"/>
  <c r="AE631" i="4"/>
  <c r="AE613" i="4"/>
  <c r="AE623" i="4"/>
  <c r="AE612" i="4"/>
  <c r="AE629" i="4"/>
  <c r="AE626" i="4"/>
  <c r="AE616" i="4"/>
  <c r="Q347" i="63"/>
  <c r="AO330" i="63"/>
  <c r="AP330" i="63"/>
  <c r="B122" i="56"/>
  <c r="M66" i="56"/>
  <c r="AP42" i="63"/>
  <c r="AO42" i="63"/>
  <c r="AS99" i="9"/>
  <c r="AU66" i="9"/>
  <c r="AK800" i="4"/>
  <c r="BA800" i="4"/>
  <c r="AO799" i="4"/>
  <c r="BC799" i="4"/>
  <c r="AU799" i="4"/>
  <c r="AQ804" i="4"/>
  <c r="AS804" i="4"/>
  <c r="AK804" i="4"/>
  <c r="BC804" i="4"/>
  <c r="AX804" i="4"/>
  <c r="AE698" i="4" a="1"/>
  <c r="AB28" i="3"/>
  <c r="AA28" i="3"/>
  <c r="AE171" i="4"/>
  <c r="AE165" i="4"/>
  <c r="AE167" i="4"/>
  <c r="AE168" i="4"/>
  <c r="AE166" i="4"/>
  <c r="AE170" i="4"/>
  <c r="AE160" i="4"/>
  <c r="AE178" i="4"/>
  <c r="AE172" i="4"/>
  <c r="AE179" i="4"/>
  <c r="AE162" i="4"/>
  <c r="AE164" i="4"/>
  <c r="AE158" i="4"/>
  <c r="AE174" i="4"/>
  <c r="AE176" i="4"/>
  <c r="AE173" i="4"/>
  <c r="AE163" i="4"/>
  <c r="AE169" i="4"/>
  <c r="AE159" i="4"/>
  <c r="AE181" i="4"/>
  <c r="AE177" i="4"/>
  <c r="AE180" i="4"/>
  <c r="AE175" i="4"/>
  <c r="AE161" i="4"/>
  <c r="O7" i="62"/>
  <c r="O43" i="62" s="1"/>
  <c r="F43" i="62"/>
  <c r="AE369" i="4"/>
  <c r="AE390" i="4"/>
  <c r="AE387" i="4"/>
  <c r="AE379" i="4"/>
  <c r="AE386" i="4"/>
  <c r="AE388" i="4"/>
  <c r="AE391" i="4"/>
  <c r="AE370" i="4"/>
  <c r="AE381" i="4"/>
  <c r="AE377" i="4"/>
  <c r="AE382" i="4"/>
  <c r="AE375" i="4"/>
  <c r="AE368" i="4"/>
  <c r="AE373" i="4"/>
  <c r="AE371" i="4"/>
  <c r="AE384" i="4"/>
  <c r="AE374" i="4"/>
  <c r="AE389" i="4"/>
  <c r="AE380" i="4"/>
  <c r="AE378" i="4"/>
  <c r="AE385" i="4"/>
  <c r="AE372" i="4"/>
  <c r="AE383" i="4"/>
  <c r="AE376" i="4"/>
  <c r="W37" i="2"/>
  <c r="AA32" i="3"/>
  <c r="AB32" i="3"/>
  <c r="AE818" i="4" a="1"/>
  <c r="AE685" i="4"/>
  <c r="AE673" i="4"/>
  <c r="AE675" i="4"/>
  <c r="AE682" i="4"/>
  <c r="AE679" i="4"/>
  <c r="AE678" i="4"/>
  <c r="AE671" i="4"/>
  <c r="AE690" i="4"/>
  <c r="AE691" i="4"/>
  <c r="AE672" i="4"/>
  <c r="AE681" i="4"/>
  <c r="AE670" i="4"/>
  <c r="AE686" i="4"/>
  <c r="AE689" i="4"/>
  <c r="AE687" i="4"/>
  <c r="AE676" i="4"/>
  <c r="AE688" i="4"/>
  <c r="AE683" i="4"/>
  <c r="AE674" i="4"/>
  <c r="AE684" i="4"/>
  <c r="AE680" i="4"/>
  <c r="AE677" i="4"/>
  <c r="AE668" i="4"/>
  <c r="AE669" i="4"/>
  <c r="AE595" i="4"/>
  <c r="AE591" i="4"/>
  <c r="AE589" i="4"/>
  <c r="AE597" i="4"/>
  <c r="AE583" i="4"/>
  <c r="AE587" i="4"/>
  <c r="AE596" i="4"/>
  <c r="AE584" i="4"/>
  <c r="AE581" i="4"/>
  <c r="AE600" i="4"/>
  <c r="AE599" i="4"/>
  <c r="AE590" i="4"/>
  <c r="AE588" i="4"/>
  <c r="AE580" i="4"/>
  <c r="AE594" i="4"/>
  <c r="AE585" i="4"/>
  <c r="AE579" i="4"/>
  <c r="AE578" i="4"/>
  <c r="AE593" i="4"/>
  <c r="AE582" i="4"/>
  <c r="AE592" i="4"/>
  <c r="AE601" i="4"/>
  <c r="AE598" i="4"/>
  <c r="AE586" i="4"/>
  <c r="R4" i="62"/>
  <c r="R43" i="62" s="1"/>
  <c r="I43" i="62"/>
  <c r="AE229" i="4"/>
  <c r="AE218" i="4"/>
  <c r="AE233" i="4"/>
  <c r="AE232" i="4"/>
  <c r="AE227" i="4"/>
  <c r="AE224" i="4"/>
  <c r="AE239" i="4"/>
  <c r="AE230" i="4"/>
  <c r="AE225" i="4"/>
  <c r="AE231" i="4"/>
  <c r="AE223" i="4"/>
  <c r="AE228" i="4"/>
  <c r="AE235" i="4"/>
  <c r="AE238" i="4"/>
  <c r="AE226" i="4"/>
  <c r="AE219" i="4"/>
  <c r="AE234" i="4"/>
  <c r="AE222" i="4"/>
  <c r="AE237" i="4"/>
  <c r="AE236" i="4"/>
  <c r="AE220" i="4"/>
  <c r="AE240" i="4"/>
  <c r="AE221" i="4"/>
  <c r="AE241" i="4"/>
  <c r="P4" i="62"/>
  <c r="P43" i="62" s="1"/>
  <c r="G43" i="62"/>
  <c r="AE558" i="4"/>
  <c r="AE567" i="4"/>
  <c r="AE569" i="4"/>
  <c r="AE552" i="4"/>
  <c r="AE571" i="4"/>
  <c r="AE555" i="4"/>
  <c r="AE566" i="4"/>
  <c r="AE565" i="4"/>
  <c r="AE564" i="4"/>
  <c r="AE561" i="4"/>
  <c r="AE557" i="4"/>
  <c r="AE570" i="4"/>
  <c r="AE560" i="4"/>
  <c r="AE549" i="4"/>
  <c r="AE568" i="4"/>
  <c r="AE554" i="4"/>
  <c r="AE562" i="4"/>
  <c r="AE550" i="4"/>
  <c r="AE548" i="4"/>
  <c r="AE563" i="4"/>
  <c r="AE559" i="4"/>
  <c r="AE556" i="4"/>
  <c r="AE551" i="4"/>
  <c r="AE553" i="4"/>
  <c r="AU52" i="62"/>
  <c r="Y74" i="62" s="1"/>
  <c r="D35" i="62" s="1"/>
  <c r="M35" i="62" s="1"/>
  <c r="AM66" i="63"/>
  <c r="Q88" i="63" s="1"/>
  <c r="AA52" i="62"/>
  <c r="Y54" i="62" s="1"/>
  <c r="D15" i="62" s="1"/>
  <c r="M15" i="62" s="1"/>
  <c r="S66" i="63"/>
  <c r="Q68" i="63" s="1"/>
  <c r="AH52" i="62"/>
  <c r="Y61" i="62" s="1"/>
  <c r="D22" i="62" s="1"/>
  <c r="M22" i="62" s="1"/>
  <c r="Z66" i="63"/>
  <c r="Q75" i="63" s="1"/>
  <c r="AO52" i="62"/>
  <c r="Y68" i="62" s="1"/>
  <c r="D29" i="62" s="1"/>
  <c r="M29" i="62" s="1"/>
  <c r="AG66" i="63"/>
  <c r="Q82" i="63" s="1"/>
  <c r="AL52" i="62"/>
  <c r="Y65" i="62" s="1"/>
  <c r="D26" i="62" s="1"/>
  <c r="M26" i="62" s="1"/>
  <c r="AD66" i="63"/>
  <c r="Q79" i="63" s="1"/>
  <c r="AM52" i="62"/>
  <c r="Y66" i="62" s="1"/>
  <c r="D27" i="62" s="1"/>
  <c r="M27" i="62" s="1"/>
  <c r="AE66" i="63"/>
  <c r="Q80" i="63" s="1"/>
  <c r="S37" i="2"/>
  <c r="F33" i="47"/>
  <c r="G12" i="52" s="1"/>
  <c r="G13" i="53" s="1"/>
  <c r="F14" i="47"/>
  <c r="H14" i="47" s="1"/>
  <c r="H16" i="47" s="1"/>
  <c r="H7" i="56"/>
  <c r="B8" i="56"/>
  <c r="AB30" i="3"/>
  <c r="AE758" i="4" a="1"/>
  <c r="AA30" i="3"/>
  <c r="T21" i="62"/>
  <c r="T43" i="62" s="1"/>
  <c r="K43" i="62"/>
  <c r="AE42" i="4"/>
  <c r="AE41" i="4"/>
  <c r="AE57" i="4"/>
  <c r="AE45" i="4"/>
  <c r="AE56" i="4"/>
  <c r="AE59" i="4"/>
  <c r="AE51" i="4"/>
  <c r="AE58" i="4"/>
  <c r="AE48" i="4"/>
  <c r="AE47" i="4"/>
  <c r="AE43" i="4"/>
  <c r="AE54" i="4"/>
  <c r="AE39" i="4"/>
  <c r="AE38" i="4"/>
  <c r="AE40" i="4"/>
  <c r="AE61" i="4"/>
  <c r="AE52" i="4"/>
  <c r="AE53" i="4"/>
  <c r="AE55" i="4"/>
  <c r="AE49" i="4"/>
  <c r="AE46" i="4"/>
  <c r="AE50" i="4"/>
  <c r="AE60" i="4"/>
  <c r="AE44" i="4"/>
  <c r="B9" i="57"/>
  <c r="H8" i="57"/>
  <c r="AS788" i="4"/>
  <c r="AI788" i="4"/>
  <c r="BA788" i="4"/>
  <c r="AM788" i="4"/>
  <c r="AO788" i="4"/>
  <c r="AW788" i="4"/>
  <c r="AM792" i="4"/>
  <c r="AQ792" i="4"/>
  <c r="AX792" i="4"/>
  <c r="AS792" i="4"/>
  <c r="AK811" i="4"/>
  <c r="AO811" i="4"/>
  <c r="AU811" i="4"/>
  <c r="BC811" i="4"/>
  <c r="AW811" i="4"/>
  <c r="AI811" i="4"/>
  <c r="AS789" i="4"/>
  <c r="AO789" i="4"/>
  <c r="AM789" i="4"/>
  <c r="BA789" i="4"/>
  <c r="BA802" i="4"/>
  <c r="AE268" i="4"/>
  <c r="AE252" i="4"/>
  <c r="AE260" i="4"/>
  <c r="AE258" i="4"/>
  <c r="AE266" i="4"/>
  <c r="AE257" i="4"/>
  <c r="AE254" i="4"/>
  <c r="AE267" i="4"/>
  <c r="AE271" i="4"/>
  <c r="AE269" i="4"/>
  <c r="AE255" i="4"/>
  <c r="AE265" i="4"/>
  <c r="AE256" i="4"/>
  <c r="AE263" i="4"/>
  <c r="AE259" i="4"/>
  <c r="AE251" i="4"/>
  <c r="AE264" i="4"/>
  <c r="AE253" i="4"/>
  <c r="AE261" i="4"/>
  <c r="AE262" i="4"/>
  <c r="AE270" i="4"/>
  <c r="AE249" i="4"/>
  <c r="AE248" i="4"/>
  <c r="AE250" i="4"/>
  <c r="S19" i="62"/>
  <c r="S43" i="62" s="1"/>
  <c r="J43" i="62"/>
  <c r="M4" i="62"/>
  <c r="B12" i="60"/>
  <c r="H11" i="60"/>
  <c r="AE22" i="4"/>
  <c r="AE21" i="4"/>
  <c r="AE18" i="4"/>
  <c r="AE10" i="4"/>
  <c r="AE25" i="4"/>
  <c r="AE8" i="4"/>
  <c r="AE11" i="4"/>
  <c r="AE13" i="4"/>
  <c r="AE26" i="4"/>
  <c r="AE23" i="4"/>
  <c r="AE16" i="4"/>
  <c r="AE9" i="4"/>
  <c r="AE31" i="4"/>
  <c r="AE28" i="4"/>
  <c r="AE27" i="4"/>
  <c r="AE15" i="4"/>
  <c r="AE19" i="4"/>
  <c r="AE17" i="4"/>
  <c r="AE30" i="4"/>
  <c r="AE12" i="4"/>
  <c r="AE29" i="4"/>
  <c r="AE20" i="4"/>
  <c r="AE14" i="4"/>
  <c r="AE24" i="4"/>
  <c r="AE658" i="4"/>
  <c r="AE647" i="4"/>
  <c r="AE649" i="4"/>
  <c r="AE641" i="4"/>
  <c r="AE640" i="4"/>
  <c r="AE643" i="4"/>
  <c r="AE650" i="4"/>
  <c r="AE639" i="4"/>
  <c r="AE657" i="4"/>
  <c r="AE646" i="4"/>
  <c r="AE661" i="4"/>
  <c r="AE660" i="4"/>
  <c r="AE638" i="4"/>
  <c r="AE654" i="4"/>
  <c r="AE644" i="4"/>
  <c r="AE656" i="4"/>
  <c r="AE651" i="4"/>
  <c r="AE655" i="4"/>
  <c r="AE648" i="4"/>
  <c r="AE653" i="4"/>
  <c r="AE642" i="4"/>
  <c r="AE645" i="4"/>
  <c r="AE652" i="4"/>
  <c r="AE659" i="4"/>
  <c r="AE522" i="4"/>
  <c r="AE540" i="4"/>
  <c r="AE539" i="4"/>
  <c r="AE537" i="4"/>
  <c r="AE520" i="4"/>
  <c r="AE536" i="4"/>
  <c r="AE523" i="4"/>
  <c r="AE527" i="4"/>
  <c r="AE528" i="4"/>
  <c r="AE531" i="4"/>
  <c r="AE519" i="4"/>
  <c r="AE526" i="4"/>
  <c r="AE524" i="4"/>
  <c r="AE534" i="4"/>
  <c r="AE518" i="4"/>
  <c r="AE530" i="4"/>
  <c r="AE535" i="4"/>
  <c r="AE541" i="4"/>
  <c r="AE533" i="4"/>
  <c r="AE525" i="4"/>
  <c r="AE532" i="4"/>
  <c r="AE529" i="4"/>
  <c r="AE538" i="4"/>
  <c r="AE521" i="4"/>
  <c r="AO258" i="63"/>
  <c r="AP258" i="63"/>
  <c r="Q259" i="63"/>
  <c r="AO186" i="63"/>
  <c r="AT52" i="62"/>
  <c r="Y73" i="62" s="1"/>
  <c r="D34" i="62" s="1"/>
  <c r="M34" i="62" s="1"/>
  <c r="AL66" i="63"/>
  <c r="Q87" i="63" s="1"/>
  <c r="AI52" i="62"/>
  <c r="Y62" i="62" s="1"/>
  <c r="D23" i="62" s="1"/>
  <c r="M23" i="62" s="1"/>
  <c r="AA66" i="63"/>
  <c r="Q76" i="63" s="1"/>
  <c r="AR52" i="62"/>
  <c r="Y71" i="62" s="1"/>
  <c r="D32" i="62" s="1"/>
  <c r="M32" i="62" s="1"/>
  <c r="AJ66" i="63"/>
  <c r="Q85" i="63" s="1"/>
  <c r="AQ52" i="62"/>
  <c r="Y70" i="62" s="1"/>
  <c r="D31" i="62" s="1"/>
  <c r="M31" i="62" s="1"/>
  <c r="AI66" i="63"/>
  <c r="Q84" i="63" s="1"/>
  <c r="W66" i="63"/>
  <c r="Q72" i="63" s="1"/>
  <c r="AE52" i="62"/>
  <c r="Y58" i="62" s="1"/>
  <c r="D19" i="62" s="1"/>
  <c r="M19" i="62" s="1"/>
  <c r="AN66" i="63"/>
  <c r="Q89" i="63" s="1"/>
  <c r="AV52" i="62"/>
  <c r="Y75" i="62" s="1"/>
  <c r="D36" i="62" s="1"/>
  <c r="M36" i="62" s="1"/>
  <c r="AS85" i="9"/>
  <c r="AV52" i="9"/>
  <c r="AE401" i="4"/>
  <c r="AE409" i="4"/>
  <c r="AE402" i="4"/>
  <c r="AE414" i="4"/>
  <c r="AE419" i="4"/>
  <c r="AE407" i="4"/>
  <c r="AE403" i="4"/>
  <c r="AE421" i="4"/>
  <c r="AE408" i="4"/>
  <c r="AE418" i="4"/>
  <c r="AE411" i="4"/>
  <c r="AE415" i="4"/>
  <c r="AE404" i="4"/>
  <c r="AE416" i="4"/>
  <c r="AE410" i="4"/>
  <c r="AE413" i="4"/>
  <c r="AE406" i="4"/>
  <c r="AE420" i="4"/>
  <c r="AE400" i="4"/>
  <c r="AE412" i="4"/>
  <c r="AE405" i="4"/>
  <c r="AE399" i="4"/>
  <c r="AE398" i="4"/>
  <c r="AE417" i="4"/>
  <c r="AS803" i="4"/>
  <c r="AK803" i="4"/>
  <c r="BC803" i="4"/>
  <c r="AU798" i="4"/>
  <c r="AX795" i="4"/>
  <c r="AQ795" i="4"/>
  <c r="BA795" i="4"/>
  <c r="AM795" i="4"/>
  <c r="AW793" i="4"/>
  <c r="AU796" i="4"/>
  <c r="AM790" i="4" l="1"/>
  <c r="BC798" i="4"/>
  <c r="AQ806" i="4"/>
  <c r="AM497" i="4"/>
  <c r="AY497" i="4"/>
  <c r="AG497" i="4"/>
  <c r="AU497" i="4"/>
  <c r="BC497" i="4"/>
  <c r="AM798" i="4"/>
  <c r="AW806" i="4"/>
  <c r="AO489" i="4"/>
  <c r="AG798" i="4"/>
  <c r="AJ85" i="9"/>
  <c r="AI85" i="9"/>
  <c r="AM796" i="4"/>
  <c r="AQ496" i="4"/>
  <c r="AY796" i="4"/>
  <c r="AI793" i="4"/>
  <c r="AK802" i="4"/>
  <c r="AM793" i="4"/>
  <c r="AO802" i="4"/>
  <c r="AQ805" i="4"/>
  <c r="AG500" i="4"/>
  <c r="AO500" i="4"/>
  <c r="AS500" i="4"/>
  <c r="AW500" i="4"/>
  <c r="BA500" i="4"/>
  <c r="AS793" i="4"/>
  <c r="AG495" i="4"/>
  <c r="BA496" i="4"/>
  <c r="AM496" i="4"/>
  <c r="AS489" i="4"/>
  <c r="AX489" i="4"/>
  <c r="AQ793" i="4"/>
  <c r="BA495" i="4"/>
  <c r="AI489" i="4"/>
  <c r="AM489" i="4"/>
  <c r="AS790" i="4"/>
  <c r="AM797" i="4"/>
  <c r="BA807" i="4"/>
  <c r="AS801" i="4"/>
  <c r="AS812" i="4" s="1"/>
  <c r="AM491" i="4"/>
  <c r="AM512" i="4" s="1"/>
  <c r="AI491" i="4"/>
  <c r="AX504" i="4"/>
  <c r="BA494" i="4"/>
  <c r="AI507" i="4"/>
  <c r="AK807" i="4"/>
  <c r="BA808" i="4"/>
  <c r="AK801" i="4"/>
  <c r="AO510" i="4"/>
  <c r="AI506" i="4"/>
  <c r="AX798" i="4"/>
  <c r="AU808" i="4"/>
  <c r="BA801" i="4"/>
  <c r="AS504" i="4"/>
  <c r="AM494" i="4"/>
  <c r="AG494" i="4"/>
  <c r="AG512" i="4" s="1"/>
  <c r="AX510" i="4"/>
  <c r="AI490" i="4"/>
  <c r="AO801" i="4"/>
  <c r="AS502" i="4"/>
  <c r="AO502" i="4"/>
  <c r="AQ506" i="4"/>
  <c r="BA506" i="4"/>
  <c r="AU506" i="4"/>
  <c r="AU496" i="4"/>
  <c r="AY496" i="4"/>
  <c r="AM490" i="4"/>
  <c r="AO490" i="4"/>
  <c r="BA490" i="4"/>
  <c r="AY490" i="4"/>
  <c r="BA507" i="4"/>
  <c r="AK507" i="4"/>
  <c r="AS501" i="4"/>
  <c r="AX501" i="4"/>
  <c r="AG501" i="4"/>
  <c r="AK501" i="4"/>
  <c r="BA501" i="4"/>
  <c r="BC498" i="4"/>
  <c r="AG498" i="4"/>
  <c r="AU498" i="4"/>
  <c r="BA790" i="4"/>
  <c r="AY797" i="4"/>
  <c r="AK805" i="4"/>
  <c r="BA794" i="4"/>
  <c r="G38" i="3"/>
  <c r="AG502" i="4"/>
  <c r="BA502" i="4"/>
  <c r="AY502" i="4"/>
  <c r="AK510" i="4"/>
  <c r="AI510" i="4"/>
  <c r="AS488" i="4"/>
  <c r="AO488" i="4"/>
  <c r="AI488" i="4"/>
  <c r="AW488" i="4"/>
  <c r="AM488" i="4"/>
  <c r="BA488" i="4"/>
  <c r="BC491" i="4"/>
  <c r="AY491" i="4"/>
  <c r="AS491" i="4"/>
  <c r="AU807" i="4"/>
  <c r="AI807" i="4"/>
  <c r="AK508" i="4"/>
  <c r="BA508" i="4"/>
  <c r="AY508" i="4"/>
  <c r="AU508" i="4"/>
  <c r="AI809" i="4"/>
  <c r="AY809" i="4"/>
  <c r="BC492" i="4"/>
  <c r="AI492" i="4"/>
  <c r="AX492" i="4"/>
  <c r="AQ492" i="4"/>
  <c r="AS492" i="4"/>
  <c r="AO509" i="4"/>
  <c r="AI509" i="4"/>
  <c r="AU509" i="4"/>
  <c r="BC509" i="4"/>
  <c r="AQ791" i="4"/>
  <c r="AG805" i="4"/>
  <c r="AU809" i="4"/>
  <c r="AK509" i="4"/>
  <c r="AQ508" i="4"/>
  <c r="AE512" i="4"/>
  <c r="AX495" i="4"/>
  <c r="AU495" i="4"/>
  <c r="AQ495" i="4"/>
  <c r="AI790" i="4"/>
  <c r="AY790" i="4"/>
  <c r="AS493" i="4"/>
  <c r="AI493" i="4"/>
  <c r="AW493" i="4"/>
  <c r="AM493" i="4"/>
  <c r="BC493" i="4"/>
  <c r="AQ493" i="4"/>
  <c r="AG802" i="4"/>
  <c r="AY802" i="4"/>
  <c r="AU806" i="4"/>
  <c r="BA806" i="4"/>
  <c r="AI806" i="4"/>
  <c r="AS791" i="4"/>
  <c r="AW805" i="4"/>
  <c r="BC805" i="4"/>
  <c r="AK809" i="4"/>
  <c r="AW494" i="4"/>
  <c r="AQ494" i="4"/>
  <c r="AI808" i="4"/>
  <c r="AY808" i="4"/>
  <c r="AQ504" i="4"/>
  <c r="BC504" i="4"/>
  <c r="AK504" i="4"/>
  <c r="AG799" i="4"/>
  <c r="AM799" i="4"/>
  <c r="AW800" i="4"/>
  <c r="AW812" i="4" s="1"/>
  <c r="BC791" i="4"/>
  <c r="AX810" i="4"/>
  <c r="AQ794" i="4"/>
  <c r="B47" i="7"/>
  <c r="B9" i="7"/>
  <c r="AY791" i="4"/>
  <c r="AE812" i="4"/>
  <c r="AU810" i="4"/>
  <c r="AW794" i="4"/>
  <c r="B11" i="3"/>
  <c r="X124" i="62"/>
  <c r="B138" i="63"/>
  <c r="B10" i="6"/>
  <c r="AD154" i="4"/>
  <c r="AC182" i="4" s="1"/>
  <c r="AM791" i="4"/>
  <c r="AK810" i="4"/>
  <c r="AW452" i="4"/>
  <c r="AO452" i="4"/>
  <c r="AG452" i="4"/>
  <c r="X37" i="2"/>
  <c r="BA452" i="4"/>
  <c r="BA472" i="4"/>
  <c r="AK472" i="4"/>
  <c r="AY472" i="4"/>
  <c r="AG472" i="4"/>
  <c r="AS472" i="4"/>
  <c r="AO472" i="4"/>
  <c r="BA478" i="4"/>
  <c r="AU478" i="4"/>
  <c r="AI478" i="4"/>
  <c r="AY478" i="4"/>
  <c r="AQ478" i="4"/>
  <c r="AK478" i="4"/>
  <c r="AS475" i="4"/>
  <c r="AQ475" i="4"/>
  <c r="AK475" i="4"/>
  <c r="AG475" i="4"/>
  <c r="BC475" i="4"/>
  <c r="AW475" i="4"/>
  <c r="AM462" i="4"/>
  <c r="AS462" i="4"/>
  <c r="AQ462" i="4"/>
  <c r="BC462" i="4"/>
  <c r="AI462" i="4"/>
  <c r="AX462" i="4"/>
  <c r="AO459" i="4"/>
  <c r="AX459" i="4"/>
  <c r="AI459" i="4"/>
  <c r="BA459" i="4"/>
  <c r="AS459" i="4"/>
  <c r="AM459" i="4"/>
  <c r="AO469" i="4"/>
  <c r="AG469" i="4"/>
  <c r="AM469" i="4"/>
  <c r="AU469" i="4"/>
  <c r="BC469" i="4"/>
  <c r="AW469" i="4"/>
  <c r="BC461" i="4"/>
  <c r="AQ461" i="4"/>
  <c r="AY461" i="4"/>
  <c r="AM461" i="4"/>
  <c r="AS461" i="4"/>
  <c r="AI461" i="4"/>
  <c r="AM460" i="4"/>
  <c r="AO460" i="4"/>
  <c r="BA460" i="4"/>
  <c r="AS460" i="4"/>
  <c r="AY460" i="4"/>
  <c r="AI460" i="4"/>
  <c r="AU467" i="4"/>
  <c r="AM467" i="4"/>
  <c r="BC467" i="4"/>
  <c r="AY467" i="4"/>
  <c r="AO467" i="4"/>
  <c r="AG467" i="4"/>
  <c r="AQ466" i="4"/>
  <c r="BA466" i="4"/>
  <c r="AY466" i="4"/>
  <c r="AG466" i="4"/>
  <c r="AM466" i="4"/>
  <c r="AU466" i="4"/>
  <c r="AK477" i="4"/>
  <c r="AQ477" i="4"/>
  <c r="AX477" i="4"/>
  <c r="AI477" i="4"/>
  <c r="BA477" i="4"/>
  <c r="AU477" i="4"/>
  <c r="AS470" i="4"/>
  <c r="AG470" i="4"/>
  <c r="AO470" i="4"/>
  <c r="AK470" i="4"/>
  <c r="AW470" i="4"/>
  <c r="BA470" i="4"/>
  <c r="AY452" i="4"/>
  <c r="AM452" i="4"/>
  <c r="BC452" i="4"/>
  <c r="AQ452" i="4"/>
  <c r="AS452" i="4"/>
  <c r="AQ476" i="4"/>
  <c r="AW476" i="4"/>
  <c r="AU476" i="4"/>
  <c r="AK476" i="4"/>
  <c r="BA476" i="4"/>
  <c r="AI476" i="4"/>
  <c r="AM465" i="4"/>
  <c r="AX465" i="4"/>
  <c r="AU465" i="4"/>
  <c r="AQ465" i="4"/>
  <c r="AG465" i="4"/>
  <c r="BA465" i="4"/>
  <c r="AS458" i="4"/>
  <c r="AW458" i="4"/>
  <c r="BA458" i="4"/>
  <c r="AI458" i="4"/>
  <c r="AM458" i="4"/>
  <c r="AO458" i="4"/>
  <c r="AE482" i="4"/>
  <c r="AO480" i="4"/>
  <c r="AX480" i="4"/>
  <c r="AI480" i="4"/>
  <c r="AU480" i="4"/>
  <c r="AK480" i="4"/>
  <c r="BC480" i="4"/>
  <c r="AK481" i="4"/>
  <c r="AI481" i="4"/>
  <c r="AO481" i="4"/>
  <c r="BC481" i="4"/>
  <c r="AW481" i="4"/>
  <c r="AU481" i="4"/>
  <c r="BA471" i="4"/>
  <c r="AS471" i="4"/>
  <c r="AX471" i="4"/>
  <c r="AG471" i="4"/>
  <c r="AO471" i="4"/>
  <c r="AK471" i="4"/>
  <c r="AQ474" i="4"/>
  <c r="AX474" i="4"/>
  <c r="BC474" i="4"/>
  <c r="AS474" i="4"/>
  <c r="AG474" i="4"/>
  <c r="AK474" i="4"/>
  <c r="AQ463" i="4"/>
  <c r="AS463" i="4"/>
  <c r="AW463" i="4"/>
  <c r="AI463" i="4"/>
  <c r="BC463" i="4"/>
  <c r="AM463" i="4"/>
  <c r="AU464" i="4"/>
  <c r="BA464" i="4"/>
  <c r="AQ464" i="4"/>
  <c r="AG464" i="4"/>
  <c r="AW464" i="4"/>
  <c r="AM464" i="4"/>
  <c r="AU479" i="4"/>
  <c r="AY479" i="4"/>
  <c r="AI479" i="4"/>
  <c r="BC479" i="4"/>
  <c r="AO479" i="4"/>
  <c r="AK479" i="4"/>
  <c r="AG473" i="4"/>
  <c r="BC473" i="4"/>
  <c r="AK473" i="4"/>
  <c r="AS473" i="4"/>
  <c r="AY473" i="4"/>
  <c r="AQ473" i="4"/>
  <c r="AM468" i="4"/>
  <c r="AU468" i="4"/>
  <c r="BC468" i="4"/>
  <c r="AG468" i="4"/>
  <c r="AX468" i="4"/>
  <c r="AO468" i="4"/>
  <c r="AI452" i="4"/>
  <c r="AK452" i="4"/>
  <c r="AU452" i="4"/>
  <c r="BC810" i="4"/>
  <c r="AO810" i="4"/>
  <c r="AO797" i="4"/>
  <c r="AG797" i="4"/>
  <c r="AG794" i="4"/>
  <c r="AK360" i="4"/>
  <c r="AI360" i="4"/>
  <c r="AO360" i="4"/>
  <c r="AX360" i="4"/>
  <c r="AU360" i="4"/>
  <c r="BC360" i="4"/>
  <c r="AK359" i="4"/>
  <c r="AU359" i="4"/>
  <c r="AY359" i="4"/>
  <c r="BC359" i="4"/>
  <c r="AO359" i="4"/>
  <c r="AI359" i="4"/>
  <c r="AS340" i="4"/>
  <c r="AO340" i="4"/>
  <c r="AY340" i="4"/>
  <c r="AM340" i="4"/>
  <c r="BA340" i="4"/>
  <c r="AI340" i="4"/>
  <c r="AK358" i="4"/>
  <c r="AQ358" i="4"/>
  <c r="AY358" i="4"/>
  <c r="AU358" i="4"/>
  <c r="BA358" i="4"/>
  <c r="AI358" i="4"/>
  <c r="AQ345" i="4"/>
  <c r="AU345" i="4"/>
  <c r="BA345" i="4"/>
  <c r="AM345" i="4"/>
  <c r="AX345" i="4"/>
  <c r="AG345" i="4"/>
  <c r="AY353" i="4"/>
  <c r="AK353" i="4"/>
  <c r="AG353" i="4"/>
  <c r="AS353" i="4"/>
  <c r="BC353" i="4"/>
  <c r="AQ353" i="4"/>
  <c r="AS140" i="4"/>
  <c r="AO140" i="4"/>
  <c r="AW140" i="4"/>
  <c r="AG140" i="4"/>
  <c r="AK140" i="4"/>
  <c r="BA140" i="4"/>
  <c r="AS132" i="4"/>
  <c r="AX132" i="4"/>
  <c r="AM132" i="4"/>
  <c r="AQ132" i="4"/>
  <c r="BC132" i="4"/>
  <c r="AI132" i="4"/>
  <c r="AM136" i="4"/>
  <c r="AU136" i="4"/>
  <c r="AQ136" i="4"/>
  <c r="AY136" i="4"/>
  <c r="AG136" i="4"/>
  <c r="BA136" i="4"/>
  <c r="AO128" i="4"/>
  <c r="AW128" i="4"/>
  <c r="AI128" i="4"/>
  <c r="AS128" i="4"/>
  <c r="AM128" i="4"/>
  <c r="AE152" i="4"/>
  <c r="C9" i="6" s="1"/>
  <c r="C9" i="7" s="1"/>
  <c r="C47" i="7" s="1"/>
  <c r="BA128" i="4"/>
  <c r="BC133" i="4"/>
  <c r="AS133" i="4"/>
  <c r="AW133" i="4"/>
  <c r="AI133" i="4"/>
  <c r="AQ133" i="4"/>
  <c r="AM133" i="4"/>
  <c r="AY148" i="4"/>
  <c r="AK148" i="4"/>
  <c r="AQ148" i="4"/>
  <c r="AI148" i="4"/>
  <c r="BA148" i="4"/>
  <c r="AU148" i="4"/>
  <c r="AW115" i="4"/>
  <c r="AQ115" i="4"/>
  <c r="BC115" i="4"/>
  <c r="AS115" i="4"/>
  <c r="AG115" i="4"/>
  <c r="AK115" i="4"/>
  <c r="AU116" i="4"/>
  <c r="AQ116" i="4"/>
  <c r="AW116" i="4"/>
  <c r="BA116" i="4"/>
  <c r="AK116" i="4"/>
  <c r="AI116" i="4"/>
  <c r="AU117" i="4"/>
  <c r="BA117" i="4"/>
  <c r="AX117" i="4"/>
  <c r="AK117" i="4"/>
  <c r="AQ117" i="4"/>
  <c r="AI117" i="4"/>
  <c r="AO99" i="4"/>
  <c r="BA99" i="4"/>
  <c r="AS99" i="4"/>
  <c r="AM99" i="4"/>
  <c r="AI99" i="4"/>
  <c r="AX99" i="4"/>
  <c r="BC103" i="4"/>
  <c r="AS103" i="4"/>
  <c r="AQ103" i="4"/>
  <c r="AW103" i="4"/>
  <c r="AI103" i="4"/>
  <c r="AM103" i="4"/>
  <c r="AU105" i="4"/>
  <c r="BA105" i="4"/>
  <c r="AQ105" i="4"/>
  <c r="AX105" i="4"/>
  <c r="AG105" i="4"/>
  <c r="AM105" i="4"/>
  <c r="AG800" i="4"/>
  <c r="AS800" i="4"/>
  <c r="BA796" i="4"/>
  <c r="AG796" i="4"/>
  <c r="AQ341" i="4"/>
  <c r="BC341" i="4"/>
  <c r="AY341" i="4"/>
  <c r="AS341" i="4"/>
  <c r="AM341" i="4"/>
  <c r="AI341" i="4"/>
  <c r="AQ355" i="4"/>
  <c r="BC355" i="4"/>
  <c r="AW355" i="4"/>
  <c r="AS355" i="4"/>
  <c r="AK355" i="4"/>
  <c r="AG355" i="4"/>
  <c r="BA344" i="4"/>
  <c r="AM344" i="4"/>
  <c r="AQ344" i="4"/>
  <c r="AW344" i="4"/>
  <c r="AU344" i="4"/>
  <c r="AG344" i="4"/>
  <c r="AU348" i="4"/>
  <c r="AX348" i="4"/>
  <c r="BC348" i="4"/>
  <c r="AM348" i="4"/>
  <c r="AG348" i="4"/>
  <c r="AO348" i="4"/>
  <c r="AG351" i="4"/>
  <c r="AX351" i="4"/>
  <c r="AK351" i="4"/>
  <c r="AS351" i="4"/>
  <c r="BA351" i="4"/>
  <c r="AO351" i="4"/>
  <c r="AU347" i="4"/>
  <c r="BC347" i="4"/>
  <c r="AM347" i="4"/>
  <c r="AO347" i="4"/>
  <c r="AG347" i="4"/>
  <c r="AY347" i="4"/>
  <c r="AY142" i="4"/>
  <c r="AO142" i="4"/>
  <c r="AK142" i="4"/>
  <c r="BA142" i="4"/>
  <c r="AG142" i="4"/>
  <c r="AS142" i="4"/>
  <c r="AU135" i="4"/>
  <c r="AQ135" i="4"/>
  <c r="AX135" i="4"/>
  <c r="AG135" i="4"/>
  <c r="AM135" i="4"/>
  <c r="BA135" i="4"/>
  <c r="AQ145" i="4"/>
  <c r="AS145" i="4"/>
  <c r="AW145" i="4"/>
  <c r="AG145" i="4"/>
  <c r="BC145" i="4"/>
  <c r="AK145" i="4"/>
  <c r="AO129" i="4"/>
  <c r="AS129" i="4"/>
  <c r="BA129" i="4"/>
  <c r="AM129" i="4"/>
  <c r="AX129" i="4"/>
  <c r="AI129" i="4"/>
  <c r="AW139" i="4"/>
  <c r="AO139" i="4"/>
  <c r="AU139" i="4"/>
  <c r="BC139" i="4"/>
  <c r="AM139" i="4"/>
  <c r="AG139" i="4"/>
  <c r="AY149" i="4"/>
  <c r="AU149" i="4"/>
  <c r="BC149" i="4"/>
  <c r="AO149" i="4"/>
  <c r="AI149" i="4"/>
  <c r="AK149" i="4"/>
  <c r="AX102" i="4"/>
  <c r="AQ102" i="4"/>
  <c r="AS102" i="4"/>
  <c r="AI102" i="4"/>
  <c r="BC102" i="4"/>
  <c r="AM102" i="4"/>
  <c r="AX114" i="4"/>
  <c r="BC114" i="4"/>
  <c r="AS114" i="4"/>
  <c r="AQ114" i="4"/>
  <c r="AK114" i="4"/>
  <c r="AG114" i="4"/>
  <c r="AX108" i="4"/>
  <c r="AU108" i="4"/>
  <c r="AO108" i="4"/>
  <c r="AG108" i="4"/>
  <c r="BC108" i="4"/>
  <c r="AM108" i="4"/>
  <c r="AQ118" i="4"/>
  <c r="AU118" i="4"/>
  <c r="BA118" i="4"/>
  <c r="AY118" i="4"/>
  <c r="AK118" i="4"/>
  <c r="AI118" i="4"/>
  <c r="BC121" i="4"/>
  <c r="AW121" i="4"/>
  <c r="AO121" i="4"/>
  <c r="AU121" i="4"/>
  <c r="AI121" i="4"/>
  <c r="AK121" i="4"/>
  <c r="AW104" i="4"/>
  <c r="AU104" i="4"/>
  <c r="AQ104" i="4"/>
  <c r="AG104" i="4"/>
  <c r="BA104" i="4"/>
  <c r="AM104" i="4"/>
  <c r="AG803" i="4"/>
  <c r="AQ803" i="4"/>
  <c r="AY803" i="4"/>
  <c r="AU797" i="4"/>
  <c r="AM794" i="4"/>
  <c r="AI357" i="4"/>
  <c r="AQ357" i="4"/>
  <c r="AX357" i="4"/>
  <c r="AU357" i="4"/>
  <c r="BA357" i="4"/>
  <c r="AK357" i="4"/>
  <c r="BA339" i="4"/>
  <c r="AS339" i="4"/>
  <c r="AM339" i="4"/>
  <c r="AO339" i="4"/>
  <c r="AI339" i="4"/>
  <c r="AX339" i="4"/>
  <c r="AI356" i="4"/>
  <c r="AW356" i="4"/>
  <c r="AK356" i="4"/>
  <c r="AU356" i="4"/>
  <c r="BA356" i="4"/>
  <c r="AQ356" i="4"/>
  <c r="BA352" i="4"/>
  <c r="AS352" i="4"/>
  <c r="AO352" i="4"/>
  <c r="AY352" i="4"/>
  <c r="AK352" i="4"/>
  <c r="AG352" i="4"/>
  <c r="AM338" i="4"/>
  <c r="AW338" i="4"/>
  <c r="AI338" i="4"/>
  <c r="BA338" i="4"/>
  <c r="AS338" i="4"/>
  <c r="AO338" i="4"/>
  <c r="AE362" i="4"/>
  <c r="BA346" i="4"/>
  <c r="AY346" i="4"/>
  <c r="AM346" i="4"/>
  <c r="AU346" i="4"/>
  <c r="AG346" i="4"/>
  <c r="AQ346" i="4"/>
  <c r="AO138" i="4"/>
  <c r="AX138" i="4"/>
  <c r="BC138" i="4"/>
  <c r="AM138" i="4"/>
  <c r="AG138" i="4"/>
  <c r="AU138" i="4"/>
  <c r="BC150" i="4"/>
  <c r="AU150" i="4"/>
  <c r="AK150" i="4"/>
  <c r="AX150" i="4"/>
  <c r="AO150" i="4"/>
  <c r="AI150" i="4"/>
  <c r="AX147" i="4"/>
  <c r="AQ147" i="4"/>
  <c r="AU147" i="4"/>
  <c r="AI147" i="4"/>
  <c r="AK147" i="4"/>
  <c r="BA147" i="4"/>
  <c r="BC143" i="4"/>
  <c r="AQ143" i="4"/>
  <c r="AG143" i="4"/>
  <c r="AY143" i="4"/>
  <c r="AS143" i="4"/>
  <c r="AK143" i="4"/>
  <c r="AK144" i="4"/>
  <c r="AX144" i="4"/>
  <c r="AQ144" i="4"/>
  <c r="BC144" i="4"/>
  <c r="AG144" i="4"/>
  <c r="AS144" i="4"/>
  <c r="AI151" i="4"/>
  <c r="AU151" i="4"/>
  <c r="AO151" i="4"/>
  <c r="AW151" i="4"/>
  <c r="AK151" i="4"/>
  <c r="BC151" i="4"/>
  <c r="BC120" i="4"/>
  <c r="AU120" i="4"/>
  <c r="AO120" i="4"/>
  <c r="AX120" i="4"/>
  <c r="AK120" i="4"/>
  <c r="AI120" i="4"/>
  <c r="AS111" i="4"/>
  <c r="AX111" i="4"/>
  <c r="AO111" i="4"/>
  <c r="BA111" i="4"/>
  <c r="AG111" i="4"/>
  <c r="AK111" i="4"/>
  <c r="AS113" i="4"/>
  <c r="AY113" i="4"/>
  <c r="BC113" i="4"/>
  <c r="AQ113" i="4"/>
  <c r="AG113" i="4"/>
  <c r="AK113" i="4"/>
  <c r="AY112" i="4"/>
  <c r="AO112" i="4"/>
  <c r="AS112" i="4"/>
  <c r="BA112" i="4"/>
  <c r="AK112" i="4"/>
  <c r="AG112" i="4"/>
  <c r="BA98" i="4"/>
  <c r="AW98" i="4"/>
  <c r="AS98" i="4"/>
  <c r="AO98" i="4"/>
  <c r="AE122" i="4"/>
  <c r="C8" i="6" s="1"/>
  <c r="C8" i="7" s="1"/>
  <c r="C46" i="7" s="1"/>
  <c r="AI98" i="4"/>
  <c r="AM98" i="4"/>
  <c r="AQ101" i="4"/>
  <c r="AS101" i="4"/>
  <c r="AY101" i="4"/>
  <c r="AI101" i="4"/>
  <c r="AM101" i="4"/>
  <c r="BC101" i="4"/>
  <c r="AS342" i="4"/>
  <c r="AI342" i="4"/>
  <c r="BC342" i="4"/>
  <c r="AM342" i="4"/>
  <c r="AQ342" i="4"/>
  <c r="AX342" i="4"/>
  <c r="AO350" i="4"/>
  <c r="AS350" i="4"/>
  <c r="AG350" i="4"/>
  <c r="AK350" i="4"/>
  <c r="BA350" i="4"/>
  <c r="AW350" i="4"/>
  <c r="AK354" i="4"/>
  <c r="AS354" i="4"/>
  <c r="AQ354" i="4"/>
  <c r="BC354" i="4"/>
  <c r="AX354" i="4"/>
  <c r="AG354" i="4"/>
  <c r="AU361" i="4"/>
  <c r="AI361" i="4"/>
  <c r="BC361" i="4"/>
  <c r="AO361" i="4"/>
  <c r="AW361" i="4"/>
  <c r="AK361" i="4"/>
  <c r="AW343" i="4"/>
  <c r="BC343" i="4"/>
  <c r="AQ343" i="4"/>
  <c r="AS343" i="4"/>
  <c r="AM343" i="4"/>
  <c r="AI343" i="4"/>
  <c r="BC349" i="4"/>
  <c r="AO349" i="4"/>
  <c r="AM349" i="4"/>
  <c r="AW349" i="4"/>
  <c r="AU349" i="4"/>
  <c r="AG349" i="4"/>
  <c r="AU137" i="4"/>
  <c r="BC137" i="4"/>
  <c r="AY137" i="4"/>
  <c r="AG137" i="4"/>
  <c r="AO137" i="4"/>
  <c r="AM137" i="4"/>
  <c r="AO130" i="4"/>
  <c r="BA130" i="4"/>
  <c r="AY130" i="4"/>
  <c r="AI130" i="4"/>
  <c r="AS130" i="4"/>
  <c r="AM130" i="4"/>
  <c r="AQ146" i="4"/>
  <c r="AK146" i="4"/>
  <c r="BA146" i="4"/>
  <c r="AW146" i="4"/>
  <c r="AI146" i="4"/>
  <c r="AU146" i="4"/>
  <c r="AU134" i="4"/>
  <c r="BA134" i="4"/>
  <c r="AG134" i="4"/>
  <c r="AQ134" i="4"/>
  <c r="AW134" i="4"/>
  <c r="AM134" i="4"/>
  <c r="AO141" i="4"/>
  <c r="BA141" i="4"/>
  <c r="AX141" i="4"/>
  <c r="AS141" i="4"/>
  <c r="AG141" i="4"/>
  <c r="AK141" i="4"/>
  <c r="AS131" i="4"/>
  <c r="AQ131" i="4"/>
  <c r="AY131" i="4"/>
  <c r="BC131" i="4"/>
  <c r="AM131" i="4"/>
  <c r="AI131" i="4"/>
  <c r="BC119" i="4"/>
  <c r="AY119" i="4"/>
  <c r="AI119" i="4"/>
  <c r="AU119" i="4"/>
  <c r="AO119" i="4"/>
  <c r="AK119" i="4"/>
  <c r="AO109" i="4"/>
  <c r="AW109" i="4"/>
  <c r="AU109" i="4"/>
  <c r="BC109" i="4"/>
  <c r="AG109" i="4"/>
  <c r="AM109" i="4"/>
  <c r="AY100" i="4"/>
  <c r="AS100" i="4"/>
  <c r="BA100" i="4"/>
  <c r="AO100" i="4"/>
  <c r="AM100" i="4"/>
  <c r="AI100" i="4"/>
  <c r="AQ106" i="4"/>
  <c r="AU106" i="4"/>
  <c r="AY106" i="4"/>
  <c r="AG106" i="4"/>
  <c r="BA106" i="4"/>
  <c r="AM106" i="4"/>
  <c r="AO110" i="4"/>
  <c r="BA110" i="4"/>
  <c r="AW110" i="4"/>
  <c r="AS110" i="4"/>
  <c r="AG110" i="4"/>
  <c r="AK110" i="4"/>
  <c r="BC107" i="4"/>
  <c r="AY107" i="4"/>
  <c r="AO107" i="4"/>
  <c r="AU107" i="4"/>
  <c r="AM107" i="4"/>
  <c r="AG107" i="4"/>
  <c r="AG795" i="4"/>
  <c r="AU795" i="4"/>
  <c r="AG405" i="4"/>
  <c r="BA405" i="4"/>
  <c r="AX405" i="4"/>
  <c r="AQ405" i="4"/>
  <c r="AM405" i="4"/>
  <c r="AU405" i="4"/>
  <c r="AM406" i="4"/>
  <c r="AQ406" i="4"/>
  <c r="AY406" i="4"/>
  <c r="AG406" i="4"/>
  <c r="BA406" i="4"/>
  <c r="AU406" i="4"/>
  <c r="AW404" i="4"/>
  <c r="AM404" i="4"/>
  <c r="AG404" i="4"/>
  <c r="AQ404" i="4"/>
  <c r="BA404" i="4"/>
  <c r="AU404" i="4"/>
  <c r="AX408" i="4"/>
  <c r="AM408" i="4"/>
  <c r="AG408" i="4"/>
  <c r="AO408" i="4"/>
  <c r="AU408" i="4"/>
  <c r="BC408" i="4"/>
  <c r="AO419" i="4"/>
  <c r="AK419" i="4"/>
  <c r="AU419" i="4"/>
  <c r="AY419" i="4"/>
  <c r="AI419" i="4"/>
  <c r="BC419" i="4"/>
  <c r="AY401" i="4"/>
  <c r="AM401" i="4"/>
  <c r="AI401" i="4"/>
  <c r="AQ401" i="4"/>
  <c r="AS401" i="4"/>
  <c r="BC401" i="4"/>
  <c r="AI521" i="4"/>
  <c r="AM521" i="4"/>
  <c r="AS521" i="4"/>
  <c r="AY521" i="4"/>
  <c r="AQ521" i="4"/>
  <c r="BC521" i="4"/>
  <c r="AU525" i="4"/>
  <c r="AG525" i="4"/>
  <c r="AX525" i="4"/>
  <c r="AM525" i="4"/>
  <c r="BA525" i="4"/>
  <c r="AQ525" i="4"/>
  <c r="BA530" i="4"/>
  <c r="AK530" i="4"/>
  <c r="AG530" i="4"/>
  <c r="AS530" i="4"/>
  <c r="AW530" i="4"/>
  <c r="AO530" i="4"/>
  <c r="AQ526" i="4"/>
  <c r="AM526" i="4"/>
  <c r="AG526" i="4"/>
  <c r="AU526" i="4"/>
  <c r="AY526" i="4"/>
  <c r="BA526" i="4"/>
  <c r="BC527" i="4"/>
  <c r="AM527" i="4"/>
  <c r="AG527" i="4"/>
  <c r="AO527" i="4"/>
  <c r="AY527" i="4"/>
  <c r="AU527" i="4"/>
  <c r="BA537" i="4"/>
  <c r="AK537" i="4"/>
  <c r="AI537" i="4"/>
  <c r="AQ537" i="4"/>
  <c r="AU537" i="4"/>
  <c r="AX537" i="4"/>
  <c r="BA645" i="4"/>
  <c r="AM645" i="4"/>
  <c r="AU645" i="4"/>
  <c r="AX645" i="4"/>
  <c r="AQ645" i="4"/>
  <c r="AG645" i="4"/>
  <c r="AG655" i="4"/>
  <c r="AQ655" i="4"/>
  <c r="AS655" i="4"/>
  <c r="AW655" i="4"/>
  <c r="BC655" i="4"/>
  <c r="AK655" i="4"/>
  <c r="AS654" i="4"/>
  <c r="AQ654" i="4"/>
  <c r="AG654" i="4"/>
  <c r="AX654" i="4"/>
  <c r="BC654" i="4"/>
  <c r="AK654" i="4"/>
  <c r="BA646" i="4"/>
  <c r="AQ646" i="4"/>
  <c r="AG646" i="4"/>
  <c r="AY646" i="4"/>
  <c r="AU646" i="4"/>
  <c r="AM646" i="4"/>
  <c r="BC643" i="4"/>
  <c r="AI643" i="4"/>
  <c r="AS643" i="4"/>
  <c r="AM643" i="4"/>
  <c r="AW643" i="4"/>
  <c r="AQ643" i="4"/>
  <c r="AM647" i="4"/>
  <c r="AG647" i="4"/>
  <c r="AO647" i="4"/>
  <c r="BC647" i="4"/>
  <c r="AU647" i="4"/>
  <c r="AY647" i="4"/>
  <c r="AG14" i="4"/>
  <c r="AW14" i="4"/>
  <c r="AU14" i="4"/>
  <c r="BA14" i="4"/>
  <c r="AQ14" i="4"/>
  <c r="AM14" i="4"/>
  <c r="AI30" i="4"/>
  <c r="AO30" i="4"/>
  <c r="AX30" i="4"/>
  <c r="AU30" i="4"/>
  <c r="AK30" i="4"/>
  <c r="BC30" i="4"/>
  <c r="AI27" i="4"/>
  <c r="AQ27" i="4"/>
  <c r="AX27" i="4"/>
  <c r="AU27" i="4"/>
  <c r="AK27" i="4"/>
  <c r="BA27" i="4"/>
  <c r="AY16" i="4"/>
  <c r="AG16" i="4"/>
  <c r="AQ16" i="4"/>
  <c r="BA16" i="4"/>
  <c r="AM16" i="4"/>
  <c r="AU16" i="4"/>
  <c r="BC11" i="4"/>
  <c r="AY11" i="4"/>
  <c r="AS11" i="4"/>
  <c r="AQ11" i="4"/>
  <c r="AI11" i="4"/>
  <c r="AM11" i="4"/>
  <c r="AX18" i="4"/>
  <c r="BC18" i="4"/>
  <c r="AM18" i="4"/>
  <c r="AG18" i="4"/>
  <c r="AU18" i="4"/>
  <c r="AO18" i="4"/>
  <c r="H12" i="60"/>
  <c r="B13" i="60"/>
  <c r="AO270" i="4"/>
  <c r="AI270" i="4"/>
  <c r="AK270" i="4"/>
  <c r="AU270" i="4"/>
  <c r="BC270" i="4"/>
  <c r="AX270" i="4"/>
  <c r="AK264" i="4"/>
  <c r="AG264" i="4"/>
  <c r="AX264" i="4"/>
  <c r="BC264" i="4"/>
  <c r="AS264" i="4"/>
  <c r="AQ264" i="4"/>
  <c r="BA256" i="4"/>
  <c r="AY256" i="4"/>
  <c r="AG256" i="4"/>
  <c r="AU256" i="4"/>
  <c r="AQ256" i="4"/>
  <c r="AM256" i="4"/>
  <c r="AO271" i="4"/>
  <c r="AI271" i="4"/>
  <c r="BC271" i="4"/>
  <c r="AK271" i="4"/>
  <c r="AW271" i="4"/>
  <c r="AU271" i="4"/>
  <c r="AQ266" i="4"/>
  <c r="AI266" i="4"/>
  <c r="AW266" i="4"/>
  <c r="AU266" i="4"/>
  <c r="BA266" i="4"/>
  <c r="AK266" i="4"/>
  <c r="AY268" i="4"/>
  <c r="AQ268" i="4"/>
  <c r="AI268" i="4"/>
  <c r="AU268" i="4"/>
  <c r="AK268" i="4"/>
  <c r="BA268" i="4"/>
  <c r="AQ44" i="4"/>
  <c r="AW44" i="4"/>
  <c r="BA44" i="4"/>
  <c r="AM44" i="4"/>
  <c r="AG44" i="4"/>
  <c r="AU44" i="4"/>
  <c r="AG49" i="4"/>
  <c r="AO49" i="4"/>
  <c r="BC49" i="4"/>
  <c r="AW49" i="4"/>
  <c r="AM49" i="4"/>
  <c r="AU49" i="4"/>
  <c r="BC61" i="4"/>
  <c r="AO61" i="4"/>
  <c r="AI61" i="4"/>
  <c r="AW61" i="4"/>
  <c r="AK61" i="4"/>
  <c r="AU61" i="4"/>
  <c r="BC54" i="4"/>
  <c r="AQ54" i="4"/>
  <c r="AS54" i="4"/>
  <c r="AX54" i="4"/>
  <c r="AG54" i="4"/>
  <c r="AK54" i="4"/>
  <c r="AK58" i="4"/>
  <c r="BA58" i="4"/>
  <c r="AU58" i="4"/>
  <c r="AY58" i="4"/>
  <c r="AQ58" i="4"/>
  <c r="AI58" i="4"/>
  <c r="AQ45" i="4"/>
  <c r="AG45" i="4"/>
  <c r="AX45" i="4"/>
  <c r="AM45" i="4"/>
  <c r="AU45" i="4"/>
  <c r="BA45" i="4"/>
  <c r="AM551" i="4"/>
  <c r="AY551" i="4"/>
  <c r="AS551" i="4"/>
  <c r="BC551" i="4"/>
  <c r="AQ551" i="4"/>
  <c r="AI551" i="4"/>
  <c r="AW548" i="4"/>
  <c r="BA548" i="4"/>
  <c r="AM548" i="4"/>
  <c r="AI548" i="4"/>
  <c r="AS548" i="4"/>
  <c r="AO548" i="4"/>
  <c r="AE572" i="4"/>
  <c r="AI568" i="4"/>
  <c r="AU568" i="4"/>
  <c r="BA568" i="4"/>
  <c r="AY568" i="4"/>
  <c r="AQ568" i="4"/>
  <c r="AK568" i="4"/>
  <c r="AU557" i="4"/>
  <c r="AO557" i="4"/>
  <c r="AM557" i="4"/>
  <c r="AG557" i="4"/>
  <c r="BC557" i="4"/>
  <c r="AY557" i="4"/>
  <c r="AU566" i="4"/>
  <c r="BA566" i="4"/>
  <c r="AK566" i="4"/>
  <c r="AQ566" i="4"/>
  <c r="AI566" i="4"/>
  <c r="AW566" i="4"/>
  <c r="AI569" i="4"/>
  <c r="AU569" i="4"/>
  <c r="AY569" i="4"/>
  <c r="AO569" i="4"/>
  <c r="BC569" i="4"/>
  <c r="AK569" i="4"/>
  <c r="AI240" i="4"/>
  <c r="AO240" i="4"/>
  <c r="AU240" i="4"/>
  <c r="AK240" i="4"/>
  <c r="AX240" i="4"/>
  <c r="BC240" i="4"/>
  <c r="BC222" i="4"/>
  <c r="AX222" i="4"/>
  <c r="AS222" i="4"/>
  <c r="AM222" i="4"/>
  <c r="AI222" i="4"/>
  <c r="AQ222" i="4"/>
  <c r="AU238" i="4"/>
  <c r="AK238" i="4"/>
  <c r="BA238" i="4"/>
  <c r="AI238" i="4"/>
  <c r="AQ238" i="4"/>
  <c r="AY238" i="4"/>
  <c r="AS231" i="4"/>
  <c r="BA231" i="4"/>
  <c r="AG231" i="4"/>
  <c r="AK231" i="4"/>
  <c r="AO231" i="4"/>
  <c r="AX231" i="4"/>
  <c r="AW224" i="4"/>
  <c r="AG224" i="4"/>
  <c r="AQ224" i="4"/>
  <c r="AM224" i="4"/>
  <c r="BA224" i="4"/>
  <c r="AU224" i="4"/>
  <c r="AW218" i="4"/>
  <c r="AO218" i="4"/>
  <c r="AE242" i="4"/>
  <c r="BA218" i="4"/>
  <c r="AS218" i="4"/>
  <c r="AI218" i="4"/>
  <c r="AM218" i="4"/>
  <c r="AY586" i="4"/>
  <c r="AU586" i="4"/>
  <c r="AG586" i="4"/>
  <c r="AM586" i="4"/>
  <c r="AQ586" i="4"/>
  <c r="BA586" i="4"/>
  <c r="AS582" i="4"/>
  <c r="BC582" i="4"/>
  <c r="AX582" i="4"/>
  <c r="AM582" i="4"/>
  <c r="AQ582" i="4"/>
  <c r="AI582" i="4"/>
  <c r="AX585" i="4"/>
  <c r="AQ585" i="4"/>
  <c r="AM585" i="4"/>
  <c r="AG585" i="4"/>
  <c r="BA585" i="4"/>
  <c r="AU585" i="4"/>
  <c r="BA590" i="4"/>
  <c r="AO590" i="4"/>
  <c r="AW590" i="4"/>
  <c r="AK590" i="4"/>
  <c r="AS590" i="4"/>
  <c r="AG590" i="4"/>
  <c r="AU584" i="4"/>
  <c r="AM584" i="4"/>
  <c r="AW584" i="4"/>
  <c r="AG584" i="4"/>
  <c r="BA584" i="4"/>
  <c r="AQ584" i="4"/>
  <c r="AQ597" i="4"/>
  <c r="AI597" i="4"/>
  <c r="AK597" i="4"/>
  <c r="AX597" i="4"/>
  <c r="BA597" i="4"/>
  <c r="AU597" i="4"/>
  <c r="AS680" i="4"/>
  <c r="AG680" i="4"/>
  <c r="AO680" i="4"/>
  <c r="AK680" i="4"/>
  <c r="AW680" i="4"/>
  <c r="BA680" i="4"/>
  <c r="AI688" i="4"/>
  <c r="AQ688" i="4"/>
  <c r="AU688" i="4"/>
  <c r="BA688" i="4"/>
  <c r="AY688" i="4"/>
  <c r="AK688" i="4"/>
  <c r="BA686" i="4"/>
  <c r="AW686" i="4"/>
  <c r="AK686" i="4"/>
  <c r="AI686" i="4"/>
  <c r="AQ686" i="4"/>
  <c r="AU686" i="4"/>
  <c r="AI691" i="4"/>
  <c r="AK691" i="4"/>
  <c r="BC691" i="4"/>
  <c r="AW691" i="4"/>
  <c r="AO691" i="4"/>
  <c r="AU691" i="4"/>
  <c r="AM679" i="4"/>
  <c r="BC679" i="4"/>
  <c r="AO679" i="4"/>
  <c r="AG679" i="4"/>
  <c r="AU679" i="4"/>
  <c r="AW679" i="4"/>
  <c r="AS685" i="4"/>
  <c r="AW685" i="4"/>
  <c r="BC685" i="4"/>
  <c r="AQ685" i="4"/>
  <c r="AK685" i="4"/>
  <c r="AG685" i="4"/>
  <c r="AS385" i="4"/>
  <c r="AQ385" i="4"/>
  <c r="AK385" i="4"/>
  <c r="BC385" i="4"/>
  <c r="AG385" i="4"/>
  <c r="AW385" i="4"/>
  <c r="AU374" i="4"/>
  <c r="AM374" i="4"/>
  <c r="AQ374" i="4"/>
  <c r="BA374" i="4"/>
  <c r="AG374" i="4"/>
  <c r="AW374" i="4"/>
  <c r="AE392" i="4"/>
  <c r="BA368" i="4"/>
  <c r="AS368" i="4"/>
  <c r="AM368" i="4"/>
  <c r="AO368" i="4"/>
  <c r="AW368" i="4"/>
  <c r="AI368" i="4"/>
  <c r="AS381" i="4"/>
  <c r="AG381" i="4"/>
  <c r="AK381" i="4"/>
  <c r="BA381" i="4"/>
  <c r="AO381" i="4"/>
  <c r="AX381" i="4"/>
  <c r="BA386" i="4"/>
  <c r="AQ386" i="4"/>
  <c r="AU386" i="4"/>
  <c r="AK386" i="4"/>
  <c r="AW386" i="4"/>
  <c r="AI386" i="4"/>
  <c r="AI369" i="4"/>
  <c r="AS369" i="4"/>
  <c r="AO369" i="4"/>
  <c r="AM369" i="4"/>
  <c r="BA369" i="4"/>
  <c r="AX369" i="4"/>
  <c r="AW175" i="4"/>
  <c r="AS175" i="4"/>
  <c r="BC175" i="4"/>
  <c r="AQ175" i="4"/>
  <c r="AG175" i="4"/>
  <c r="AK175" i="4"/>
  <c r="BA159" i="4"/>
  <c r="AS159" i="4"/>
  <c r="AI159" i="4"/>
  <c r="AM159" i="4"/>
  <c r="AX159" i="4"/>
  <c r="AO159" i="4"/>
  <c r="AK176" i="4"/>
  <c r="AU176" i="4"/>
  <c r="AI176" i="4"/>
  <c r="AQ176" i="4"/>
  <c r="AW176" i="4"/>
  <c r="BA176" i="4"/>
  <c r="AQ162" i="4"/>
  <c r="BC162" i="4"/>
  <c r="AI162" i="4"/>
  <c r="AX162" i="4"/>
  <c r="AS162" i="4"/>
  <c r="AM162" i="4"/>
  <c r="AS160" i="4"/>
  <c r="AY160" i="4"/>
  <c r="BA160" i="4"/>
  <c r="AI160" i="4"/>
  <c r="AO160" i="4"/>
  <c r="AM160" i="4"/>
  <c r="AM167" i="4"/>
  <c r="AG167" i="4"/>
  <c r="AU167" i="4"/>
  <c r="BC167" i="4"/>
  <c r="AO167" i="4"/>
  <c r="AY167" i="4"/>
  <c r="AU99" i="9"/>
  <c r="M67" i="56"/>
  <c r="B123" i="56"/>
  <c r="BA616" i="4"/>
  <c r="AY616" i="4"/>
  <c r="AU616" i="4"/>
  <c r="AG616" i="4"/>
  <c r="AQ616" i="4"/>
  <c r="AM616" i="4"/>
  <c r="AQ623" i="4"/>
  <c r="AG623" i="4"/>
  <c r="AY623" i="4"/>
  <c r="AS623" i="4"/>
  <c r="BC623" i="4"/>
  <c r="AK623" i="4"/>
  <c r="AQ627" i="4"/>
  <c r="BA627" i="4"/>
  <c r="AX627" i="4"/>
  <c r="AI627" i="4"/>
  <c r="AU627" i="4"/>
  <c r="AK627" i="4"/>
  <c r="AW619" i="4"/>
  <c r="AG619" i="4"/>
  <c r="AM619" i="4"/>
  <c r="AO619" i="4"/>
  <c r="AU619" i="4"/>
  <c r="BC619" i="4"/>
  <c r="AX615" i="4"/>
  <c r="AG615" i="4"/>
  <c r="AU615" i="4"/>
  <c r="AQ615" i="4"/>
  <c r="BA615" i="4"/>
  <c r="AM615" i="4"/>
  <c r="AW625" i="4"/>
  <c r="AG625" i="4"/>
  <c r="AQ625" i="4"/>
  <c r="BC625" i="4"/>
  <c r="AK625" i="4"/>
  <c r="AS625" i="4"/>
  <c r="AS309" i="4"/>
  <c r="AI309" i="4"/>
  <c r="AO309" i="4"/>
  <c r="AM309" i="4"/>
  <c r="BA309" i="4"/>
  <c r="AX309" i="4"/>
  <c r="AO330" i="4"/>
  <c r="AU330" i="4"/>
  <c r="AK330" i="4"/>
  <c r="AI330" i="4"/>
  <c r="BC330" i="4"/>
  <c r="AX330" i="4"/>
  <c r="BC325" i="4"/>
  <c r="AW325" i="4"/>
  <c r="AS325" i="4"/>
  <c r="AG325" i="4"/>
  <c r="AQ325" i="4"/>
  <c r="AK325" i="4"/>
  <c r="AU328" i="4"/>
  <c r="AQ328" i="4"/>
  <c r="AI328" i="4"/>
  <c r="AK328" i="4"/>
  <c r="BA328" i="4"/>
  <c r="AY328" i="4"/>
  <c r="AW326" i="4"/>
  <c r="AI326" i="4"/>
  <c r="AQ326" i="4"/>
  <c r="AK326" i="4"/>
  <c r="AU326" i="4"/>
  <c r="BA326" i="4"/>
  <c r="BC317" i="4"/>
  <c r="AG317" i="4"/>
  <c r="AU317" i="4"/>
  <c r="AO317" i="4"/>
  <c r="AY317" i="4"/>
  <c r="AM317" i="4"/>
  <c r="W92" i="9"/>
  <c r="AO190" i="4"/>
  <c r="AM190" i="4"/>
  <c r="BA190" i="4"/>
  <c r="AY190" i="4"/>
  <c r="AS190" i="4"/>
  <c r="AI190" i="4"/>
  <c r="AX204" i="4"/>
  <c r="AK204" i="4"/>
  <c r="AS204" i="4"/>
  <c r="AQ204" i="4"/>
  <c r="AG204" i="4"/>
  <c r="BC204" i="4"/>
  <c r="BA201" i="4"/>
  <c r="AO201" i="4"/>
  <c r="AS201" i="4"/>
  <c r="AX201" i="4"/>
  <c r="AK201" i="4"/>
  <c r="AG201" i="4"/>
  <c r="AO197" i="4"/>
  <c r="AY197" i="4"/>
  <c r="AU197" i="4"/>
  <c r="AM197" i="4"/>
  <c r="AG197" i="4"/>
  <c r="BC197" i="4"/>
  <c r="AQ195" i="4"/>
  <c r="AU195" i="4"/>
  <c r="AX195" i="4"/>
  <c r="BA195" i="4"/>
  <c r="AG195" i="4"/>
  <c r="AM195" i="4"/>
  <c r="AU194" i="4"/>
  <c r="AW194" i="4"/>
  <c r="AQ194" i="4"/>
  <c r="AM194" i="4"/>
  <c r="BA194" i="4"/>
  <c r="AG194" i="4"/>
  <c r="AU859" i="4"/>
  <c r="AM859" i="4"/>
  <c r="AO859" i="4"/>
  <c r="AG859" i="4"/>
  <c r="BC859" i="4"/>
  <c r="AW859" i="4"/>
  <c r="BA849" i="4"/>
  <c r="AI849" i="4"/>
  <c r="AM849" i="4"/>
  <c r="AX849" i="4"/>
  <c r="AS849" i="4"/>
  <c r="AO849" i="4"/>
  <c r="AI871" i="4"/>
  <c r="AO871" i="4"/>
  <c r="BC871" i="4"/>
  <c r="AU871" i="4"/>
  <c r="AW871" i="4"/>
  <c r="AK871" i="4"/>
  <c r="AI850" i="4"/>
  <c r="AS850" i="4"/>
  <c r="AM850" i="4"/>
  <c r="AO850" i="4"/>
  <c r="AY850" i="4"/>
  <c r="BA850" i="4"/>
  <c r="AQ863" i="4"/>
  <c r="AK863" i="4"/>
  <c r="AY863" i="4"/>
  <c r="BC863" i="4"/>
  <c r="AG863" i="4"/>
  <c r="AS863" i="4"/>
  <c r="AK862" i="4"/>
  <c r="AO862" i="4"/>
  <c r="AS862" i="4"/>
  <c r="AY862" i="4"/>
  <c r="BA862" i="4"/>
  <c r="AG862" i="4"/>
  <c r="AQ281" i="4"/>
  <c r="AM281" i="4"/>
  <c r="BC281" i="4"/>
  <c r="AY281" i="4"/>
  <c r="AI281" i="4"/>
  <c r="AS281" i="4"/>
  <c r="AO280" i="4"/>
  <c r="AI280" i="4"/>
  <c r="BA280" i="4"/>
  <c r="AM280" i="4"/>
  <c r="AS280" i="4"/>
  <c r="AY280" i="4"/>
  <c r="BA292" i="4"/>
  <c r="AO292" i="4"/>
  <c r="AY292" i="4"/>
  <c r="AS292" i="4"/>
  <c r="AG292" i="4"/>
  <c r="AK292" i="4"/>
  <c r="AK300" i="4"/>
  <c r="AU300" i="4"/>
  <c r="BC300" i="4"/>
  <c r="AO300" i="4"/>
  <c r="AI300" i="4"/>
  <c r="AX300" i="4"/>
  <c r="BC295" i="4"/>
  <c r="AQ295" i="4"/>
  <c r="AW295" i="4"/>
  <c r="AG295" i="4"/>
  <c r="AS295" i="4"/>
  <c r="AK295" i="4"/>
  <c r="AM287" i="4"/>
  <c r="BC287" i="4"/>
  <c r="AU287" i="4"/>
  <c r="AO287" i="4"/>
  <c r="AY287" i="4"/>
  <c r="AG287" i="4"/>
  <c r="J38" i="3"/>
  <c r="AI417" i="4"/>
  <c r="AX417" i="4"/>
  <c r="AK417" i="4"/>
  <c r="AQ417" i="4"/>
  <c r="BA417" i="4"/>
  <c r="AU417" i="4"/>
  <c r="AK412" i="4"/>
  <c r="AY412" i="4"/>
  <c r="AO412" i="4"/>
  <c r="AG412" i="4"/>
  <c r="AS412" i="4"/>
  <c r="BA412" i="4"/>
  <c r="BC413" i="4"/>
  <c r="AK413" i="4"/>
  <c r="AG413" i="4"/>
  <c r="AY413" i="4"/>
  <c r="AQ413" i="4"/>
  <c r="AS413" i="4"/>
  <c r="AQ415" i="4"/>
  <c r="AK415" i="4"/>
  <c r="AG415" i="4"/>
  <c r="AW415" i="4"/>
  <c r="AS415" i="4"/>
  <c r="BC415" i="4"/>
  <c r="AU421" i="4"/>
  <c r="AI421" i="4"/>
  <c r="AK421" i="4"/>
  <c r="AO421" i="4"/>
  <c r="AW421" i="4"/>
  <c r="BC421" i="4"/>
  <c r="AK414" i="4"/>
  <c r="AX414" i="4"/>
  <c r="AG414" i="4"/>
  <c r="AQ414" i="4"/>
  <c r="BC414" i="4"/>
  <c r="AS414" i="4"/>
  <c r="AK538" i="4"/>
  <c r="AI538" i="4"/>
  <c r="AU538" i="4"/>
  <c r="BA538" i="4"/>
  <c r="AY538" i="4"/>
  <c r="AQ538" i="4"/>
  <c r="AQ533" i="4"/>
  <c r="AY533" i="4"/>
  <c r="AG533" i="4"/>
  <c r="AK533" i="4"/>
  <c r="AS533" i="4"/>
  <c r="BC533" i="4"/>
  <c r="AM518" i="4"/>
  <c r="AI518" i="4"/>
  <c r="AE542" i="4"/>
  <c r="BA518" i="4"/>
  <c r="AS518" i="4"/>
  <c r="AO518" i="4"/>
  <c r="AW518" i="4"/>
  <c r="BA519" i="4"/>
  <c r="AX519" i="4"/>
  <c r="AI519" i="4"/>
  <c r="AM519" i="4"/>
  <c r="AS519" i="4"/>
  <c r="AO519" i="4"/>
  <c r="AI523" i="4"/>
  <c r="BC523" i="4"/>
  <c r="AM523" i="4"/>
  <c r="AQ523" i="4"/>
  <c r="AW523" i="4"/>
  <c r="AS523" i="4"/>
  <c r="AK539" i="4"/>
  <c r="BC539" i="4"/>
  <c r="AI539" i="4"/>
  <c r="AU539" i="4"/>
  <c r="AY539" i="4"/>
  <c r="AO539" i="4"/>
  <c r="AI642" i="4"/>
  <c r="AQ642" i="4"/>
  <c r="AX642" i="4"/>
  <c r="BC642" i="4"/>
  <c r="AS642" i="4"/>
  <c r="AM642" i="4"/>
  <c r="AS651" i="4"/>
  <c r="AX651" i="4"/>
  <c r="AG651" i="4"/>
  <c r="AK651" i="4"/>
  <c r="AO651" i="4"/>
  <c r="BA651" i="4"/>
  <c r="AE662" i="4"/>
  <c r="AS638" i="4"/>
  <c r="AW638" i="4"/>
  <c r="AO638" i="4"/>
  <c r="AI638" i="4"/>
  <c r="BA638" i="4"/>
  <c r="AM638" i="4"/>
  <c r="AI657" i="4"/>
  <c r="AK657" i="4"/>
  <c r="AQ657" i="4"/>
  <c r="AU657" i="4"/>
  <c r="BA657" i="4"/>
  <c r="AX657" i="4"/>
  <c r="AS640" i="4"/>
  <c r="BA640" i="4"/>
  <c r="AM640" i="4"/>
  <c r="AO640" i="4"/>
  <c r="AY640" i="4"/>
  <c r="AI640" i="4"/>
  <c r="AU658" i="4"/>
  <c r="AQ658" i="4"/>
  <c r="AY658" i="4"/>
  <c r="AI658" i="4"/>
  <c r="BA658" i="4"/>
  <c r="AK658" i="4"/>
  <c r="AO20" i="4"/>
  <c r="AK20" i="4"/>
  <c r="BA20" i="4"/>
  <c r="AG20" i="4"/>
  <c r="AS20" i="4"/>
  <c r="AW20" i="4"/>
  <c r="AU17" i="4"/>
  <c r="BC17" i="4"/>
  <c r="AM17" i="4"/>
  <c r="AO17" i="4"/>
  <c r="AG17" i="4"/>
  <c r="AY17" i="4"/>
  <c r="AK28" i="4"/>
  <c r="AI28" i="4"/>
  <c r="AY28" i="4"/>
  <c r="AQ28" i="4"/>
  <c r="BA28" i="4"/>
  <c r="AU28" i="4"/>
  <c r="AS23" i="4"/>
  <c r="AQ23" i="4"/>
  <c r="AG23" i="4"/>
  <c r="AK23" i="4"/>
  <c r="BC23" i="4"/>
  <c r="AY23" i="4"/>
  <c r="AW8" i="4"/>
  <c r="AO8" i="4"/>
  <c r="AI8" i="4"/>
  <c r="AE32" i="4"/>
  <c r="C5" i="6" s="1"/>
  <c r="C5" i="7" s="1"/>
  <c r="AS8" i="4"/>
  <c r="AM8" i="4"/>
  <c r="BA8" i="4"/>
  <c r="BA21" i="4"/>
  <c r="AS21" i="4"/>
  <c r="AK21" i="4"/>
  <c r="AG21" i="4"/>
  <c r="AX21" i="4"/>
  <c r="AO21" i="4"/>
  <c r="D43" i="62"/>
  <c r="AS250" i="4"/>
  <c r="BA250" i="4"/>
  <c r="AO250" i="4"/>
  <c r="AM250" i="4"/>
  <c r="AY250" i="4"/>
  <c r="AI250" i="4"/>
  <c r="AG262" i="4"/>
  <c r="AK262" i="4"/>
  <c r="AO262" i="4"/>
  <c r="BA262" i="4"/>
  <c r="AY262" i="4"/>
  <c r="AS262" i="4"/>
  <c r="AY251" i="4"/>
  <c r="AI251" i="4"/>
  <c r="AQ251" i="4"/>
  <c r="BC251" i="4"/>
  <c r="AS251" i="4"/>
  <c r="AM251" i="4"/>
  <c r="AW265" i="4"/>
  <c r="BC265" i="4"/>
  <c r="AS265" i="4"/>
  <c r="AG265" i="4"/>
  <c r="AQ265" i="4"/>
  <c r="AK265" i="4"/>
  <c r="BA267" i="4"/>
  <c r="AK267" i="4"/>
  <c r="AI267" i="4"/>
  <c r="AQ267" i="4"/>
  <c r="AX267" i="4"/>
  <c r="AU267" i="4"/>
  <c r="BC258" i="4"/>
  <c r="AO258" i="4"/>
  <c r="AX258" i="4"/>
  <c r="AU258" i="4"/>
  <c r="AM258" i="4"/>
  <c r="AG258" i="4"/>
  <c r="AO812" i="4"/>
  <c r="AO60" i="4"/>
  <c r="AX60" i="4"/>
  <c r="BC60" i="4"/>
  <c r="AK60" i="4"/>
  <c r="AU60" i="4"/>
  <c r="AI60" i="4"/>
  <c r="AS55" i="4"/>
  <c r="AQ55" i="4"/>
  <c r="AG55" i="4"/>
  <c r="BC55" i="4"/>
  <c r="AW55" i="4"/>
  <c r="AK55" i="4"/>
  <c r="AM40" i="4"/>
  <c r="BA40" i="4"/>
  <c r="AI40" i="4"/>
  <c r="AS40" i="4"/>
  <c r="AO40" i="4"/>
  <c r="AY40" i="4"/>
  <c r="AS43" i="4"/>
  <c r="AQ43" i="4"/>
  <c r="AM43" i="4"/>
  <c r="AW43" i="4"/>
  <c r="BC43" i="4"/>
  <c r="AI43" i="4"/>
  <c r="AK51" i="4"/>
  <c r="AG51" i="4"/>
  <c r="AX51" i="4"/>
  <c r="AO51" i="4"/>
  <c r="AS51" i="4"/>
  <c r="BA51" i="4"/>
  <c r="BA57" i="4"/>
  <c r="AK57" i="4"/>
  <c r="AI57" i="4"/>
  <c r="AX57" i="4"/>
  <c r="AU57" i="4"/>
  <c r="AQ57" i="4"/>
  <c r="AG556" i="4"/>
  <c r="AM556" i="4"/>
  <c r="AU556" i="4"/>
  <c r="AQ556" i="4"/>
  <c r="BA556" i="4"/>
  <c r="AY556" i="4"/>
  <c r="AM550" i="4"/>
  <c r="AS550" i="4"/>
  <c r="AI550" i="4"/>
  <c r="AO550" i="4"/>
  <c r="BA550" i="4"/>
  <c r="AY550" i="4"/>
  <c r="AM549" i="4"/>
  <c r="AO549" i="4"/>
  <c r="AI549" i="4"/>
  <c r="BA549" i="4"/>
  <c r="AS549" i="4"/>
  <c r="AX549" i="4"/>
  <c r="AS561" i="4"/>
  <c r="BA561" i="4"/>
  <c r="AO561" i="4"/>
  <c r="AG561" i="4"/>
  <c r="AK561" i="4"/>
  <c r="AX561" i="4"/>
  <c r="AU555" i="4"/>
  <c r="AM555" i="4"/>
  <c r="AX555" i="4"/>
  <c r="AQ555" i="4"/>
  <c r="AG555" i="4"/>
  <c r="BA555" i="4"/>
  <c r="AX567" i="4"/>
  <c r="AI567" i="4"/>
  <c r="AK567" i="4"/>
  <c r="AU567" i="4"/>
  <c r="AQ567" i="4"/>
  <c r="BA567" i="4"/>
  <c r="AO220" i="4"/>
  <c r="AM220" i="4"/>
  <c r="AS220" i="4"/>
  <c r="AI220" i="4"/>
  <c r="AY220" i="4"/>
  <c r="BA220" i="4"/>
  <c r="AG234" i="4"/>
  <c r="AX234" i="4"/>
  <c r="AQ234" i="4"/>
  <c r="BC234" i="4"/>
  <c r="AS234" i="4"/>
  <c r="AK234" i="4"/>
  <c r="AG235" i="4"/>
  <c r="AQ235" i="4"/>
  <c r="BC235" i="4"/>
  <c r="AK235" i="4"/>
  <c r="AS235" i="4"/>
  <c r="AW235" i="4"/>
  <c r="BA225" i="4"/>
  <c r="AG225" i="4"/>
  <c r="AQ225" i="4"/>
  <c r="AX225" i="4"/>
  <c r="AU225" i="4"/>
  <c r="AM225" i="4"/>
  <c r="AU227" i="4"/>
  <c r="AO227" i="4"/>
  <c r="BC227" i="4"/>
  <c r="AM227" i="4"/>
  <c r="AG227" i="4"/>
  <c r="AY227" i="4"/>
  <c r="AG229" i="4"/>
  <c r="AO229" i="4"/>
  <c r="AW229" i="4"/>
  <c r="AM229" i="4"/>
  <c r="AU229" i="4"/>
  <c r="BC229" i="4"/>
  <c r="AQ598" i="4"/>
  <c r="AI598" i="4"/>
  <c r="AU598" i="4"/>
  <c r="AK598" i="4"/>
  <c r="AY598" i="4"/>
  <c r="BA598" i="4"/>
  <c r="AQ593" i="4"/>
  <c r="AY593" i="4"/>
  <c r="BC593" i="4"/>
  <c r="AG593" i="4"/>
  <c r="AS593" i="4"/>
  <c r="AK593" i="4"/>
  <c r="AX594" i="4"/>
  <c r="AQ594" i="4"/>
  <c r="AS594" i="4"/>
  <c r="BC594" i="4"/>
  <c r="AG594" i="4"/>
  <c r="AK594" i="4"/>
  <c r="AU599" i="4"/>
  <c r="AO599" i="4"/>
  <c r="BC599" i="4"/>
  <c r="AI599" i="4"/>
  <c r="AK599" i="4"/>
  <c r="AY599" i="4"/>
  <c r="AI596" i="4"/>
  <c r="AQ596" i="4"/>
  <c r="AW596" i="4"/>
  <c r="AU596" i="4"/>
  <c r="BA596" i="4"/>
  <c r="AK596" i="4"/>
  <c r="BC589" i="4"/>
  <c r="AM589" i="4"/>
  <c r="AO589" i="4"/>
  <c r="AW589" i="4"/>
  <c r="AG589" i="4"/>
  <c r="AU589" i="4"/>
  <c r="AO669" i="4"/>
  <c r="AS669" i="4"/>
  <c r="AI669" i="4"/>
  <c r="AX669" i="4"/>
  <c r="BA669" i="4"/>
  <c r="AM669" i="4"/>
  <c r="AQ684" i="4"/>
  <c r="AX684" i="4"/>
  <c r="AS684" i="4"/>
  <c r="AG684" i="4"/>
  <c r="BC684" i="4"/>
  <c r="AK684" i="4"/>
  <c r="AG676" i="4"/>
  <c r="AU676" i="4"/>
  <c r="AY676" i="4"/>
  <c r="AQ676" i="4"/>
  <c r="BA676" i="4"/>
  <c r="AM676" i="4"/>
  <c r="AO670" i="4"/>
  <c r="BA670" i="4"/>
  <c r="AI670" i="4"/>
  <c r="AY670" i="4"/>
  <c r="AM670" i="4"/>
  <c r="AS670" i="4"/>
  <c r="AX690" i="4"/>
  <c r="AO690" i="4"/>
  <c r="AU690" i="4"/>
  <c r="BC690" i="4"/>
  <c r="AI690" i="4"/>
  <c r="AK690" i="4"/>
  <c r="AG682" i="4"/>
  <c r="AK682" i="4"/>
  <c r="AY682" i="4"/>
  <c r="AO682" i="4"/>
  <c r="AS682" i="4"/>
  <c r="BA682" i="4"/>
  <c r="AU376" i="4"/>
  <c r="AM376" i="4"/>
  <c r="BA376" i="4"/>
  <c r="AY376" i="4"/>
  <c r="AQ376" i="4"/>
  <c r="AG376" i="4"/>
  <c r="AM378" i="4"/>
  <c r="AO378" i="4"/>
  <c r="BC378" i="4"/>
  <c r="AX378" i="4"/>
  <c r="AU378" i="4"/>
  <c r="AG378" i="4"/>
  <c r="AQ384" i="4"/>
  <c r="AS384" i="4"/>
  <c r="AX384" i="4"/>
  <c r="AK384" i="4"/>
  <c r="AG384" i="4"/>
  <c r="BC384" i="4"/>
  <c r="AU375" i="4"/>
  <c r="AM375" i="4"/>
  <c r="BA375" i="4"/>
  <c r="AX375" i="4"/>
  <c r="AG375" i="4"/>
  <c r="AQ375" i="4"/>
  <c r="AY370" i="4"/>
  <c r="AO370" i="4"/>
  <c r="AM370" i="4"/>
  <c r="BA370" i="4"/>
  <c r="AI370" i="4"/>
  <c r="AS370" i="4"/>
  <c r="AM379" i="4"/>
  <c r="AO379" i="4"/>
  <c r="AW379" i="4"/>
  <c r="BC379" i="4"/>
  <c r="AG379" i="4"/>
  <c r="AU379" i="4"/>
  <c r="BC180" i="4"/>
  <c r="AO180" i="4"/>
  <c r="AX180" i="4"/>
  <c r="AU180" i="4"/>
  <c r="AI180" i="4"/>
  <c r="AK180" i="4"/>
  <c r="AW169" i="4"/>
  <c r="AG169" i="4"/>
  <c r="AO169" i="4"/>
  <c r="AM169" i="4"/>
  <c r="AU169" i="4"/>
  <c r="BC169" i="4"/>
  <c r="AQ174" i="4"/>
  <c r="AS174" i="4"/>
  <c r="BC174" i="4"/>
  <c r="AG174" i="4"/>
  <c r="AX174" i="4"/>
  <c r="AK174" i="4"/>
  <c r="BC179" i="4"/>
  <c r="AU179" i="4"/>
  <c r="AK179" i="4"/>
  <c r="AO179" i="4"/>
  <c r="AY179" i="4"/>
  <c r="AI179" i="4"/>
  <c r="AS170" i="4"/>
  <c r="AW170" i="4"/>
  <c r="AG170" i="4"/>
  <c r="BA170" i="4"/>
  <c r="AO170" i="4"/>
  <c r="AK170" i="4"/>
  <c r="AX165" i="4"/>
  <c r="AM165" i="4"/>
  <c r="BA165" i="4"/>
  <c r="AG165" i="4"/>
  <c r="AU165" i="4"/>
  <c r="AQ165" i="4"/>
  <c r="AE710" i="4"/>
  <c r="AE701" i="4"/>
  <c r="AE712" i="4"/>
  <c r="AE702" i="4"/>
  <c r="AE708" i="4"/>
  <c r="AE718" i="4"/>
  <c r="AE709" i="4"/>
  <c r="AE719" i="4"/>
  <c r="AE707" i="4"/>
  <c r="AE705" i="4"/>
  <c r="AE698" i="4"/>
  <c r="AE715" i="4"/>
  <c r="AE706" i="4"/>
  <c r="AE713" i="4"/>
  <c r="AE700" i="4"/>
  <c r="AE720" i="4"/>
  <c r="AE711" i="4"/>
  <c r="AE717" i="4"/>
  <c r="AE704" i="4"/>
  <c r="AE699" i="4"/>
  <c r="AE703" i="4"/>
  <c r="AE716" i="4"/>
  <c r="AE721" i="4"/>
  <c r="AE714" i="4"/>
  <c r="BA626" i="4"/>
  <c r="AQ626" i="4"/>
  <c r="AI626" i="4"/>
  <c r="AW626" i="4"/>
  <c r="AU626" i="4"/>
  <c r="AK626" i="4"/>
  <c r="AQ613" i="4"/>
  <c r="AI613" i="4"/>
  <c r="BC613" i="4"/>
  <c r="AM613" i="4"/>
  <c r="AW613" i="4"/>
  <c r="AS613" i="4"/>
  <c r="AQ614" i="4"/>
  <c r="AG614" i="4"/>
  <c r="AW614" i="4"/>
  <c r="BA614" i="4"/>
  <c r="AU614" i="4"/>
  <c r="AM614" i="4"/>
  <c r="AE632" i="4"/>
  <c r="AO608" i="4"/>
  <c r="AI608" i="4"/>
  <c r="AW608" i="4"/>
  <c r="BA608" i="4"/>
  <c r="AS608" i="4"/>
  <c r="AM608" i="4"/>
  <c r="AQ611" i="4"/>
  <c r="BC611" i="4"/>
  <c r="AM611" i="4"/>
  <c r="AS611" i="4"/>
  <c r="AY611" i="4"/>
  <c r="AI611" i="4"/>
  <c r="AM618" i="4"/>
  <c r="AO618" i="4"/>
  <c r="AU618" i="4"/>
  <c r="BC618" i="4"/>
  <c r="AG618" i="4"/>
  <c r="AX618" i="4"/>
  <c r="AE80" i="4"/>
  <c r="AE69" i="4"/>
  <c r="AE76" i="4"/>
  <c r="AE78" i="4"/>
  <c r="AE73" i="4"/>
  <c r="AE68" i="4"/>
  <c r="AE87" i="4"/>
  <c r="AE85" i="4"/>
  <c r="AE86" i="4"/>
  <c r="AE91" i="4"/>
  <c r="AE74" i="4"/>
  <c r="AE70" i="4"/>
  <c r="AE75" i="4"/>
  <c r="AE84" i="4"/>
  <c r="AE90" i="4"/>
  <c r="AE71" i="4"/>
  <c r="AE81" i="4"/>
  <c r="AE79" i="4"/>
  <c r="AE72" i="4"/>
  <c r="AE77" i="4"/>
  <c r="AE83" i="4"/>
  <c r="AE88" i="4"/>
  <c r="AE82" i="4"/>
  <c r="AE89" i="4"/>
  <c r="AO319" i="4"/>
  <c r="AG319" i="4"/>
  <c r="AM319" i="4"/>
  <c r="AU319" i="4"/>
  <c r="BC319" i="4"/>
  <c r="AW319" i="4"/>
  <c r="AS321" i="4"/>
  <c r="AO321" i="4"/>
  <c r="BA321" i="4"/>
  <c r="AG321" i="4"/>
  <c r="AX321" i="4"/>
  <c r="AK321" i="4"/>
  <c r="AO320" i="4"/>
  <c r="AS320" i="4"/>
  <c r="AG320" i="4"/>
  <c r="AW320" i="4"/>
  <c r="AK320" i="4"/>
  <c r="BA320" i="4"/>
  <c r="AO308" i="4"/>
  <c r="AE332" i="4"/>
  <c r="AI308" i="4"/>
  <c r="AM308" i="4"/>
  <c r="AS308" i="4"/>
  <c r="AW308" i="4"/>
  <c r="BA308" i="4"/>
  <c r="AQ311" i="4"/>
  <c r="AS311" i="4"/>
  <c r="AI311" i="4"/>
  <c r="BC311" i="4"/>
  <c r="AY311" i="4"/>
  <c r="AM311" i="4"/>
  <c r="AY310" i="4"/>
  <c r="AS310" i="4"/>
  <c r="AO310" i="4"/>
  <c r="AI310" i="4"/>
  <c r="AM310" i="4"/>
  <c r="BA310" i="4"/>
  <c r="X85" i="9"/>
  <c r="AE732" i="4"/>
  <c r="AE728" i="4"/>
  <c r="AE744" i="4"/>
  <c r="AE742" i="4"/>
  <c r="AE747" i="4"/>
  <c r="AE733" i="4"/>
  <c r="AE729" i="4"/>
  <c r="AE749" i="4"/>
  <c r="AE734" i="4"/>
  <c r="AE741" i="4"/>
  <c r="AE748" i="4"/>
  <c r="AE736" i="4"/>
  <c r="AE746" i="4"/>
  <c r="AE735" i="4"/>
  <c r="AE751" i="4"/>
  <c r="AE743" i="4"/>
  <c r="AE731" i="4"/>
  <c r="AE750" i="4"/>
  <c r="AE738" i="4"/>
  <c r="AE730" i="4"/>
  <c r="AE739" i="4"/>
  <c r="AE737" i="4"/>
  <c r="AE740" i="4"/>
  <c r="AE745" i="4"/>
  <c r="AY196" i="4"/>
  <c r="AM196" i="4"/>
  <c r="AU196" i="4"/>
  <c r="AQ196" i="4"/>
  <c r="BA196" i="4"/>
  <c r="AG196" i="4"/>
  <c r="AU198" i="4"/>
  <c r="AO198" i="4"/>
  <c r="AX198" i="4"/>
  <c r="AM198" i="4"/>
  <c r="BC198" i="4"/>
  <c r="AG198" i="4"/>
  <c r="AK207" i="4"/>
  <c r="AX207" i="4"/>
  <c r="AU207" i="4"/>
  <c r="AQ207" i="4"/>
  <c r="BA207" i="4"/>
  <c r="AI207" i="4"/>
  <c r="AK211" i="4"/>
  <c r="AU211" i="4"/>
  <c r="AO211" i="4"/>
  <c r="AI211" i="4"/>
  <c r="AW211" i="4"/>
  <c r="BC211" i="4"/>
  <c r="BA208" i="4"/>
  <c r="AQ208" i="4"/>
  <c r="AU208" i="4"/>
  <c r="AI208" i="4"/>
  <c r="AY208" i="4"/>
  <c r="AK208" i="4"/>
  <c r="BC209" i="4"/>
  <c r="AK209" i="4"/>
  <c r="AO209" i="4"/>
  <c r="AY209" i="4"/>
  <c r="AU209" i="4"/>
  <c r="AI209" i="4"/>
  <c r="AU858" i="4"/>
  <c r="AG858" i="4"/>
  <c r="AO858" i="4"/>
  <c r="AX858" i="4"/>
  <c r="AM858" i="4"/>
  <c r="BC858" i="4"/>
  <c r="AU870" i="4"/>
  <c r="AI870" i="4"/>
  <c r="AO870" i="4"/>
  <c r="BC870" i="4"/>
  <c r="AK870" i="4"/>
  <c r="AX870" i="4"/>
  <c r="AU855" i="4"/>
  <c r="AM855" i="4"/>
  <c r="AG855" i="4"/>
  <c r="AQ855" i="4"/>
  <c r="BA855" i="4"/>
  <c r="AX855" i="4"/>
  <c r="AG854" i="4"/>
  <c r="AM854" i="4"/>
  <c r="AW854" i="4"/>
  <c r="AU854" i="4"/>
  <c r="AQ854" i="4"/>
  <c r="BA854" i="4"/>
  <c r="AG860" i="4"/>
  <c r="AS860" i="4"/>
  <c r="BA860" i="4"/>
  <c r="AK860" i="4"/>
  <c r="AW860" i="4"/>
  <c r="AO860" i="4"/>
  <c r="AU867" i="4"/>
  <c r="AI867" i="4"/>
  <c r="BA867" i="4"/>
  <c r="AQ867" i="4"/>
  <c r="AK867" i="4"/>
  <c r="AX867" i="4"/>
  <c r="AI283" i="4"/>
  <c r="BC283" i="4"/>
  <c r="AQ283" i="4"/>
  <c r="AM283" i="4"/>
  <c r="AS283" i="4"/>
  <c r="AW283" i="4"/>
  <c r="BA278" i="4"/>
  <c r="AE302" i="4"/>
  <c r="AI278" i="4"/>
  <c r="AM278" i="4"/>
  <c r="AO278" i="4"/>
  <c r="AW278" i="4"/>
  <c r="AS278" i="4"/>
  <c r="AO291" i="4"/>
  <c r="BA291" i="4"/>
  <c r="AG291" i="4"/>
  <c r="AX291" i="4"/>
  <c r="AS291" i="4"/>
  <c r="AK291" i="4"/>
  <c r="AY299" i="4"/>
  <c r="AO299" i="4"/>
  <c r="BC299" i="4"/>
  <c r="AI299" i="4"/>
  <c r="AK299" i="4"/>
  <c r="AU299" i="4"/>
  <c r="BC289" i="4"/>
  <c r="AO289" i="4"/>
  <c r="AU289" i="4"/>
  <c r="AW289" i="4"/>
  <c r="AG289" i="4"/>
  <c r="AM289" i="4"/>
  <c r="AM279" i="4"/>
  <c r="AI279" i="4"/>
  <c r="AS279" i="4"/>
  <c r="BA279" i="4"/>
  <c r="AO279" i="4"/>
  <c r="AX279" i="4"/>
  <c r="AM398" i="4"/>
  <c r="AI398" i="4"/>
  <c r="AW398" i="4"/>
  <c r="AO398" i="4"/>
  <c r="AE422" i="4"/>
  <c r="AS398" i="4"/>
  <c r="BA398" i="4"/>
  <c r="AI400" i="4"/>
  <c r="AM400" i="4"/>
  <c r="AO400" i="4"/>
  <c r="AY400" i="4"/>
  <c r="BA400" i="4"/>
  <c r="AS400" i="4"/>
  <c r="AW410" i="4"/>
  <c r="AS410" i="4"/>
  <c r="AO410" i="4"/>
  <c r="AK410" i="4"/>
  <c r="BA410" i="4"/>
  <c r="AG410" i="4"/>
  <c r="AG411" i="4"/>
  <c r="AK411" i="4"/>
  <c r="AO411" i="4"/>
  <c r="BA411" i="4"/>
  <c r="AS411" i="4"/>
  <c r="AX411" i="4"/>
  <c r="AI403" i="4"/>
  <c r="AW403" i="4"/>
  <c r="AQ403" i="4"/>
  <c r="AM403" i="4"/>
  <c r="BC403" i="4"/>
  <c r="AS403" i="4"/>
  <c r="AQ402" i="4"/>
  <c r="AM402" i="4"/>
  <c r="AI402" i="4"/>
  <c r="AX402" i="4"/>
  <c r="AS402" i="4"/>
  <c r="BC402" i="4"/>
  <c r="AW529" i="4"/>
  <c r="AG529" i="4"/>
  <c r="AU529" i="4"/>
  <c r="AM529" i="4"/>
  <c r="BC529" i="4"/>
  <c r="AO529" i="4"/>
  <c r="AK541" i="4"/>
  <c r="AO541" i="4"/>
  <c r="AI541" i="4"/>
  <c r="AW541" i="4"/>
  <c r="BC541" i="4"/>
  <c r="AU541" i="4"/>
  <c r="AX534" i="4"/>
  <c r="AK534" i="4"/>
  <c r="BC534" i="4"/>
  <c r="AS534" i="4"/>
  <c r="AG534" i="4"/>
  <c r="AQ534" i="4"/>
  <c r="AX531" i="4"/>
  <c r="AG531" i="4"/>
  <c r="AK531" i="4"/>
  <c r="BA531" i="4"/>
  <c r="AO531" i="4"/>
  <c r="AS531" i="4"/>
  <c r="AW536" i="4"/>
  <c r="AK536" i="4"/>
  <c r="AQ536" i="4"/>
  <c r="AI536" i="4"/>
  <c r="BA536" i="4"/>
  <c r="AU536" i="4"/>
  <c r="AU540" i="4"/>
  <c r="AX540" i="4"/>
  <c r="AK540" i="4"/>
  <c r="AI540" i="4"/>
  <c r="BC540" i="4"/>
  <c r="AO540" i="4"/>
  <c r="AO659" i="4"/>
  <c r="AU659" i="4"/>
  <c r="AI659" i="4"/>
  <c r="BC659" i="4"/>
  <c r="AK659" i="4"/>
  <c r="AY659" i="4"/>
  <c r="AG653" i="4"/>
  <c r="AQ653" i="4"/>
  <c r="AS653" i="4"/>
  <c r="BC653" i="4"/>
  <c r="AK653" i="4"/>
  <c r="AY653" i="4"/>
  <c r="AQ656" i="4"/>
  <c r="AI656" i="4"/>
  <c r="AK656" i="4"/>
  <c r="AW656" i="4"/>
  <c r="BA656" i="4"/>
  <c r="AU656" i="4"/>
  <c r="BC660" i="4"/>
  <c r="AO660" i="4"/>
  <c r="AK660" i="4"/>
  <c r="AU660" i="4"/>
  <c r="AX660" i="4"/>
  <c r="AI660" i="4"/>
  <c r="BA639" i="4"/>
  <c r="AI639" i="4"/>
  <c r="AX639" i="4"/>
  <c r="AO639" i="4"/>
  <c r="AM639" i="4"/>
  <c r="AS639" i="4"/>
  <c r="AS641" i="4"/>
  <c r="BC641" i="4"/>
  <c r="AY641" i="4"/>
  <c r="AI641" i="4"/>
  <c r="AQ641" i="4"/>
  <c r="AM641" i="4"/>
  <c r="AO29" i="4"/>
  <c r="AK29" i="4"/>
  <c r="BC29" i="4"/>
  <c r="AU29" i="4"/>
  <c r="AY29" i="4"/>
  <c r="AI29" i="4"/>
  <c r="AG19" i="4"/>
  <c r="AM19" i="4"/>
  <c r="AU19" i="4"/>
  <c r="BC19" i="4"/>
  <c r="AW19" i="4"/>
  <c r="AO19" i="4"/>
  <c r="AI31" i="4"/>
  <c r="AO31" i="4"/>
  <c r="AW31" i="4"/>
  <c r="AK31" i="4"/>
  <c r="BC31" i="4"/>
  <c r="AU31" i="4"/>
  <c r="AU26" i="4"/>
  <c r="AW26" i="4"/>
  <c r="AQ26" i="4"/>
  <c r="AK26" i="4"/>
  <c r="BA26" i="4"/>
  <c r="AI26" i="4"/>
  <c r="AQ25" i="4"/>
  <c r="AG25" i="4"/>
  <c r="BC25" i="4"/>
  <c r="AW25" i="4"/>
  <c r="AK25" i="4"/>
  <c r="AS25" i="4"/>
  <c r="AG22" i="4"/>
  <c r="AO22" i="4"/>
  <c r="AY22" i="4"/>
  <c r="BA22" i="4"/>
  <c r="AK22" i="4"/>
  <c r="AS22" i="4"/>
  <c r="M43" i="62"/>
  <c r="L44" i="62" s="1"/>
  <c r="H37" i="3" s="1"/>
  <c r="AE272" i="4"/>
  <c r="AS248" i="4"/>
  <c r="AM248" i="4"/>
  <c r="AO248" i="4"/>
  <c r="AI248" i="4"/>
  <c r="BA248" i="4"/>
  <c r="AW248" i="4"/>
  <c r="AO261" i="4"/>
  <c r="AG261" i="4"/>
  <c r="AK261" i="4"/>
  <c r="AS261" i="4"/>
  <c r="BA261" i="4"/>
  <c r="AX261" i="4"/>
  <c r="BC259" i="4"/>
  <c r="AM259" i="4"/>
  <c r="AU259" i="4"/>
  <c r="AO259" i="4"/>
  <c r="AW259" i="4"/>
  <c r="AG259" i="4"/>
  <c r="AQ255" i="4"/>
  <c r="AM255" i="4"/>
  <c r="AU255" i="4"/>
  <c r="AX255" i="4"/>
  <c r="BA255" i="4"/>
  <c r="AG255" i="4"/>
  <c r="BA254" i="4"/>
  <c r="AG254" i="4"/>
  <c r="AM254" i="4"/>
  <c r="AQ254" i="4"/>
  <c r="AU254" i="4"/>
  <c r="AW254" i="4"/>
  <c r="AS260" i="4"/>
  <c r="AO260" i="4"/>
  <c r="AK260" i="4"/>
  <c r="AW260" i="4"/>
  <c r="BA260" i="4"/>
  <c r="AG260" i="4"/>
  <c r="B10" i="57"/>
  <c r="H9" i="57"/>
  <c r="AG50" i="4"/>
  <c r="AO50" i="4"/>
  <c r="AK50" i="4"/>
  <c r="AS50" i="4"/>
  <c r="AW50" i="4"/>
  <c r="BA50" i="4"/>
  <c r="AY53" i="4"/>
  <c r="AQ53" i="4"/>
  <c r="AG53" i="4"/>
  <c r="AK53" i="4"/>
  <c r="BC53" i="4"/>
  <c r="AS53" i="4"/>
  <c r="AO38" i="4"/>
  <c r="AE62" i="4"/>
  <c r="C6" i="6" s="1"/>
  <c r="C6" i="7" s="1"/>
  <c r="C44" i="7" s="1"/>
  <c r="AI38" i="4"/>
  <c r="BA38" i="4"/>
  <c r="AM38" i="4"/>
  <c r="AS38" i="4"/>
  <c r="AW38" i="4"/>
  <c r="BC47" i="4"/>
  <c r="AG47" i="4"/>
  <c r="AM47" i="4"/>
  <c r="AY47" i="4"/>
  <c r="AO47" i="4"/>
  <c r="AU47" i="4"/>
  <c r="AU59" i="4"/>
  <c r="AO59" i="4"/>
  <c r="AK59" i="4"/>
  <c r="AI59" i="4"/>
  <c r="AY59" i="4"/>
  <c r="BC59" i="4"/>
  <c r="AQ41" i="4"/>
  <c r="AS41" i="4"/>
  <c r="AM41" i="4"/>
  <c r="AI41" i="4"/>
  <c r="BC41" i="4"/>
  <c r="AY41" i="4"/>
  <c r="Q38" i="2"/>
  <c r="Q37" i="2"/>
  <c r="AG559" i="4"/>
  <c r="BC559" i="4"/>
  <c r="AM559" i="4"/>
  <c r="AW559" i="4"/>
  <c r="AO559" i="4"/>
  <c r="AU559" i="4"/>
  <c r="AO562" i="4"/>
  <c r="AG562" i="4"/>
  <c r="BA562" i="4"/>
  <c r="AS562" i="4"/>
  <c r="AY562" i="4"/>
  <c r="AK562" i="4"/>
  <c r="AO560" i="4"/>
  <c r="AS560" i="4"/>
  <c r="AW560" i="4"/>
  <c r="AG560" i="4"/>
  <c r="BA560" i="4"/>
  <c r="AK560" i="4"/>
  <c r="AG564" i="4"/>
  <c r="AK564" i="4"/>
  <c r="AX564" i="4"/>
  <c r="BC564" i="4"/>
  <c r="AQ564" i="4"/>
  <c r="AS564" i="4"/>
  <c r="AU571" i="4"/>
  <c r="AO571" i="4"/>
  <c r="AK571" i="4"/>
  <c r="BC571" i="4"/>
  <c r="AI571" i="4"/>
  <c r="AW571" i="4"/>
  <c r="BC558" i="4"/>
  <c r="AM558" i="4"/>
  <c r="AG558" i="4"/>
  <c r="AU558" i="4"/>
  <c r="AO558" i="4"/>
  <c r="AX558" i="4"/>
  <c r="AW241" i="4"/>
  <c r="AI241" i="4"/>
  <c r="BC241" i="4"/>
  <c r="AK241" i="4"/>
  <c r="AU241" i="4"/>
  <c r="AO241" i="4"/>
  <c r="AI236" i="4"/>
  <c r="AQ236" i="4"/>
  <c r="AW236" i="4"/>
  <c r="BA236" i="4"/>
  <c r="AK236" i="4"/>
  <c r="AU236" i="4"/>
  <c r="BA219" i="4"/>
  <c r="AI219" i="4"/>
  <c r="AM219" i="4"/>
  <c r="AS219" i="4"/>
  <c r="AO219" i="4"/>
  <c r="AX219" i="4"/>
  <c r="AO228" i="4"/>
  <c r="AU228" i="4"/>
  <c r="AM228" i="4"/>
  <c r="BC228" i="4"/>
  <c r="AX228" i="4"/>
  <c r="AG228" i="4"/>
  <c r="AK230" i="4"/>
  <c r="AS230" i="4"/>
  <c r="AW230" i="4"/>
  <c r="AG230" i="4"/>
  <c r="BA230" i="4"/>
  <c r="AO230" i="4"/>
  <c r="AS232" i="4"/>
  <c r="BA232" i="4"/>
  <c r="AY232" i="4"/>
  <c r="AO232" i="4"/>
  <c r="AG232" i="4"/>
  <c r="AK232" i="4"/>
  <c r="BC601" i="4"/>
  <c r="AU601" i="4"/>
  <c r="AW601" i="4"/>
  <c r="AI601" i="4"/>
  <c r="AO601" i="4"/>
  <c r="AK601" i="4"/>
  <c r="AM578" i="4"/>
  <c r="AI578" i="4"/>
  <c r="AO578" i="4"/>
  <c r="AW578" i="4"/>
  <c r="AE602" i="4"/>
  <c r="AS578" i="4"/>
  <c r="BA578" i="4"/>
  <c r="AM580" i="4"/>
  <c r="AY580" i="4"/>
  <c r="AI580" i="4"/>
  <c r="AO580" i="4"/>
  <c r="BA580" i="4"/>
  <c r="AS580" i="4"/>
  <c r="AK600" i="4"/>
  <c r="AX600" i="4"/>
  <c r="AU600" i="4"/>
  <c r="AI600" i="4"/>
  <c r="AO600" i="4"/>
  <c r="BC600" i="4"/>
  <c r="AU587" i="4"/>
  <c r="AG587" i="4"/>
  <c r="AY587" i="4"/>
  <c r="AO587" i="4"/>
  <c r="AM587" i="4"/>
  <c r="BC587" i="4"/>
  <c r="AO591" i="4"/>
  <c r="BA591" i="4"/>
  <c r="AS591" i="4"/>
  <c r="AX591" i="4"/>
  <c r="AK591" i="4"/>
  <c r="AG591" i="4"/>
  <c r="BA668" i="4"/>
  <c r="AO668" i="4"/>
  <c r="AE692" i="4"/>
  <c r="AM668" i="4"/>
  <c r="AS668" i="4"/>
  <c r="AI668" i="4"/>
  <c r="AW668" i="4"/>
  <c r="AQ674" i="4"/>
  <c r="AM674" i="4"/>
  <c r="AW674" i="4"/>
  <c r="BA674" i="4"/>
  <c r="AG674" i="4"/>
  <c r="AU674" i="4"/>
  <c r="AI687" i="4"/>
  <c r="AK687" i="4"/>
  <c r="BA687" i="4"/>
  <c r="AQ687" i="4"/>
  <c r="AX687" i="4"/>
  <c r="AU687" i="4"/>
  <c r="AK681" i="4"/>
  <c r="AX681" i="4"/>
  <c r="BA681" i="4"/>
  <c r="AG681" i="4"/>
  <c r="AS681" i="4"/>
  <c r="AO681" i="4"/>
  <c r="AM671" i="4"/>
  <c r="AY671" i="4"/>
  <c r="AI671" i="4"/>
  <c r="AQ671" i="4"/>
  <c r="BC671" i="4"/>
  <c r="AS671" i="4"/>
  <c r="AQ675" i="4"/>
  <c r="AX675" i="4"/>
  <c r="AM675" i="4"/>
  <c r="BA675" i="4"/>
  <c r="AG675" i="4"/>
  <c r="AU675" i="4"/>
  <c r="AE825" i="4"/>
  <c r="AE840" i="4"/>
  <c r="AE838" i="4"/>
  <c r="AE824" i="4"/>
  <c r="AE822" i="4"/>
  <c r="AE818" i="4"/>
  <c r="AE832" i="4"/>
  <c r="AE830" i="4"/>
  <c r="AE829" i="4"/>
  <c r="AE835" i="4"/>
  <c r="AE827" i="4"/>
  <c r="AE820" i="4"/>
  <c r="AE834" i="4"/>
  <c r="AE837" i="4"/>
  <c r="AE826" i="4"/>
  <c r="AE836" i="4"/>
  <c r="AE823" i="4"/>
  <c r="AE821" i="4"/>
  <c r="AE819" i="4"/>
  <c r="AE831" i="4"/>
  <c r="AE833" i="4"/>
  <c r="AE839" i="4"/>
  <c r="AE828" i="4"/>
  <c r="AE841" i="4"/>
  <c r="AS383" i="4"/>
  <c r="BC383" i="4"/>
  <c r="AK383" i="4"/>
  <c r="AG383" i="4"/>
  <c r="AY383" i="4"/>
  <c r="AQ383" i="4"/>
  <c r="AO380" i="4"/>
  <c r="AK380" i="4"/>
  <c r="BA380" i="4"/>
  <c r="AW380" i="4"/>
  <c r="AG380" i="4"/>
  <c r="AS380" i="4"/>
  <c r="AM371" i="4"/>
  <c r="AQ371" i="4"/>
  <c r="BC371" i="4"/>
  <c r="AI371" i="4"/>
  <c r="AY371" i="4"/>
  <c r="AS371" i="4"/>
  <c r="AK382" i="4"/>
  <c r="AO382" i="4"/>
  <c r="BA382" i="4"/>
  <c r="AY382" i="4"/>
  <c r="AG382" i="4"/>
  <c r="AS382" i="4"/>
  <c r="AK391" i="4"/>
  <c r="BC391" i="4"/>
  <c r="AO391" i="4"/>
  <c r="AI391" i="4"/>
  <c r="AW391" i="4"/>
  <c r="AU391" i="4"/>
  <c r="AK387" i="4"/>
  <c r="BA387" i="4"/>
  <c r="AQ387" i="4"/>
  <c r="AI387" i="4"/>
  <c r="AU387" i="4"/>
  <c r="AX387" i="4"/>
  <c r="BA177" i="4"/>
  <c r="AI177" i="4"/>
  <c r="AX177" i="4"/>
  <c r="AU177" i="4"/>
  <c r="AK177" i="4"/>
  <c r="AQ177" i="4"/>
  <c r="AI163" i="4"/>
  <c r="AQ163" i="4"/>
  <c r="AW163" i="4"/>
  <c r="AS163" i="4"/>
  <c r="BC163" i="4"/>
  <c r="AM163" i="4"/>
  <c r="AM158" i="4"/>
  <c r="AI158" i="4"/>
  <c r="AS158" i="4"/>
  <c r="AE182" i="4"/>
  <c r="AO158" i="4"/>
  <c r="AW158" i="4"/>
  <c r="BA158" i="4"/>
  <c r="AO172" i="4"/>
  <c r="AK172" i="4"/>
  <c r="AG172" i="4"/>
  <c r="BA172" i="4"/>
  <c r="AS172" i="4"/>
  <c r="AY172" i="4"/>
  <c r="AQ166" i="4"/>
  <c r="AY166" i="4"/>
  <c r="BA166" i="4"/>
  <c r="AG166" i="4"/>
  <c r="AM166" i="4"/>
  <c r="AU166" i="4"/>
  <c r="AS171" i="4"/>
  <c r="AX171" i="4"/>
  <c r="AO171" i="4"/>
  <c r="AK171" i="4"/>
  <c r="BA171" i="4"/>
  <c r="AG171" i="4"/>
  <c r="AK812" i="4"/>
  <c r="AO629" i="4"/>
  <c r="AY629" i="4"/>
  <c r="AI629" i="4"/>
  <c r="AK629" i="4"/>
  <c r="BC629" i="4"/>
  <c r="AU629" i="4"/>
  <c r="AW631" i="4"/>
  <c r="AI631" i="4"/>
  <c r="AK631" i="4"/>
  <c r="AO631" i="4"/>
  <c r="AU631" i="4"/>
  <c r="BC631" i="4"/>
  <c r="AK621" i="4"/>
  <c r="AG621" i="4"/>
  <c r="BA621" i="4"/>
  <c r="AO621" i="4"/>
  <c r="AX621" i="4"/>
  <c r="AS621" i="4"/>
  <c r="AQ628" i="4"/>
  <c r="AK628" i="4"/>
  <c r="AY628" i="4"/>
  <c r="AI628" i="4"/>
  <c r="AU628" i="4"/>
  <c r="BA628" i="4"/>
  <c r="AY622" i="4"/>
  <c r="AO622" i="4"/>
  <c r="AG622" i="4"/>
  <c r="AS622" i="4"/>
  <c r="BA622" i="4"/>
  <c r="AK622" i="4"/>
  <c r="AS609" i="4"/>
  <c r="AI609" i="4"/>
  <c r="AO609" i="4"/>
  <c r="AX609" i="4"/>
  <c r="BA609" i="4"/>
  <c r="AM609" i="4"/>
  <c r="AP66" i="63"/>
  <c r="AO66" i="63"/>
  <c r="AU329" i="4"/>
  <c r="AK329" i="4"/>
  <c r="AI329" i="4"/>
  <c r="BC329" i="4"/>
  <c r="AO329" i="4"/>
  <c r="AY329" i="4"/>
  <c r="AU314" i="4"/>
  <c r="AW314" i="4"/>
  <c r="AQ314" i="4"/>
  <c r="AG314" i="4"/>
  <c r="BA314" i="4"/>
  <c r="AM314" i="4"/>
  <c r="AQ312" i="4"/>
  <c r="AS312" i="4"/>
  <c r="AX312" i="4"/>
  <c r="AI312" i="4"/>
  <c r="BC312" i="4"/>
  <c r="AM312" i="4"/>
  <c r="AQ327" i="4"/>
  <c r="AI327" i="4"/>
  <c r="AU327" i="4"/>
  <c r="AK327" i="4"/>
  <c r="BA327" i="4"/>
  <c r="AX327" i="4"/>
  <c r="AX318" i="4"/>
  <c r="AG318" i="4"/>
  <c r="AO318" i="4"/>
  <c r="AM318" i="4"/>
  <c r="AU318" i="4"/>
  <c r="BC318" i="4"/>
  <c r="AI313" i="4"/>
  <c r="AQ313" i="4"/>
  <c r="BC313" i="4"/>
  <c r="AW313" i="4"/>
  <c r="AM313" i="4"/>
  <c r="AS313" i="4"/>
  <c r="X83" i="9"/>
  <c r="AS191" i="4"/>
  <c r="AQ191" i="4"/>
  <c r="AM191" i="4"/>
  <c r="AY191" i="4"/>
  <c r="BC191" i="4"/>
  <c r="AI191" i="4"/>
  <c r="AQ193" i="4"/>
  <c r="AS193" i="4"/>
  <c r="AM193" i="4"/>
  <c r="AW193" i="4"/>
  <c r="BC193" i="4"/>
  <c r="AI193" i="4"/>
  <c r="AK205" i="4"/>
  <c r="AS205" i="4"/>
  <c r="BC205" i="4"/>
  <c r="AW205" i="4"/>
  <c r="AQ205" i="4"/>
  <c r="AG205" i="4"/>
  <c r="AQ203" i="4"/>
  <c r="AS203" i="4"/>
  <c r="AY203" i="4"/>
  <c r="AK203" i="4"/>
  <c r="BC203" i="4"/>
  <c r="AG203" i="4"/>
  <c r="BA200" i="4"/>
  <c r="AO200" i="4"/>
  <c r="AW200" i="4"/>
  <c r="AG200" i="4"/>
  <c r="AS200" i="4"/>
  <c r="AK200" i="4"/>
  <c r="AW206" i="4"/>
  <c r="BA206" i="4"/>
  <c r="AK206" i="4"/>
  <c r="AQ206" i="4"/>
  <c r="AU206" i="4"/>
  <c r="AI206" i="4"/>
  <c r="AI853" i="4"/>
  <c r="BC853" i="4"/>
  <c r="AM853" i="4"/>
  <c r="AQ853" i="4"/>
  <c r="AW853" i="4"/>
  <c r="AS853" i="4"/>
  <c r="AK869" i="4"/>
  <c r="AO869" i="4"/>
  <c r="BC869" i="4"/>
  <c r="AY869" i="4"/>
  <c r="AI869" i="4"/>
  <c r="AU869" i="4"/>
  <c r="AX852" i="4"/>
  <c r="AQ852" i="4"/>
  <c r="AS852" i="4"/>
  <c r="AI852" i="4"/>
  <c r="BC852" i="4"/>
  <c r="AM852" i="4"/>
  <c r="AI851" i="4"/>
  <c r="AQ851" i="4"/>
  <c r="AM851" i="4"/>
  <c r="AS851" i="4"/>
  <c r="BC851" i="4"/>
  <c r="AY851" i="4"/>
  <c r="AX864" i="4"/>
  <c r="AQ864" i="4"/>
  <c r="AK864" i="4"/>
  <c r="AS864" i="4"/>
  <c r="AG864" i="4"/>
  <c r="BC864" i="4"/>
  <c r="AQ868" i="4"/>
  <c r="AI868" i="4"/>
  <c r="AY868" i="4"/>
  <c r="AU868" i="4"/>
  <c r="BA868" i="4"/>
  <c r="AK868" i="4"/>
  <c r="BA284" i="4"/>
  <c r="AU284" i="4"/>
  <c r="AW284" i="4"/>
  <c r="AQ284" i="4"/>
  <c r="AM284" i="4"/>
  <c r="AG284" i="4"/>
  <c r="AM286" i="4"/>
  <c r="BA286" i="4"/>
  <c r="AU286" i="4"/>
  <c r="AY286" i="4"/>
  <c r="AG286" i="4"/>
  <c r="AQ286" i="4"/>
  <c r="BC294" i="4"/>
  <c r="AX294" i="4"/>
  <c r="AS294" i="4"/>
  <c r="AG294" i="4"/>
  <c r="AQ294" i="4"/>
  <c r="AK294" i="4"/>
  <c r="BC301" i="4"/>
  <c r="AI301" i="4"/>
  <c r="AW301" i="4"/>
  <c r="AO301" i="4"/>
  <c r="AK301" i="4"/>
  <c r="AU301" i="4"/>
  <c r="BC288" i="4"/>
  <c r="AU288" i="4"/>
  <c r="AM288" i="4"/>
  <c r="AG288" i="4"/>
  <c r="AX288" i="4"/>
  <c r="AO288" i="4"/>
  <c r="BA290" i="4"/>
  <c r="AK290" i="4"/>
  <c r="AS290" i="4"/>
  <c r="AW290" i="4"/>
  <c r="AG290" i="4"/>
  <c r="AO290" i="4"/>
  <c r="AO399" i="4"/>
  <c r="AX399" i="4"/>
  <c r="AM399" i="4"/>
  <c r="BA399" i="4"/>
  <c r="AI399" i="4"/>
  <c r="AS399" i="4"/>
  <c r="AU420" i="4"/>
  <c r="AX420" i="4"/>
  <c r="AO420" i="4"/>
  <c r="AI420" i="4"/>
  <c r="AK420" i="4"/>
  <c r="BC420" i="4"/>
  <c r="AK416" i="4"/>
  <c r="AI416" i="4"/>
  <c r="AQ416" i="4"/>
  <c r="AW416" i="4"/>
  <c r="BA416" i="4"/>
  <c r="AU416" i="4"/>
  <c r="AY418" i="4"/>
  <c r="AK418" i="4"/>
  <c r="AI418" i="4"/>
  <c r="AQ418" i="4"/>
  <c r="AU418" i="4"/>
  <c r="BA418" i="4"/>
  <c r="AY407" i="4"/>
  <c r="AG407" i="4"/>
  <c r="AO407" i="4"/>
  <c r="AM407" i="4"/>
  <c r="AU407" i="4"/>
  <c r="BC407" i="4"/>
  <c r="AO409" i="4"/>
  <c r="AW409" i="4"/>
  <c r="AM409" i="4"/>
  <c r="AG409" i="4"/>
  <c r="BC409" i="4"/>
  <c r="AU409" i="4"/>
  <c r="AV85" i="9"/>
  <c r="AG532" i="4"/>
  <c r="BA532" i="4"/>
  <c r="AK532" i="4"/>
  <c r="AY532" i="4"/>
  <c r="AO532" i="4"/>
  <c r="AS532" i="4"/>
  <c r="BC535" i="4"/>
  <c r="AW535" i="4"/>
  <c r="AG535" i="4"/>
  <c r="AQ535" i="4"/>
  <c r="AK535" i="4"/>
  <c r="AS535" i="4"/>
  <c r="AU524" i="4"/>
  <c r="AG524" i="4"/>
  <c r="AM524" i="4"/>
  <c r="AW524" i="4"/>
  <c r="BA524" i="4"/>
  <c r="AQ524" i="4"/>
  <c r="AX528" i="4"/>
  <c r="AU528" i="4"/>
  <c r="AG528" i="4"/>
  <c r="BC528" i="4"/>
  <c r="AM528" i="4"/>
  <c r="AO528" i="4"/>
  <c r="AM520" i="4"/>
  <c r="AI520" i="4"/>
  <c r="AY520" i="4"/>
  <c r="AO520" i="4"/>
  <c r="AS520" i="4"/>
  <c r="BA520" i="4"/>
  <c r="AM522" i="4"/>
  <c r="AQ522" i="4"/>
  <c r="AI522" i="4"/>
  <c r="BC522" i="4"/>
  <c r="AX522" i="4"/>
  <c r="AS522" i="4"/>
  <c r="AS652" i="4"/>
  <c r="BA652" i="4"/>
  <c r="AO652" i="4"/>
  <c r="AK652" i="4"/>
  <c r="AG652" i="4"/>
  <c r="AY652" i="4"/>
  <c r="AU648" i="4"/>
  <c r="AO648" i="4"/>
  <c r="AX648" i="4"/>
  <c r="BC648" i="4"/>
  <c r="AG648" i="4"/>
  <c r="AM648" i="4"/>
  <c r="AM644" i="4"/>
  <c r="AU644" i="4"/>
  <c r="BA644" i="4"/>
  <c r="AW644" i="4"/>
  <c r="AG644" i="4"/>
  <c r="AQ644" i="4"/>
  <c r="AO661" i="4"/>
  <c r="BC661" i="4"/>
  <c r="AW661" i="4"/>
  <c r="AI661" i="4"/>
  <c r="AK661" i="4"/>
  <c r="AU661" i="4"/>
  <c r="AS650" i="4"/>
  <c r="AO650" i="4"/>
  <c r="BA650" i="4"/>
  <c r="AG650" i="4"/>
  <c r="AW650" i="4"/>
  <c r="AK650" i="4"/>
  <c r="AM649" i="4"/>
  <c r="AG649" i="4"/>
  <c r="BC649" i="4"/>
  <c r="AW649" i="4"/>
  <c r="AU649" i="4"/>
  <c r="AO649" i="4"/>
  <c r="AG24" i="4"/>
  <c r="AK24" i="4"/>
  <c r="AS24" i="4"/>
  <c r="AQ24" i="4"/>
  <c r="AX24" i="4"/>
  <c r="BC24" i="4"/>
  <c r="BC12" i="4"/>
  <c r="AM12" i="4"/>
  <c r="AQ12" i="4"/>
  <c r="AX12" i="4"/>
  <c r="AI12" i="4"/>
  <c r="AS12" i="4"/>
  <c r="AU15" i="4"/>
  <c r="BA15" i="4"/>
  <c r="AX15" i="4"/>
  <c r="AG15" i="4"/>
  <c r="AQ15" i="4"/>
  <c r="AM15" i="4"/>
  <c r="AS9" i="4"/>
  <c r="AI9" i="4"/>
  <c r="BA9" i="4"/>
  <c r="AM9" i="4"/>
  <c r="AO9" i="4"/>
  <c r="AX9" i="4"/>
  <c r="AQ13" i="4"/>
  <c r="BC13" i="4"/>
  <c r="AI13" i="4"/>
  <c r="AS13" i="4"/>
  <c r="AM13" i="4"/>
  <c r="AW13" i="4"/>
  <c r="AY10" i="4"/>
  <c r="AS10" i="4"/>
  <c r="AI10" i="4"/>
  <c r="BA10" i="4"/>
  <c r="AM10" i="4"/>
  <c r="AO10" i="4"/>
  <c r="AO249" i="4"/>
  <c r="BA249" i="4"/>
  <c r="AI249" i="4"/>
  <c r="AX249" i="4"/>
  <c r="AS249" i="4"/>
  <c r="AM249" i="4"/>
  <c r="AS253" i="4"/>
  <c r="AQ253" i="4"/>
  <c r="AI253" i="4"/>
  <c r="AM253" i="4"/>
  <c r="BC253" i="4"/>
  <c r="AW253" i="4"/>
  <c r="AS263" i="4"/>
  <c r="AQ263" i="4"/>
  <c r="BC263" i="4"/>
  <c r="AG263" i="4"/>
  <c r="AY263" i="4"/>
  <c r="AK263" i="4"/>
  <c r="BC269" i="4"/>
  <c r="AY269" i="4"/>
  <c r="AI269" i="4"/>
  <c r="AK269" i="4"/>
  <c r="AO269" i="4"/>
  <c r="AU269" i="4"/>
  <c r="AU257" i="4"/>
  <c r="BC257" i="4"/>
  <c r="AY257" i="4"/>
  <c r="AO257" i="4"/>
  <c r="AM257" i="4"/>
  <c r="AG257" i="4"/>
  <c r="BC252" i="4"/>
  <c r="AM252" i="4"/>
  <c r="AS252" i="4"/>
  <c r="AQ252" i="4"/>
  <c r="AX252" i="4"/>
  <c r="AI252" i="4"/>
  <c r="AY46" i="4"/>
  <c r="BA46" i="4"/>
  <c r="AQ46" i="4"/>
  <c r="AM46" i="4"/>
  <c r="AU46" i="4"/>
  <c r="AG46" i="4"/>
  <c r="AY52" i="4"/>
  <c r="AG52" i="4"/>
  <c r="AO52" i="4"/>
  <c r="AS52" i="4"/>
  <c r="BA52" i="4"/>
  <c r="AK52" i="4"/>
  <c r="AI39" i="4"/>
  <c r="BA39" i="4"/>
  <c r="AM39" i="4"/>
  <c r="AS39" i="4"/>
  <c r="AX39" i="4"/>
  <c r="AO39" i="4"/>
  <c r="AG48" i="4"/>
  <c r="AO48" i="4"/>
  <c r="AM48" i="4"/>
  <c r="AX48" i="4"/>
  <c r="AU48" i="4"/>
  <c r="BC48" i="4"/>
  <c r="AQ56" i="4"/>
  <c r="AU56" i="4"/>
  <c r="AK56" i="4"/>
  <c r="BA56" i="4"/>
  <c r="AW56" i="4"/>
  <c r="AI56" i="4"/>
  <c r="AI42" i="4"/>
  <c r="AX42" i="4"/>
  <c r="AQ42" i="4"/>
  <c r="AS42" i="4"/>
  <c r="AM42" i="4"/>
  <c r="BC42" i="4"/>
  <c r="AE766" i="4"/>
  <c r="AE762" i="4"/>
  <c r="AE773" i="4"/>
  <c r="AE768" i="4"/>
  <c r="AE774" i="4"/>
  <c r="AE771" i="4"/>
  <c r="AE765" i="4"/>
  <c r="AE764" i="4"/>
  <c r="AE776" i="4"/>
  <c r="AE763" i="4"/>
  <c r="AE780" i="4"/>
  <c r="AE781" i="4"/>
  <c r="AE758" i="4"/>
  <c r="AE775" i="4"/>
  <c r="AE759" i="4"/>
  <c r="AE761" i="4"/>
  <c r="AE760" i="4"/>
  <c r="AE777" i="4"/>
  <c r="AE769" i="4"/>
  <c r="AE779" i="4"/>
  <c r="AE767" i="4"/>
  <c r="AE772" i="4"/>
  <c r="AE778" i="4"/>
  <c r="AE770" i="4"/>
  <c r="H8" i="56"/>
  <c r="B9" i="56"/>
  <c r="BC553" i="4"/>
  <c r="AS553" i="4"/>
  <c r="AI553" i="4"/>
  <c r="AQ553" i="4"/>
  <c r="AM553" i="4"/>
  <c r="AW553" i="4"/>
  <c r="AK563" i="4"/>
  <c r="AS563" i="4"/>
  <c r="AY563" i="4"/>
  <c r="BC563" i="4"/>
  <c r="AG563" i="4"/>
  <c r="AQ563" i="4"/>
  <c r="BA554" i="4"/>
  <c r="AG554" i="4"/>
  <c r="AU554" i="4"/>
  <c r="AW554" i="4"/>
  <c r="AQ554" i="4"/>
  <c r="AM554" i="4"/>
  <c r="BC570" i="4"/>
  <c r="AI570" i="4"/>
  <c r="AO570" i="4"/>
  <c r="AU570" i="4"/>
  <c r="AX570" i="4"/>
  <c r="AK570" i="4"/>
  <c r="AK565" i="4"/>
  <c r="BC565" i="4"/>
  <c r="AW565" i="4"/>
  <c r="AS565" i="4"/>
  <c r="AG565" i="4"/>
  <c r="AQ565" i="4"/>
  <c r="AQ552" i="4"/>
  <c r="AM552" i="4"/>
  <c r="AI552" i="4"/>
  <c r="AS552" i="4"/>
  <c r="BC552" i="4"/>
  <c r="AX552" i="4"/>
  <c r="AY221" i="4"/>
  <c r="AQ221" i="4"/>
  <c r="AM221" i="4"/>
  <c r="AI221" i="4"/>
  <c r="AS221" i="4"/>
  <c r="BC221" i="4"/>
  <c r="AU237" i="4"/>
  <c r="AI237" i="4"/>
  <c r="AQ237" i="4"/>
  <c r="AK237" i="4"/>
  <c r="BA237" i="4"/>
  <c r="AX237" i="4"/>
  <c r="AY226" i="4"/>
  <c r="BA226" i="4"/>
  <c r="AQ226" i="4"/>
  <c r="AU226" i="4"/>
  <c r="AG226" i="4"/>
  <c r="AM226" i="4"/>
  <c r="AS223" i="4"/>
  <c r="BC223" i="4"/>
  <c r="AI223" i="4"/>
  <c r="AQ223" i="4"/>
  <c r="AM223" i="4"/>
  <c r="AW223" i="4"/>
  <c r="BC239" i="4"/>
  <c r="AO239" i="4"/>
  <c r="AU239" i="4"/>
  <c r="AI239" i="4"/>
  <c r="AK239" i="4"/>
  <c r="AY239" i="4"/>
  <c r="AY233" i="4"/>
  <c r="AG233" i="4"/>
  <c r="AQ233" i="4"/>
  <c r="AK233" i="4"/>
  <c r="AS233" i="4"/>
  <c r="BC233" i="4"/>
  <c r="AK592" i="4"/>
  <c r="AS592" i="4"/>
  <c r="AY592" i="4"/>
  <c r="AO592" i="4"/>
  <c r="AG592" i="4"/>
  <c r="BA592" i="4"/>
  <c r="AM579" i="4"/>
  <c r="AI579" i="4"/>
  <c r="AX579" i="4"/>
  <c r="AO579" i="4"/>
  <c r="AS579" i="4"/>
  <c r="BA579" i="4"/>
  <c r="AX588" i="4"/>
  <c r="AO588" i="4"/>
  <c r="BC588" i="4"/>
  <c r="AU588" i="4"/>
  <c r="AG588" i="4"/>
  <c r="AM588" i="4"/>
  <c r="AY581" i="4"/>
  <c r="AQ581" i="4"/>
  <c r="AS581" i="4"/>
  <c r="BC581" i="4"/>
  <c r="AI581" i="4"/>
  <c r="AM581" i="4"/>
  <c r="AQ583" i="4"/>
  <c r="AS583" i="4"/>
  <c r="AM583" i="4"/>
  <c r="AW583" i="4"/>
  <c r="BC583" i="4"/>
  <c r="AI583" i="4"/>
  <c r="AQ595" i="4"/>
  <c r="AK595" i="4"/>
  <c r="AW595" i="4"/>
  <c r="AS595" i="4"/>
  <c r="AG595" i="4"/>
  <c r="BC595" i="4"/>
  <c r="AY677" i="4"/>
  <c r="BC677" i="4"/>
  <c r="AG677" i="4"/>
  <c r="AO677" i="4"/>
  <c r="AU677" i="4"/>
  <c r="AM677" i="4"/>
  <c r="BC683" i="4"/>
  <c r="AQ683" i="4"/>
  <c r="AK683" i="4"/>
  <c r="AY683" i="4"/>
  <c r="AG683" i="4"/>
  <c r="AS683" i="4"/>
  <c r="AI689" i="4"/>
  <c r="AY689" i="4"/>
  <c r="AU689" i="4"/>
  <c r="AO689" i="4"/>
  <c r="BC689" i="4"/>
  <c r="AK689" i="4"/>
  <c r="AI672" i="4"/>
  <c r="BC672" i="4"/>
  <c r="AX672" i="4"/>
  <c r="AS672" i="4"/>
  <c r="AQ672" i="4"/>
  <c r="AM672" i="4"/>
  <c r="BC678" i="4"/>
  <c r="AG678" i="4"/>
  <c r="AO678" i="4"/>
  <c r="AM678" i="4"/>
  <c r="AX678" i="4"/>
  <c r="AU678" i="4"/>
  <c r="AI673" i="4"/>
  <c r="AS673" i="4"/>
  <c r="AM673" i="4"/>
  <c r="BC673" i="4"/>
  <c r="AQ673" i="4"/>
  <c r="AW673" i="4"/>
  <c r="BC372" i="4"/>
  <c r="AQ372" i="4"/>
  <c r="AX372" i="4"/>
  <c r="AI372" i="4"/>
  <c r="AM372" i="4"/>
  <c r="AS372" i="4"/>
  <c r="BC389" i="4"/>
  <c r="AK389" i="4"/>
  <c r="AO389" i="4"/>
  <c r="AU389" i="4"/>
  <c r="AI389" i="4"/>
  <c r="AY389" i="4"/>
  <c r="BC373" i="4"/>
  <c r="AM373" i="4"/>
  <c r="AS373" i="4"/>
  <c r="AQ373" i="4"/>
  <c r="AI373" i="4"/>
  <c r="AW373" i="4"/>
  <c r="AO377" i="4"/>
  <c r="BC377" i="4"/>
  <c r="AU377" i="4"/>
  <c r="AM377" i="4"/>
  <c r="AY377" i="4"/>
  <c r="AG377" i="4"/>
  <c r="BA388" i="4"/>
  <c r="AQ388" i="4"/>
  <c r="AY388" i="4"/>
  <c r="AK388" i="4"/>
  <c r="AI388" i="4"/>
  <c r="AU388" i="4"/>
  <c r="BC390" i="4"/>
  <c r="AO390" i="4"/>
  <c r="AK390" i="4"/>
  <c r="AU390" i="4"/>
  <c r="AX390" i="4"/>
  <c r="AI390" i="4"/>
  <c r="BC161" i="4"/>
  <c r="AI161" i="4"/>
  <c r="AY161" i="4"/>
  <c r="AS161" i="4"/>
  <c r="AM161" i="4"/>
  <c r="AQ161" i="4"/>
  <c r="AU181" i="4"/>
  <c r="AK181" i="4"/>
  <c r="AO181" i="4"/>
  <c r="BC181" i="4"/>
  <c r="AI181" i="4"/>
  <c r="AW181" i="4"/>
  <c r="AG173" i="4"/>
  <c r="BC173" i="4"/>
  <c r="AS173" i="4"/>
  <c r="AK173" i="4"/>
  <c r="AY173" i="4"/>
  <c r="AQ173" i="4"/>
  <c r="AQ164" i="4"/>
  <c r="AW164" i="4"/>
  <c r="AU164" i="4"/>
  <c r="AG164" i="4"/>
  <c r="BA164" i="4"/>
  <c r="AM164" i="4"/>
  <c r="BA178" i="4"/>
  <c r="AI178" i="4"/>
  <c r="AU178" i="4"/>
  <c r="AY178" i="4"/>
  <c r="AQ178" i="4"/>
  <c r="AK178" i="4"/>
  <c r="BC168" i="4"/>
  <c r="AG168" i="4"/>
  <c r="AO168" i="4"/>
  <c r="AU168" i="4"/>
  <c r="AM168" i="4"/>
  <c r="AX168" i="4"/>
  <c r="AI612" i="4"/>
  <c r="AM612" i="4"/>
  <c r="AX612" i="4"/>
  <c r="AQ612" i="4"/>
  <c r="BC612" i="4"/>
  <c r="AS612" i="4"/>
  <c r="BC630" i="4"/>
  <c r="AX630" i="4"/>
  <c r="AO630" i="4"/>
  <c r="AI630" i="4"/>
  <c r="AU630" i="4"/>
  <c r="AK630" i="4"/>
  <c r="AO610" i="4"/>
  <c r="BA610" i="4"/>
  <c r="AI610" i="4"/>
  <c r="AM610" i="4"/>
  <c r="AS610" i="4"/>
  <c r="AY610" i="4"/>
  <c r="AO620" i="4"/>
  <c r="AG620" i="4"/>
  <c r="AW620" i="4"/>
  <c r="AK620" i="4"/>
  <c r="AS620" i="4"/>
  <c r="BA620" i="4"/>
  <c r="AO617" i="4"/>
  <c r="AG617" i="4"/>
  <c r="AY617" i="4"/>
  <c r="BC617" i="4"/>
  <c r="AU617" i="4"/>
  <c r="AM617" i="4"/>
  <c r="AX624" i="4"/>
  <c r="AQ624" i="4"/>
  <c r="AG624" i="4"/>
  <c r="AS624" i="4"/>
  <c r="BC624" i="4"/>
  <c r="AK624" i="4"/>
  <c r="AX315" i="4"/>
  <c r="AG315" i="4"/>
  <c r="AQ315" i="4"/>
  <c r="AM315" i="4"/>
  <c r="AU315" i="4"/>
  <c r="BA315" i="4"/>
  <c r="AU316" i="4"/>
  <c r="AM316" i="4"/>
  <c r="AQ316" i="4"/>
  <c r="AG316" i="4"/>
  <c r="BA316" i="4"/>
  <c r="AY316" i="4"/>
  <c r="AO331" i="4"/>
  <c r="AU331" i="4"/>
  <c r="AK331" i="4"/>
  <c r="AI331" i="4"/>
  <c r="AW331" i="4"/>
  <c r="BC331" i="4"/>
  <c r="AQ324" i="4"/>
  <c r="AS324" i="4"/>
  <c r="AX324" i="4"/>
  <c r="AG324" i="4"/>
  <c r="AK324" i="4"/>
  <c r="BC324" i="4"/>
  <c r="AS323" i="4"/>
  <c r="BC323" i="4"/>
  <c r="AK323" i="4"/>
  <c r="AQ323" i="4"/>
  <c r="AG323" i="4"/>
  <c r="AY323" i="4"/>
  <c r="AS322" i="4"/>
  <c r="AK322" i="4"/>
  <c r="AG322" i="4"/>
  <c r="AO322" i="4"/>
  <c r="AY322" i="4"/>
  <c r="BA322" i="4"/>
  <c r="AS188" i="4"/>
  <c r="AO188" i="4"/>
  <c r="AE212" i="4"/>
  <c r="AM188" i="4"/>
  <c r="AW188" i="4"/>
  <c r="AI188" i="4"/>
  <c r="BA188" i="4"/>
  <c r="BC210" i="4"/>
  <c r="AO210" i="4"/>
  <c r="AK210" i="4"/>
  <c r="AU210" i="4"/>
  <c r="AX210" i="4"/>
  <c r="AI210" i="4"/>
  <c r="BA189" i="4"/>
  <c r="AS189" i="4"/>
  <c r="AO189" i="4"/>
  <c r="AM189" i="4"/>
  <c r="AX189" i="4"/>
  <c r="AI189" i="4"/>
  <c r="AW199" i="4"/>
  <c r="AO199" i="4"/>
  <c r="AU199" i="4"/>
  <c r="BC199" i="4"/>
  <c r="AM199" i="4"/>
  <c r="AG199" i="4"/>
  <c r="AS202" i="4"/>
  <c r="AO202" i="4"/>
  <c r="AK202" i="4"/>
  <c r="AY202" i="4"/>
  <c r="AG202" i="4"/>
  <c r="BA202" i="4"/>
  <c r="BC192" i="4"/>
  <c r="AQ192" i="4"/>
  <c r="AS192" i="4"/>
  <c r="AM192" i="4"/>
  <c r="AX192" i="4"/>
  <c r="AI192" i="4"/>
  <c r="AI866" i="4"/>
  <c r="AW866" i="4"/>
  <c r="BA866" i="4"/>
  <c r="AQ866" i="4"/>
  <c r="AU866" i="4"/>
  <c r="AK866" i="4"/>
  <c r="AS865" i="4"/>
  <c r="AW865" i="4"/>
  <c r="BC865" i="4"/>
  <c r="AK865" i="4"/>
  <c r="AQ865" i="4"/>
  <c r="AG865" i="4"/>
  <c r="AM857" i="4"/>
  <c r="BC857" i="4"/>
  <c r="AU857" i="4"/>
  <c r="AG857" i="4"/>
  <c r="AY857" i="4"/>
  <c r="AO857" i="4"/>
  <c r="BA861" i="4"/>
  <c r="AK861" i="4"/>
  <c r="AG861" i="4"/>
  <c r="AS861" i="4"/>
  <c r="AO861" i="4"/>
  <c r="AX861" i="4"/>
  <c r="AI848" i="4"/>
  <c r="AE872" i="4"/>
  <c r="BA848" i="4"/>
  <c r="AM848" i="4"/>
  <c r="AW848" i="4"/>
  <c r="AS848" i="4"/>
  <c r="AO848" i="4"/>
  <c r="BA856" i="4"/>
  <c r="AQ856" i="4"/>
  <c r="AY856" i="4"/>
  <c r="AU856" i="4"/>
  <c r="AM856" i="4"/>
  <c r="AG856" i="4"/>
  <c r="AX285" i="4"/>
  <c r="BA285" i="4"/>
  <c r="AQ285" i="4"/>
  <c r="AM285" i="4"/>
  <c r="AU285" i="4"/>
  <c r="AG285" i="4"/>
  <c r="BC293" i="4"/>
  <c r="AG293" i="4"/>
  <c r="AK293" i="4"/>
  <c r="AS293" i="4"/>
  <c r="AQ293" i="4"/>
  <c r="AY293" i="4"/>
  <c r="BA297" i="4"/>
  <c r="AX297" i="4"/>
  <c r="AK297" i="4"/>
  <c r="AU297" i="4"/>
  <c r="AI297" i="4"/>
  <c r="AQ297" i="4"/>
  <c r="BC282" i="4"/>
  <c r="AQ282" i="4"/>
  <c r="AX282" i="4"/>
  <c r="AS282" i="4"/>
  <c r="AM282" i="4"/>
  <c r="AI282" i="4"/>
  <c r="AY298" i="4"/>
  <c r="BA298" i="4"/>
  <c r="AQ298" i="4"/>
  <c r="AK298" i="4"/>
  <c r="AU298" i="4"/>
  <c r="AI298" i="4"/>
  <c r="AU296" i="4"/>
  <c r="BA296" i="4"/>
  <c r="AK296" i="4"/>
  <c r="AQ296" i="4"/>
  <c r="AI296" i="4"/>
  <c r="AW296" i="4"/>
  <c r="C10" i="6" l="1"/>
  <c r="C10" i="7" s="1"/>
  <c r="C48" i="7" s="1"/>
  <c r="BA812" i="4"/>
  <c r="AM812" i="4"/>
  <c r="AQ812" i="4"/>
  <c r="BA512" i="4"/>
  <c r="AU512" i="4"/>
  <c r="AO512" i="4"/>
  <c r="AI812" i="4"/>
  <c r="AI512" i="4"/>
  <c r="AI872" i="4"/>
  <c r="AY512" i="4"/>
  <c r="AW512" i="4"/>
  <c r="AK512" i="4"/>
  <c r="AQ512" i="4"/>
  <c r="BC512" i="4"/>
  <c r="AS512" i="4"/>
  <c r="BV47" i="9"/>
  <c r="B9" i="33"/>
  <c r="BP80" i="9"/>
  <c r="B9" i="32"/>
  <c r="B9" i="34"/>
  <c r="B9" i="31"/>
  <c r="AY812" i="4"/>
  <c r="BC812" i="4"/>
  <c r="B12" i="3"/>
  <c r="AD184" i="4"/>
  <c r="AC212" i="4" s="1"/>
  <c r="B162" i="63"/>
  <c r="B11" i="6"/>
  <c r="X148" i="62"/>
  <c r="B10" i="7"/>
  <c r="B48" i="7"/>
  <c r="H9" i="9"/>
  <c r="AL9" i="9"/>
  <c r="AF42" i="9"/>
  <c r="BD75" i="9"/>
  <c r="Z9" i="9"/>
  <c r="CB42" i="9"/>
  <c r="H42" i="9"/>
  <c r="T75" i="9"/>
  <c r="H75" i="9"/>
  <c r="AR9" i="9"/>
  <c r="Z42" i="9"/>
  <c r="Z75" i="9"/>
  <c r="BJ75" i="9"/>
  <c r="B9" i="9"/>
  <c r="BD9" i="9"/>
  <c r="T9" i="9"/>
  <c r="BP42" i="9"/>
  <c r="AL75" i="9"/>
  <c r="BJ42" i="9"/>
  <c r="CB75" i="9"/>
  <c r="BV75" i="9"/>
  <c r="AR75" i="9"/>
  <c r="B42" i="9"/>
  <c r="AR42" i="9"/>
  <c r="AL42" i="9"/>
  <c r="N42" i="9"/>
  <c r="BD42" i="9"/>
  <c r="AF75" i="9"/>
  <c r="N75" i="9"/>
  <c r="BV9" i="9"/>
  <c r="T42" i="9"/>
  <c r="BJ9" i="9"/>
  <c r="BP9" i="9"/>
  <c r="B75" i="9"/>
  <c r="CB9" i="9"/>
  <c r="AF9" i="9"/>
  <c r="AX9" i="9"/>
  <c r="AX42" i="9" s="1"/>
  <c r="AX75" i="9" s="1"/>
  <c r="N9" i="9"/>
  <c r="BA482" i="4"/>
  <c r="AK662" i="4"/>
  <c r="AG542" i="4"/>
  <c r="AU482" i="4"/>
  <c r="AO482" i="4"/>
  <c r="AW482" i="4"/>
  <c r="AY482" i="4"/>
  <c r="AG812" i="4"/>
  <c r="AG482" i="4"/>
  <c r="AM482" i="4"/>
  <c r="AS482" i="4"/>
  <c r="AK482" i="4"/>
  <c r="AQ482" i="4"/>
  <c r="AU812" i="4"/>
  <c r="AK122" i="4"/>
  <c r="F8" i="6" s="1"/>
  <c r="BC152" i="4"/>
  <c r="O9" i="6" s="1"/>
  <c r="AK362" i="4"/>
  <c r="AI482" i="4"/>
  <c r="BC482" i="4"/>
  <c r="AY32" i="4"/>
  <c r="M5" i="6" s="1"/>
  <c r="AK632" i="4"/>
  <c r="AY632" i="4"/>
  <c r="AG182" i="4"/>
  <c r="D10" i="6" s="1"/>
  <c r="AY542" i="4"/>
  <c r="AU152" i="4"/>
  <c r="K9" i="6" s="1"/>
  <c r="AQ122" i="4"/>
  <c r="I8" i="6" s="1"/>
  <c r="AO122" i="4"/>
  <c r="H8" i="6" s="1"/>
  <c r="AS362" i="4"/>
  <c r="BA152" i="4"/>
  <c r="N9" i="6" s="1"/>
  <c r="AK152" i="4"/>
  <c r="F9" i="6" s="1"/>
  <c r="AM122" i="4"/>
  <c r="G8" i="6" s="1"/>
  <c r="E8" i="7" s="1"/>
  <c r="E46" i="7" s="1"/>
  <c r="J8" i="9" s="1"/>
  <c r="V8" i="9" s="1"/>
  <c r="AS122" i="4"/>
  <c r="J8" i="6" s="1"/>
  <c r="BA362" i="4"/>
  <c r="AG122" i="4"/>
  <c r="D8" i="6" s="1"/>
  <c r="AG362" i="4"/>
  <c r="BC362" i="4"/>
  <c r="AW152" i="4"/>
  <c r="L9" i="6" s="1"/>
  <c r="AM362" i="4"/>
  <c r="AS872" i="4"/>
  <c r="AY122" i="4"/>
  <c r="M8" i="6" s="1"/>
  <c r="AG152" i="4"/>
  <c r="D9" i="6" s="1"/>
  <c r="AY152" i="4"/>
  <c r="M9" i="6" s="1"/>
  <c r="AI122" i="4"/>
  <c r="E8" i="6" s="1"/>
  <c r="AW122" i="4"/>
  <c r="L8" i="6" s="1"/>
  <c r="H8" i="7" s="1"/>
  <c r="H46" i="7" s="1"/>
  <c r="AI362" i="4"/>
  <c r="BC122" i="4"/>
  <c r="O8" i="6" s="1"/>
  <c r="AU362" i="4"/>
  <c r="AQ362" i="4"/>
  <c r="AM152" i="4"/>
  <c r="G9" i="6" s="1"/>
  <c r="AO152" i="4"/>
  <c r="H9" i="6" s="1"/>
  <c r="AY362" i="4"/>
  <c r="AQ152" i="4"/>
  <c r="I9" i="6" s="1"/>
  <c r="BA122" i="4"/>
  <c r="N8" i="6" s="1"/>
  <c r="AO362" i="4"/>
  <c r="AW362" i="4"/>
  <c r="AU122" i="4"/>
  <c r="K8" i="6" s="1"/>
  <c r="AI152" i="4"/>
  <c r="E9" i="6" s="1"/>
  <c r="AS152" i="4"/>
  <c r="J9" i="6" s="1"/>
  <c r="AQ182" i="4"/>
  <c r="I10" i="6" s="1"/>
  <c r="BC602" i="4"/>
  <c r="BC242" i="4"/>
  <c r="AQ242" i="4"/>
  <c r="AG572" i="4"/>
  <c r="BA770" i="4"/>
  <c r="AG770" i="4"/>
  <c r="AO770" i="4"/>
  <c r="AS770" i="4"/>
  <c r="AK770" i="4"/>
  <c r="AW770" i="4"/>
  <c r="AU779" i="4"/>
  <c r="BC779" i="4"/>
  <c r="AY779" i="4"/>
  <c r="AO779" i="4"/>
  <c r="AK779" i="4"/>
  <c r="AI779" i="4"/>
  <c r="AI761" i="4"/>
  <c r="AS761" i="4"/>
  <c r="BC761" i="4"/>
  <c r="AY761" i="4"/>
  <c r="AM761" i="4"/>
  <c r="AQ761" i="4"/>
  <c r="AI781" i="4"/>
  <c r="AU781" i="4"/>
  <c r="BC781" i="4"/>
  <c r="AK781" i="4"/>
  <c r="AW781" i="4"/>
  <c r="AO781" i="4"/>
  <c r="AM764" i="4"/>
  <c r="AG764" i="4"/>
  <c r="AW764" i="4"/>
  <c r="BA764" i="4"/>
  <c r="AQ764" i="4"/>
  <c r="AU764" i="4"/>
  <c r="BC768" i="4"/>
  <c r="AX768" i="4"/>
  <c r="AO768" i="4"/>
  <c r="AG768" i="4"/>
  <c r="AM768" i="4"/>
  <c r="AU768" i="4"/>
  <c r="BC212" i="4"/>
  <c r="AO182" i="4"/>
  <c r="H10" i="6" s="1"/>
  <c r="AM182" i="4"/>
  <c r="G10" i="6" s="1"/>
  <c r="AK833" i="4"/>
  <c r="BC833" i="4"/>
  <c r="AG833" i="4"/>
  <c r="AS833" i="4"/>
  <c r="AQ833" i="4"/>
  <c r="AY833" i="4"/>
  <c r="AM823" i="4"/>
  <c r="AI823" i="4"/>
  <c r="BC823" i="4"/>
  <c r="AS823" i="4"/>
  <c r="AW823" i="4"/>
  <c r="AQ823" i="4"/>
  <c r="AQ834" i="4"/>
  <c r="BC834" i="4"/>
  <c r="AK834" i="4"/>
  <c r="AG834" i="4"/>
  <c r="AS834" i="4"/>
  <c r="AX834" i="4"/>
  <c r="AU829" i="4"/>
  <c r="AW829" i="4"/>
  <c r="AM829" i="4"/>
  <c r="BC829" i="4"/>
  <c r="AG829" i="4"/>
  <c r="AO829" i="4"/>
  <c r="AI822" i="4"/>
  <c r="AS822" i="4"/>
  <c r="AM822" i="4"/>
  <c r="BC822" i="4"/>
  <c r="AQ822" i="4"/>
  <c r="AX822" i="4"/>
  <c r="AM825" i="4"/>
  <c r="AU825" i="4"/>
  <c r="BA825" i="4"/>
  <c r="AG825" i="4"/>
  <c r="AQ825" i="4"/>
  <c r="AX825" i="4"/>
  <c r="BC692" i="4"/>
  <c r="AI692" i="4"/>
  <c r="AO692" i="4"/>
  <c r="AY602" i="4"/>
  <c r="AM602" i="4"/>
  <c r="BC62" i="4"/>
  <c r="O6" i="6" s="1"/>
  <c r="AQ62" i="4"/>
  <c r="I6" i="6" s="1"/>
  <c r="BA62" i="4"/>
  <c r="N6" i="6" s="1"/>
  <c r="AG272" i="4"/>
  <c r="AW272" i="4"/>
  <c r="AM272" i="4"/>
  <c r="BC662" i="4"/>
  <c r="AO422" i="4"/>
  <c r="AS302" i="4"/>
  <c r="AI302" i="4"/>
  <c r="AO739" i="4"/>
  <c r="AM739" i="4"/>
  <c r="AU739" i="4"/>
  <c r="AG739" i="4"/>
  <c r="AW739" i="4"/>
  <c r="BC739" i="4"/>
  <c r="AM731" i="4"/>
  <c r="AS731" i="4"/>
  <c r="AI731" i="4"/>
  <c r="BC731" i="4"/>
  <c r="AQ731" i="4"/>
  <c r="AY731" i="4"/>
  <c r="AK746" i="4"/>
  <c r="AW746" i="4"/>
  <c r="AQ746" i="4"/>
  <c r="AI746" i="4"/>
  <c r="BA746" i="4"/>
  <c r="AU746" i="4"/>
  <c r="AM734" i="4"/>
  <c r="AG734" i="4"/>
  <c r="BA734" i="4"/>
  <c r="AW734" i="4"/>
  <c r="AU734" i="4"/>
  <c r="AQ734" i="4"/>
  <c r="AI747" i="4"/>
  <c r="AK747" i="4"/>
  <c r="AU747" i="4"/>
  <c r="BA747" i="4"/>
  <c r="AQ747" i="4"/>
  <c r="AX747" i="4"/>
  <c r="AQ732" i="4"/>
  <c r="AX732" i="4"/>
  <c r="AI732" i="4"/>
  <c r="BC732" i="4"/>
  <c r="AM732" i="4"/>
  <c r="AS732" i="4"/>
  <c r="BC332" i="4"/>
  <c r="BA332" i="4"/>
  <c r="AI332" i="4"/>
  <c r="AK332" i="4"/>
  <c r="AK83" i="4"/>
  <c r="BC83" i="4"/>
  <c r="AY83" i="4"/>
  <c r="AG83" i="4"/>
  <c r="AS83" i="4"/>
  <c r="AQ83" i="4"/>
  <c r="AK81" i="4"/>
  <c r="AX81" i="4"/>
  <c r="AG81" i="4"/>
  <c r="BA81" i="4"/>
  <c r="AS81" i="4"/>
  <c r="AO81" i="4"/>
  <c r="AG75" i="4"/>
  <c r="AU75" i="4"/>
  <c r="BA75" i="4"/>
  <c r="AX75" i="4"/>
  <c r="AM75" i="4"/>
  <c r="AQ75" i="4"/>
  <c r="AW86" i="4"/>
  <c r="AU86" i="4"/>
  <c r="AI86" i="4"/>
  <c r="AK86" i="4"/>
  <c r="BA86" i="4"/>
  <c r="AQ86" i="4"/>
  <c r="AM73" i="4"/>
  <c r="BC73" i="4"/>
  <c r="AW73" i="4"/>
  <c r="AI73" i="4"/>
  <c r="AS73" i="4"/>
  <c r="AQ73" i="4"/>
  <c r="BA80" i="4"/>
  <c r="AW80" i="4"/>
  <c r="AK80" i="4"/>
  <c r="AS80" i="4"/>
  <c r="AG80" i="4"/>
  <c r="AO80" i="4"/>
  <c r="AQ632" i="4"/>
  <c r="AW632" i="4"/>
  <c r="AG632" i="4"/>
  <c r="BC703" i="4"/>
  <c r="AM703" i="4"/>
  <c r="AW703" i="4"/>
  <c r="AQ703" i="4"/>
  <c r="AS703" i="4"/>
  <c r="AI703" i="4"/>
  <c r="AX711" i="4"/>
  <c r="AK711" i="4"/>
  <c r="AG711" i="4"/>
  <c r="AO711" i="4"/>
  <c r="AS711" i="4"/>
  <c r="BA711" i="4"/>
  <c r="AG706" i="4"/>
  <c r="BA706" i="4"/>
  <c r="AQ706" i="4"/>
  <c r="AU706" i="4"/>
  <c r="AM706" i="4"/>
  <c r="AY706" i="4"/>
  <c r="AU707" i="4"/>
  <c r="AM707" i="4"/>
  <c r="AY707" i="4"/>
  <c r="AO707" i="4"/>
  <c r="AG707" i="4"/>
  <c r="BC707" i="4"/>
  <c r="AO708" i="4"/>
  <c r="AG708" i="4"/>
  <c r="BC708" i="4"/>
  <c r="AU708" i="4"/>
  <c r="AM708" i="4"/>
  <c r="AX708" i="4"/>
  <c r="AK710" i="4"/>
  <c r="AW710" i="4"/>
  <c r="AG710" i="4"/>
  <c r="BA710" i="4"/>
  <c r="AO710" i="4"/>
  <c r="AS710" i="4"/>
  <c r="AY392" i="4"/>
  <c r="AY272" i="4"/>
  <c r="BA32" i="4"/>
  <c r="N5" i="6" s="1"/>
  <c r="AI32" i="4"/>
  <c r="E5" i="6" s="1"/>
  <c r="AY662" i="4"/>
  <c r="BA662" i="4"/>
  <c r="AS662" i="4"/>
  <c r="AW542" i="4"/>
  <c r="AY302" i="4"/>
  <c r="AG212" i="4"/>
  <c r="AY212" i="4"/>
  <c r="B124" i="56"/>
  <c r="M68" i="56"/>
  <c r="AW392" i="4"/>
  <c r="BA392" i="4"/>
  <c r="AK602" i="4"/>
  <c r="AS242" i="4"/>
  <c r="AW242" i="4"/>
  <c r="AO572" i="4"/>
  <c r="BA572" i="4"/>
  <c r="BC572" i="4"/>
  <c r="AQ32" i="4"/>
  <c r="I5" i="6" s="1"/>
  <c r="BC422" i="4"/>
  <c r="AU182" i="4"/>
  <c r="K10" i="6" s="1"/>
  <c r="BC182" i="4"/>
  <c r="O10" i="6" s="1"/>
  <c r="AY778" i="4"/>
  <c r="AU778" i="4"/>
  <c r="AQ778" i="4"/>
  <c r="AI778" i="4"/>
  <c r="BA778" i="4"/>
  <c r="AK778" i="4"/>
  <c r="AU769" i="4"/>
  <c r="AW769" i="4"/>
  <c r="AG769" i="4"/>
  <c r="AM769" i="4"/>
  <c r="BC769" i="4"/>
  <c r="AO769" i="4"/>
  <c r="AO759" i="4"/>
  <c r="AI759" i="4"/>
  <c r="BA759" i="4"/>
  <c r="AX759" i="4"/>
  <c r="AM759" i="4"/>
  <c r="AS759" i="4"/>
  <c r="AK780" i="4"/>
  <c r="AX780" i="4"/>
  <c r="AO780" i="4"/>
  <c r="BC780" i="4"/>
  <c r="AI780" i="4"/>
  <c r="AU780" i="4"/>
  <c r="AU765" i="4"/>
  <c r="BA765" i="4"/>
  <c r="AM765" i="4"/>
  <c r="AG765" i="4"/>
  <c r="AX765" i="4"/>
  <c r="AQ765" i="4"/>
  <c r="AQ773" i="4"/>
  <c r="AY773" i="4"/>
  <c r="BC773" i="4"/>
  <c r="AG773" i="4"/>
  <c r="AS773" i="4"/>
  <c r="AK773" i="4"/>
  <c r="AU662" i="4"/>
  <c r="AK302" i="4"/>
  <c r="AQ872" i="4"/>
  <c r="AK392" i="4"/>
  <c r="BC841" i="4"/>
  <c r="AI841" i="4"/>
  <c r="AW841" i="4"/>
  <c r="AU841" i="4"/>
  <c r="AK841" i="4"/>
  <c r="AO841" i="4"/>
  <c r="BA831" i="4"/>
  <c r="AK831" i="4"/>
  <c r="AG831" i="4"/>
  <c r="AX831" i="4"/>
  <c r="AS831" i="4"/>
  <c r="AO831" i="4"/>
  <c r="AK836" i="4"/>
  <c r="BA836" i="4"/>
  <c r="AU836" i="4"/>
  <c r="AI836" i="4"/>
  <c r="AW836" i="4"/>
  <c r="AQ836" i="4"/>
  <c r="BA820" i="4"/>
  <c r="AM820" i="4"/>
  <c r="AS820" i="4"/>
  <c r="AO820" i="4"/>
  <c r="AY820" i="4"/>
  <c r="AI820" i="4"/>
  <c r="AS830" i="4"/>
  <c r="AK830" i="4"/>
  <c r="AO830" i="4"/>
  <c r="BA830" i="4"/>
  <c r="AW830" i="4"/>
  <c r="AG830" i="4"/>
  <c r="AM824" i="4"/>
  <c r="BA824" i="4"/>
  <c r="AG824" i="4"/>
  <c r="AQ824" i="4"/>
  <c r="AU824" i="4"/>
  <c r="AW824" i="4"/>
  <c r="AQ692" i="4"/>
  <c r="AU692" i="4"/>
  <c r="AS692" i="4"/>
  <c r="BA692" i="4"/>
  <c r="AW602" i="4"/>
  <c r="AK572" i="4"/>
  <c r="AW62" i="4"/>
  <c r="L6" i="6" s="1"/>
  <c r="AI62" i="4"/>
  <c r="E6" i="6" s="1"/>
  <c r="AK62" i="4"/>
  <c r="F6" i="6" s="1"/>
  <c r="AK272" i="4"/>
  <c r="AU272" i="4"/>
  <c r="BA272" i="4"/>
  <c r="AS272" i="4"/>
  <c r="AQ662" i="4"/>
  <c r="AY422" i="4"/>
  <c r="BA422" i="4"/>
  <c r="AW422" i="4"/>
  <c r="AW302" i="4"/>
  <c r="AK872" i="4"/>
  <c r="AK745" i="4"/>
  <c r="AW745" i="4"/>
  <c r="AG745" i="4"/>
  <c r="BC745" i="4"/>
  <c r="AS745" i="4"/>
  <c r="AQ745" i="4"/>
  <c r="AI730" i="4"/>
  <c r="BA730" i="4"/>
  <c r="AS730" i="4"/>
  <c r="AY730" i="4"/>
  <c r="AM730" i="4"/>
  <c r="AO730" i="4"/>
  <c r="AK743" i="4"/>
  <c r="BC743" i="4"/>
  <c r="AS743" i="4"/>
  <c r="AY743" i="4"/>
  <c r="AG743" i="4"/>
  <c r="AQ743" i="4"/>
  <c r="AG736" i="4"/>
  <c r="BA736" i="4"/>
  <c r="AM736" i="4"/>
  <c r="AQ736" i="4"/>
  <c r="AY736" i="4"/>
  <c r="AU736" i="4"/>
  <c r="AI749" i="4"/>
  <c r="BC749" i="4"/>
  <c r="AU749" i="4"/>
  <c r="AK749" i="4"/>
  <c r="AY749" i="4"/>
  <c r="AO749" i="4"/>
  <c r="AY742" i="4"/>
  <c r="AG742" i="4"/>
  <c r="BA742" i="4"/>
  <c r="AS742" i="4"/>
  <c r="AK742" i="4"/>
  <c r="AO742" i="4"/>
  <c r="AY332" i="4"/>
  <c r="AW332" i="4"/>
  <c r="AK89" i="4"/>
  <c r="AY89" i="4"/>
  <c r="AI89" i="4"/>
  <c r="AO89" i="4"/>
  <c r="BC89" i="4"/>
  <c r="AU89" i="4"/>
  <c r="AU77" i="4"/>
  <c r="AO77" i="4"/>
  <c r="BC77" i="4"/>
  <c r="AM77" i="4"/>
  <c r="AY77" i="4"/>
  <c r="AG77" i="4"/>
  <c r="AI71" i="4"/>
  <c r="BC71" i="4"/>
  <c r="AS71" i="4"/>
  <c r="AQ71" i="4"/>
  <c r="AM71" i="4"/>
  <c r="AY71" i="4"/>
  <c r="AS70" i="4"/>
  <c r="AY70" i="4"/>
  <c r="AM70" i="4"/>
  <c r="BA70" i="4"/>
  <c r="AO70" i="4"/>
  <c r="AI70" i="4"/>
  <c r="AG85" i="4"/>
  <c r="AK85" i="4"/>
  <c r="AW85" i="4"/>
  <c r="AS85" i="4"/>
  <c r="BC85" i="4"/>
  <c r="AQ85" i="4"/>
  <c r="BC78" i="4"/>
  <c r="AU78" i="4"/>
  <c r="AO78" i="4"/>
  <c r="AM78" i="4"/>
  <c r="AX78" i="4"/>
  <c r="AG78" i="4"/>
  <c r="AM632" i="4"/>
  <c r="AI632" i="4"/>
  <c r="AU632" i="4"/>
  <c r="BC714" i="4"/>
  <c r="AX714" i="4"/>
  <c r="AG714" i="4"/>
  <c r="AK714" i="4"/>
  <c r="AS714" i="4"/>
  <c r="AQ714" i="4"/>
  <c r="AM699" i="4"/>
  <c r="AS699" i="4"/>
  <c r="AI699" i="4"/>
  <c r="AO699" i="4"/>
  <c r="AX699" i="4"/>
  <c r="BA699" i="4"/>
  <c r="AX720" i="4"/>
  <c r="AK720" i="4"/>
  <c r="BC720" i="4"/>
  <c r="AU720" i="4"/>
  <c r="AI720" i="4"/>
  <c r="AO720" i="4"/>
  <c r="AK715" i="4"/>
  <c r="AS715" i="4"/>
  <c r="AQ715" i="4"/>
  <c r="AW715" i="4"/>
  <c r="AG715" i="4"/>
  <c r="BC715" i="4"/>
  <c r="BC719" i="4"/>
  <c r="AU719" i="4"/>
  <c r="AK719" i="4"/>
  <c r="AI719" i="4"/>
  <c r="AO719" i="4"/>
  <c r="AY719" i="4"/>
  <c r="AI702" i="4"/>
  <c r="AS702" i="4"/>
  <c r="AX702" i="4"/>
  <c r="AM702" i="4"/>
  <c r="AQ702" i="4"/>
  <c r="BC702" i="4"/>
  <c r="AY692" i="4"/>
  <c r="AY62" i="4"/>
  <c r="M6" i="6" s="1"/>
  <c r="BC272" i="4"/>
  <c r="AM32" i="4"/>
  <c r="G5" i="6" s="1"/>
  <c r="AO32" i="4"/>
  <c r="H5" i="6" s="1"/>
  <c r="F5" i="7" s="1"/>
  <c r="AK32" i="4"/>
  <c r="F5" i="6" s="1"/>
  <c r="AI662" i="4"/>
  <c r="AO542" i="4"/>
  <c r="AI542" i="4"/>
  <c r="BC302" i="4"/>
  <c r="AY872" i="4"/>
  <c r="AU212" i="4"/>
  <c r="AO392" i="4"/>
  <c r="AU602" i="4"/>
  <c r="BA242" i="4"/>
  <c r="AU242" i="4"/>
  <c r="AG242" i="4"/>
  <c r="AS572" i="4"/>
  <c r="AW572" i="4"/>
  <c r="AU32" i="4"/>
  <c r="K5" i="6" s="1"/>
  <c r="AG422" i="4"/>
  <c r="BA212" i="4"/>
  <c r="N11" i="6" s="1"/>
  <c r="AO212" i="4"/>
  <c r="AM872" i="4"/>
  <c r="AW212" i="4"/>
  <c r="AS212" i="4"/>
  <c r="AQ602" i="4"/>
  <c r="B10" i="56"/>
  <c r="H9" i="56"/>
  <c r="AK772" i="4"/>
  <c r="AS772" i="4"/>
  <c r="BA772" i="4"/>
  <c r="AG772" i="4"/>
  <c r="AY772" i="4"/>
  <c r="AO772" i="4"/>
  <c r="AK777" i="4"/>
  <c r="AU777" i="4"/>
  <c r="AQ777" i="4"/>
  <c r="AI777" i="4"/>
  <c r="AX777" i="4"/>
  <c r="BA777" i="4"/>
  <c r="AK775" i="4"/>
  <c r="AQ775" i="4"/>
  <c r="BC775" i="4"/>
  <c r="AW775" i="4"/>
  <c r="AS775" i="4"/>
  <c r="AG775" i="4"/>
  <c r="AQ763" i="4"/>
  <c r="AM763" i="4"/>
  <c r="AW763" i="4"/>
  <c r="BC763" i="4"/>
  <c r="AI763" i="4"/>
  <c r="AS763" i="4"/>
  <c r="AG771" i="4"/>
  <c r="BA771" i="4"/>
  <c r="AK771" i="4"/>
  <c r="AS771" i="4"/>
  <c r="AO771" i="4"/>
  <c r="AX771" i="4"/>
  <c r="AQ762" i="4"/>
  <c r="AM762" i="4"/>
  <c r="AS762" i="4"/>
  <c r="BC762" i="4"/>
  <c r="AI762" i="4"/>
  <c r="AX762" i="4"/>
  <c r="AG662" i="4"/>
  <c r="AU542" i="4"/>
  <c r="BC872" i="4"/>
  <c r="AU332" i="4"/>
  <c r="BA182" i="4"/>
  <c r="N10" i="6" s="1"/>
  <c r="AS182" i="4"/>
  <c r="J10" i="6" s="1"/>
  <c r="G10" i="7" s="1"/>
  <c r="G48" i="7" s="1"/>
  <c r="J43" i="9" s="1"/>
  <c r="BC392" i="4"/>
  <c r="AO828" i="4"/>
  <c r="AG828" i="4"/>
  <c r="AX828" i="4"/>
  <c r="BC828" i="4"/>
  <c r="AM828" i="4"/>
  <c r="AU828" i="4"/>
  <c r="AM819" i="4"/>
  <c r="AS819" i="4"/>
  <c r="BA819" i="4"/>
  <c r="AI819" i="4"/>
  <c r="AX819" i="4"/>
  <c r="AO819" i="4"/>
  <c r="AU826" i="4"/>
  <c r="AY826" i="4"/>
  <c r="AG826" i="4"/>
  <c r="AQ826" i="4"/>
  <c r="BA826" i="4"/>
  <c r="AM826" i="4"/>
  <c r="AY827" i="4"/>
  <c r="AO827" i="4"/>
  <c r="BC827" i="4"/>
  <c r="AG827" i="4"/>
  <c r="AU827" i="4"/>
  <c r="AM827" i="4"/>
  <c r="AY832" i="4"/>
  <c r="AS832" i="4"/>
  <c r="AG832" i="4"/>
  <c r="AK832" i="4"/>
  <c r="BA832" i="4"/>
  <c r="AO832" i="4"/>
  <c r="AI838" i="4"/>
  <c r="AQ838" i="4"/>
  <c r="BA838" i="4"/>
  <c r="AU838" i="4"/>
  <c r="AY838" i="4"/>
  <c r="AK838" i="4"/>
  <c r="AG692" i="4"/>
  <c r="AM692" i="4"/>
  <c r="BA602" i="4"/>
  <c r="AO602" i="4"/>
  <c r="AK242" i="4"/>
  <c r="AS62" i="4"/>
  <c r="J6" i="6" s="1"/>
  <c r="AI272" i="4"/>
  <c r="AS422" i="4"/>
  <c r="AI422" i="4"/>
  <c r="AO302" i="4"/>
  <c r="BA302" i="4"/>
  <c r="AG872" i="4"/>
  <c r="AO740" i="4"/>
  <c r="AK740" i="4"/>
  <c r="AG740" i="4"/>
  <c r="BA740" i="4"/>
  <c r="AS740" i="4"/>
  <c r="AW740" i="4"/>
  <c r="AO738" i="4"/>
  <c r="AX738" i="4"/>
  <c r="AG738" i="4"/>
  <c r="BC738" i="4"/>
  <c r="AM738" i="4"/>
  <c r="AU738" i="4"/>
  <c r="AI751" i="4"/>
  <c r="AU751" i="4"/>
  <c r="BC751" i="4"/>
  <c r="AK751" i="4"/>
  <c r="AO751" i="4"/>
  <c r="AW751" i="4"/>
  <c r="AY748" i="4"/>
  <c r="BA748" i="4"/>
  <c r="AI748" i="4"/>
  <c r="AK748" i="4"/>
  <c r="AQ748" i="4"/>
  <c r="AU748" i="4"/>
  <c r="BA729" i="4"/>
  <c r="AS729" i="4"/>
  <c r="AO729" i="4"/>
  <c r="AI729" i="4"/>
  <c r="AM729" i="4"/>
  <c r="AX729" i="4"/>
  <c r="AG744" i="4"/>
  <c r="BC744" i="4"/>
  <c r="AK744" i="4"/>
  <c r="AS744" i="4"/>
  <c r="AQ744" i="4"/>
  <c r="AX744" i="4"/>
  <c r="AS332" i="4"/>
  <c r="AO332" i="4"/>
  <c r="AG82" i="4"/>
  <c r="AY82" i="4"/>
  <c r="AO82" i="4"/>
  <c r="BA82" i="4"/>
  <c r="AS82" i="4"/>
  <c r="AK82" i="4"/>
  <c r="AS72" i="4"/>
  <c r="AX72" i="4"/>
  <c r="BC72" i="4"/>
  <c r="AI72" i="4"/>
  <c r="AM72" i="4"/>
  <c r="AQ72" i="4"/>
  <c r="AK90" i="4"/>
  <c r="AU90" i="4"/>
  <c r="BC90" i="4"/>
  <c r="AX90" i="4"/>
  <c r="AI90" i="4"/>
  <c r="AO90" i="4"/>
  <c r="AM74" i="4"/>
  <c r="BA74" i="4"/>
  <c r="AU74" i="4"/>
  <c r="AG74" i="4"/>
  <c r="AQ74" i="4"/>
  <c r="AW74" i="4"/>
  <c r="BA87" i="4"/>
  <c r="AI87" i="4"/>
  <c r="AQ87" i="4"/>
  <c r="AK87" i="4"/>
  <c r="AX87" i="4"/>
  <c r="AU87" i="4"/>
  <c r="AQ76" i="4"/>
  <c r="AY76" i="4"/>
  <c r="AU76" i="4"/>
  <c r="AM76" i="4"/>
  <c r="BA76" i="4"/>
  <c r="AG76" i="4"/>
  <c r="AS632" i="4"/>
  <c r="AO632" i="4"/>
  <c r="AW721" i="4"/>
  <c r="AI721" i="4"/>
  <c r="AK721" i="4"/>
  <c r="AO721" i="4"/>
  <c r="AU721" i="4"/>
  <c r="BC721" i="4"/>
  <c r="BA704" i="4"/>
  <c r="AG704" i="4"/>
  <c r="AQ704" i="4"/>
  <c r="AU704" i="4"/>
  <c r="AW704" i="4"/>
  <c r="AM704" i="4"/>
  <c r="AO700" i="4"/>
  <c r="AI700" i="4"/>
  <c r="AS700" i="4"/>
  <c r="AM700" i="4"/>
  <c r="BA700" i="4"/>
  <c r="AY700" i="4"/>
  <c r="AW698" i="4"/>
  <c r="AM698" i="4"/>
  <c r="AO698" i="4"/>
  <c r="AI698" i="4"/>
  <c r="AS698" i="4"/>
  <c r="AE722" i="4"/>
  <c r="BA698" i="4"/>
  <c r="AW709" i="4"/>
  <c r="BC709" i="4"/>
  <c r="AO709" i="4"/>
  <c r="AM709" i="4"/>
  <c r="AU709" i="4"/>
  <c r="AG709" i="4"/>
  <c r="AG712" i="4"/>
  <c r="AS712" i="4"/>
  <c r="AO712" i="4"/>
  <c r="BA712" i="4"/>
  <c r="AK712" i="4"/>
  <c r="AY712" i="4"/>
  <c r="AY242" i="4"/>
  <c r="AQ272" i="4"/>
  <c r="AS32" i="4"/>
  <c r="J5" i="6" s="1"/>
  <c r="AW32" i="4"/>
  <c r="L5" i="6" s="1"/>
  <c r="AO662" i="4"/>
  <c r="AS542" i="4"/>
  <c r="AM542" i="4"/>
  <c r="AM392" i="4"/>
  <c r="AK692" i="4"/>
  <c r="AG602" i="4"/>
  <c r="AM242" i="4"/>
  <c r="AI572" i="4"/>
  <c r="AU62" i="4"/>
  <c r="K6" i="6" s="1"/>
  <c r="B14" i="60"/>
  <c r="H13" i="60"/>
  <c r="AK542" i="4"/>
  <c r="BC542" i="4"/>
  <c r="AQ422" i="4"/>
  <c r="AU422" i="4"/>
  <c r="AW872" i="4"/>
  <c r="AI212" i="4"/>
  <c r="AO872" i="4"/>
  <c r="BA872" i="4"/>
  <c r="AM212" i="4"/>
  <c r="K8" i="9"/>
  <c r="AU572" i="4"/>
  <c r="AG767" i="4"/>
  <c r="AM767" i="4"/>
  <c r="AO767" i="4"/>
  <c r="BC767" i="4"/>
  <c r="AU767" i="4"/>
  <c r="AY767" i="4"/>
  <c r="BA760" i="4"/>
  <c r="AM760" i="4"/>
  <c r="AI760" i="4"/>
  <c r="AY760" i="4"/>
  <c r="AO760" i="4"/>
  <c r="AS760" i="4"/>
  <c r="AW758" i="4"/>
  <c r="AM758" i="4"/>
  <c r="AI758" i="4"/>
  <c r="AE782" i="4"/>
  <c r="AS758" i="4"/>
  <c r="BA758" i="4"/>
  <c r="AO758" i="4"/>
  <c r="AO782" i="4" s="1"/>
  <c r="BA776" i="4"/>
  <c r="AW776" i="4"/>
  <c r="AQ776" i="4"/>
  <c r="AI776" i="4"/>
  <c r="AK776" i="4"/>
  <c r="AU776" i="4"/>
  <c r="AG774" i="4"/>
  <c r="AQ774" i="4"/>
  <c r="AS774" i="4"/>
  <c r="AX774" i="4"/>
  <c r="BC774" i="4"/>
  <c r="AK774" i="4"/>
  <c r="AM766" i="4"/>
  <c r="AU766" i="4"/>
  <c r="BA766" i="4"/>
  <c r="AG766" i="4"/>
  <c r="AY766" i="4"/>
  <c r="AQ766" i="4"/>
  <c r="AG302" i="4"/>
  <c r="AU302" i="4"/>
  <c r="AK212" i="4"/>
  <c r="AQ212" i="4"/>
  <c r="AG332" i="4"/>
  <c r="AW182" i="4"/>
  <c r="L10" i="6" s="1"/>
  <c r="AI182" i="4"/>
  <c r="E10" i="6" s="1"/>
  <c r="AQ392" i="4"/>
  <c r="AY839" i="4"/>
  <c r="AO839" i="4"/>
  <c r="AI839" i="4"/>
  <c r="BC839" i="4"/>
  <c r="AU839" i="4"/>
  <c r="AK839" i="4"/>
  <c r="AI821" i="4"/>
  <c r="BC821" i="4"/>
  <c r="AQ821" i="4"/>
  <c r="AS821" i="4"/>
  <c r="AY821" i="4"/>
  <c r="AM821" i="4"/>
  <c r="AQ837" i="4"/>
  <c r="AU837" i="4"/>
  <c r="AI837" i="4"/>
  <c r="BA837" i="4"/>
  <c r="AX837" i="4"/>
  <c r="AK837" i="4"/>
  <c r="BC835" i="4"/>
  <c r="AS835" i="4"/>
  <c r="AK835" i="4"/>
  <c r="AQ835" i="4"/>
  <c r="AW835" i="4"/>
  <c r="AG835" i="4"/>
  <c r="AS818" i="4"/>
  <c r="AO818" i="4"/>
  <c r="AE842" i="4"/>
  <c r="AI818" i="4"/>
  <c r="AM818" i="4"/>
  <c r="BA818" i="4"/>
  <c r="AW818" i="4"/>
  <c r="AI840" i="4"/>
  <c r="AK840" i="4"/>
  <c r="BC840" i="4"/>
  <c r="AO840" i="4"/>
  <c r="AX840" i="4"/>
  <c r="AU840" i="4"/>
  <c r="AW692" i="4"/>
  <c r="AS602" i="4"/>
  <c r="AI602" i="4"/>
  <c r="AM62" i="4"/>
  <c r="G6" i="6" s="1"/>
  <c r="AO62" i="4"/>
  <c r="H6" i="6" s="1"/>
  <c r="F6" i="7" s="1"/>
  <c r="F44" i="7" s="1"/>
  <c r="D39" i="9" s="1"/>
  <c r="B11" i="57"/>
  <c r="H10" i="57"/>
  <c r="AO272" i="4"/>
  <c r="AK422" i="4"/>
  <c r="AM422" i="4"/>
  <c r="AM302" i="4"/>
  <c r="AU872" i="4"/>
  <c r="AM737" i="4"/>
  <c r="AG737" i="4"/>
  <c r="AO737" i="4"/>
  <c r="BC737" i="4"/>
  <c r="AY737" i="4"/>
  <c r="AU737" i="4"/>
  <c r="AK750" i="4"/>
  <c r="AI750" i="4"/>
  <c r="BC750" i="4"/>
  <c r="AX750" i="4"/>
  <c r="AO750" i="4"/>
  <c r="AU750" i="4"/>
  <c r="AM735" i="4"/>
  <c r="AG735" i="4"/>
  <c r="BA735" i="4"/>
  <c r="AU735" i="4"/>
  <c r="AX735" i="4"/>
  <c r="AQ735" i="4"/>
  <c r="AS741" i="4"/>
  <c r="BA741" i="4"/>
  <c r="AG741" i="4"/>
  <c r="AX741" i="4"/>
  <c r="AK741" i="4"/>
  <c r="AO741" i="4"/>
  <c r="AM733" i="4"/>
  <c r="AW733" i="4"/>
  <c r="AI733" i="4"/>
  <c r="BC733" i="4"/>
  <c r="AQ733" i="4"/>
  <c r="AS733" i="4"/>
  <c r="BA728" i="4"/>
  <c r="AI728" i="4"/>
  <c r="AE752" i="4"/>
  <c r="AM728" i="4"/>
  <c r="AO728" i="4"/>
  <c r="AW728" i="4"/>
  <c r="AS728" i="4"/>
  <c r="AS752" i="4" s="1"/>
  <c r="AQ332" i="4"/>
  <c r="AM332" i="4"/>
  <c r="AQ88" i="4"/>
  <c r="AU88" i="4"/>
  <c r="AY88" i="4"/>
  <c r="BA88" i="4"/>
  <c r="AI88" i="4"/>
  <c r="AK88" i="4"/>
  <c r="AW79" i="4"/>
  <c r="BC79" i="4"/>
  <c r="AG79" i="4"/>
  <c r="AU79" i="4"/>
  <c r="AM79" i="4"/>
  <c r="AO79" i="4"/>
  <c r="AX84" i="4"/>
  <c r="AK84" i="4"/>
  <c r="AG84" i="4"/>
  <c r="BC84" i="4"/>
  <c r="AS84" i="4"/>
  <c r="AQ84" i="4"/>
  <c r="AI91" i="4"/>
  <c r="AW91" i="4"/>
  <c r="AU91" i="4"/>
  <c r="BC91" i="4"/>
  <c r="AK91" i="4"/>
  <c r="AO91" i="4"/>
  <c r="AI68" i="4"/>
  <c r="AM68" i="4"/>
  <c r="AE92" i="4"/>
  <c r="C7" i="6" s="1"/>
  <c r="C7" i="7" s="1"/>
  <c r="C45" i="7" s="1"/>
  <c r="AW68" i="4"/>
  <c r="BA68" i="4"/>
  <c r="AS68" i="4"/>
  <c r="AO68" i="4"/>
  <c r="BA69" i="4"/>
  <c r="AS69" i="4"/>
  <c r="AM69" i="4"/>
  <c r="AI69" i="4"/>
  <c r="AO69" i="4"/>
  <c r="AX69" i="4"/>
  <c r="BC632" i="4"/>
  <c r="BA632" i="4"/>
  <c r="AU716" i="4"/>
  <c r="AW716" i="4"/>
  <c r="BA716" i="4"/>
  <c r="AI716" i="4"/>
  <c r="AK716" i="4"/>
  <c r="AQ716" i="4"/>
  <c r="BA717" i="4"/>
  <c r="AI717" i="4"/>
  <c r="AU717" i="4"/>
  <c r="AX717" i="4"/>
  <c r="AQ717" i="4"/>
  <c r="AK717" i="4"/>
  <c r="AY713" i="4"/>
  <c r="BC713" i="4"/>
  <c r="AQ713" i="4"/>
  <c r="AS713" i="4"/>
  <c r="AG713" i="4"/>
  <c r="AK713" i="4"/>
  <c r="AM705" i="4"/>
  <c r="AG705" i="4"/>
  <c r="AU705" i="4"/>
  <c r="BA705" i="4"/>
  <c r="AX705" i="4"/>
  <c r="AQ705" i="4"/>
  <c r="AQ718" i="4"/>
  <c r="AU718" i="4"/>
  <c r="AY718" i="4"/>
  <c r="BA718" i="4"/>
  <c r="AI718" i="4"/>
  <c r="AK718" i="4"/>
  <c r="AM701" i="4"/>
  <c r="AI701" i="4"/>
  <c r="AS701" i="4"/>
  <c r="BC701" i="4"/>
  <c r="AQ701" i="4"/>
  <c r="AY701" i="4"/>
  <c r="AK182" i="4"/>
  <c r="F10" i="6" s="1"/>
  <c r="E10" i="7" s="1"/>
  <c r="E48" i="7" s="1"/>
  <c r="J10" i="9" s="1"/>
  <c r="AY572" i="4"/>
  <c r="C43" i="7"/>
  <c r="AM662" i="4"/>
  <c r="AW662" i="4"/>
  <c r="BA542" i="4"/>
  <c r="AQ302" i="4"/>
  <c r="AY182" i="4"/>
  <c r="M10" i="6" s="1"/>
  <c r="AI392" i="4"/>
  <c r="AS392" i="4"/>
  <c r="AG392" i="4"/>
  <c r="AU392" i="4"/>
  <c r="AI242" i="4"/>
  <c r="AO242" i="4"/>
  <c r="AM572" i="4"/>
  <c r="AQ572" i="4"/>
  <c r="AG62" i="4"/>
  <c r="D6" i="6" s="1"/>
  <c r="BC32" i="4"/>
  <c r="O5" i="6" s="1"/>
  <c r="AG32" i="4"/>
  <c r="D5" i="6" s="1"/>
  <c r="AQ542" i="4"/>
  <c r="AS92" i="4" l="1"/>
  <c r="J7" i="6" s="1"/>
  <c r="M11" i="6"/>
  <c r="BA842" i="4"/>
  <c r="E11" i="6"/>
  <c r="I11" i="6"/>
  <c r="K11" i="6"/>
  <c r="J11" i="6"/>
  <c r="AW842" i="4"/>
  <c r="D10" i="7"/>
  <c r="D48" i="7" s="1"/>
  <c r="D10" i="9" s="1"/>
  <c r="P10" i="9" s="1"/>
  <c r="F11" i="6"/>
  <c r="H11" i="6"/>
  <c r="F11" i="7" s="1"/>
  <c r="F49" i="7" s="1"/>
  <c r="D44" i="9" s="1"/>
  <c r="O11" i="6"/>
  <c r="I11" i="7" s="1"/>
  <c r="I49" i="7" s="1"/>
  <c r="G11" i="6"/>
  <c r="L11" i="6"/>
  <c r="H11" i="7" s="1"/>
  <c r="H49" i="7" s="1"/>
  <c r="D11" i="6"/>
  <c r="D11" i="7" s="1"/>
  <c r="D49" i="7" s="1"/>
  <c r="D11" i="9" s="1"/>
  <c r="D5" i="7"/>
  <c r="D43" i="7" s="1"/>
  <c r="C11" i="6"/>
  <c r="C11" i="7" s="1"/>
  <c r="C49" i="7" s="1"/>
  <c r="BC722" i="4"/>
  <c r="AW752" i="4"/>
  <c r="B10" i="33"/>
  <c r="BV48" i="9"/>
  <c r="B10" i="31"/>
  <c r="B10" i="34"/>
  <c r="BP81" i="9"/>
  <c r="B10" i="32"/>
  <c r="AW92" i="4"/>
  <c r="L7" i="6" s="1"/>
  <c r="CB10" i="9"/>
  <c r="B76" i="9"/>
  <c r="T76" i="9"/>
  <c r="BD76" i="9"/>
  <c r="BP10" i="9"/>
  <c r="N43" i="9"/>
  <c r="N10" i="9"/>
  <c r="N76" i="9"/>
  <c r="AF43" i="9"/>
  <c r="BD10" i="9"/>
  <c r="Z76" i="9"/>
  <c r="AR76" i="9"/>
  <c r="AR10" i="9"/>
  <c r="B43" i="9"/>
  <c r="CB43" i="9"/>
  <c r="BJ10" i="9"/>
  <c r="H10" i="9"/>
  <c r="AR43" i="9"/>
  <c r="BJ76" i="9"/>
  <c r="BD43" i="9"/>
  <c r="T10" i="9"/>
  <c r="AF10" i="9"/>
  <c r="AL43" i="9"/>
  <c r="CB76" i="9"/>
  <c r="BJ43" i="9"/>
  <c r="Z10" i="9"/>
  <c r="AX10" i="9"/>
  <c r="AX43" i="9" s="1"/>
  <c r="AX76" i="9" s="1"/>
  <c r="BV76" i="9"/>
  <c r="AF76" i="9"/>
  <c r="BV10" i="9"/>
  <c r="B10" i="9"/>
  <c r="Z43" i="9"/>
  <c r="H43" i="9"/>
  <c r="H76" i="9"/>
  <c r="T43" i="9"/>
  <c r="BP43" i="9"/>
  <c r="AL76" i="9"/>
  <c r="AL10" i="9"/>
  <c r="X172" i="62"/>
  <c r="B12" i="6"/>
  <c r="B186" i="63"/>
  <c r="B13" i="3"/>
  <c r="AD214" i="4"/>
  <c r="AC242" i="4" s="1"/>
  <c r="AO842" i="4"/>
  <c r="B11" i="7"/>
  <c r="B49" i="7"/>
  <c r="G5" i="7"/>
  <c r="G43" i="7" s="1"/>
  <c r="D8" i="7"/>
  <c r="D46" i="7" s="1"/>
  <c r="D8" i="9" s="1"/>
  <c r="E8" i="9" s="1"/>
  <c r="F8" i="7"/>
  <c r="F46" i="7" s="1"/>
  <c r="D41" i="9" s="1"/>
  <c r="P41" i="9" s="1"/>
  <c r="AM782" i="4"/>
  <c r="D6" i="7"/>
  <c r="D44" i="7" s="1"/>
  <c r="D6" i="9" s="1"/>
  <c r="E6" i="9" s="1"/>
  <c r="I10" i="7"/>
  <c r="I48" i="7" s="1"/>
  <c r="J76" i="9" s="1"/>
  <c r="G11" i="7"/>
  <c r="G49" i="7" s="1"/>
  <c r="J44" i="9" s="1"/>
  <c r="K44" i="9" s="1"/>
  <c r="H5" i="7"/>
  <c r="H43" i="7" s="1"/>
  <c r="I8" i="7"/>
  <c r="I46" i="7" s="1"/>
  <c r="J74" i="9" s="1"/>
  <c r="H9" i="7"/>
  <c r="H47" i="7" s="1"/>
  <c r="D75" i="9" s="1"/>
  <c r="I9" i="7"/>
  <c r="I47" i="7" s="1"/>
  <c r="H9" i="32" s="1"/>
  <c r="I9" i="32" s="1"/>
  <c r="AI92" i="4"/>
  <c r="E7" i="6" s="1"/>
  <c r="F9" i="7"/>
  <c r="F47" i="7" s="1"/>
  <c r="D42" i="9" s="1"/>
  <c r="E42" i="9" s="1"/>
  <c r="AO752" i="4"/>
  <c r="BA752" i="4"/>
  <c r="AS782" i="4"/>
  <c r="AO722" i="4"/>
  <c r="E5" i="7"/>
  <c r="E43" i="7" s="1"/>
  <c r="F10" i="7"/>
  <c r="F48" i="7" s="1"/>
  <c r="D43" i="9" s="1"/>
  <c r="P43" i="9" s="1"/>
  <c r="I6" i="7"/>
  <c r="I44" i="7" s="1"/>
  <c r="J72" i="9" s="1"/>
  <c r="H8" i="33"/>
  <c r="I8" i="33" s="1"/>
  <c r="D74" i="9"/>
  <c r="H8" i="31"/>
  <c r="J8" i="31" s="1"/>
  <c r="G8" i="7"/>
  <c r="G46" i="7" s="1"/>
  <c r="J41" i="9" s="1"/>
  <c r="AY782" i="4"/>
  <c r="G9" i="7"/>
  <c r="G47" i="7" s="1"/>
  <c r="J42" i="9" s="1"/>
  <c r="E9" i="7"/>
  <c r="E47" i="7" s="1"/>
  <c r="J9" i="9" s="1"/>
  <c r="D9" i="7"/>
  <c r="D47" i="7" s="1"/>
  <c r="D9" i="9" s="1"/>
  <c r="H9" i="33"/>
  <c r="I9" i="33" s="1"/>
  <c r="AM92" i="4"/>
  <c r="G7" i="6" s="1"/>
  <c r="E39" i="9"/>
  <c r="P39" i="9"/>
  <c r="BA92" i="4"/>
  <c r="N7" i="6" s="1"/>
  <c r="AI752" i="4"/>
  <c r="AM842" i="4"/>
  <c r="AS842" i="4"/>
  <c r="AQ842" i="4"/>
  <c r="BA782" i="4"/>
  <c r="BA722" i="4"/>
  <c r="F43" i="7"/>
  <c r="AY92" i="4"/>
  <c r="M7" i="6" s="1"/>
  <c r="AQ92" i="4"/>
  <c r="I7" i="6" s="1"/>
  <c r="AY752" i="4"/>
  <c r="AU842" i="4"/>
  <c r="AY842" i="4"/>
  <c r="BC752" i="4"/>
  <c r="AU782" i="4"/>
  <c r="AG782" i="4"/>
  <c r="AQ782" i="4"/>
  <c r="K10" i="9"/>
  <c r="V10" i="9"/>
  <c r="AI842" i="4"/>
  <c r="BC842" i="4"/>
  <c r="AW782" i="4"/>
  <c r="H14" i="60"/>
  <c r="B15" i="60"/>
  <c r="AM722" i="4"/>
  <c r="AG722" i="4"/>
  <c r="AG92" i="4"/>
  <c r="D7" i="6" s="1"/>
  <c r="G6" i="7"/>
  <c r="G44" i="7" s="1"/>
  <c r="J39" i="9" s="1"/>
  <c r="B11" i="56"/>
  <c r="H10" i="56"/>
  <c r="E6" i="7"/>
  <c r="E44" i="7" s="1"/>
  <c r="J6" i="9" s="1"/>
  <c r="AK842" i="4"/>
  <c r="B125" i="56"/>
  <c r="M70" i="56" s="1"/>
  <c r="M69" i="56"/>
  <c r="AK92" i="4"/>
  <c r="F7" i="6" s="1"/>
  <c r="AK782" i="4"/>
  <c r="AQ722" i="4"/>
  <c r="AO92" i="4"/>
  <c r="H7" i="6" s="1"/>
  <c r="AM752" i="4"/>
  <c r="B12" i="57"/>
  <c r="H11" i="57"/>
  <c r="AS722" i="4"/>
  <c r="AW722" i="4"/>
  <c r="AU92" i="4"/>
  <c r="K7" i="6" s="1"/>
  <c r="V43" i="9"/>
  <c r="K43" i="9"/>
  <c r="BC92" i="4"/>
  <c r="O7" i="6" s="1"/>
  <c r="AG842" i="4"/>
  <c r="I5" i="7"/>
  <c r="AK722" i="4"/>
  <c r="AG752" i="4"/>
  <c r="H10" i="7"/>
  <c r="H48" i="7" s="1"/>
  <c r="AI782" i="4"/>
  <c r="AH8" i="9"/>
  <c r="W8" i="9"/>
  <c r="AI722" i="4"/>
  <c r="AY722" i="4"/>
  <c r="AU722" i="4"/>
  <c r="AK752" i="4"/>
  <c r="H6" i="7"/>
  <c r="H44" i="7" s="1"/>
  <c r="AU752" i="4"/>
  <c r="AQ752" i="4"/>
  <c r="BC782" i="4"/>
  <c r="G7" i="7" l="1"/>
  <c r="G45" i="7" s="1"/>
  <c r="J40" i="9" s="1"/>
  <c r="V40" i="9" s="1"/>
  <c r="E11" i="7"/>
  <c r="E49" i="7" s="1"/>
  <c r="J11" i="9" s="1"/>
  <c r="K11" i="9" s="1"/>
  <c r="E43" i="9"/>
  <c r="E10" i="9"/>
  <c r="H9" i="34"/>
  <c r="I9" i="34" s="1"/>
  <c r="H11" i="34"/>
  <c r="I11" i="34" s="1"/>
  <c r="J77" i="9"/>
  <c r="K77" i="9" s="1"/>
  <c r="H11" i="32"/>
  <c r="I11" i="32" s="1"/>
  <c r="H11" i="31"/>
  <c r="I11" i="31" s="1"/>
  <c r="H11" i="33"/>
  <c r="I11" i="33" s="1"/>
  <c r="H7" i="7"/>
  <c r="H45" i="7" s="1"/>
  <c r="D73" i="9" s="1"/>
  <c r="D77" i="9"/>
  <c r="E77" i="9" s="1"/>
  <c r="G12" i="6"/>
  <c r="D7" i="7"/>
  <c r="D45" i="7" s="1"/>
  <c r="D7" i="9" s="1"/>
  <c r="E7" i="9" s="1"/>
  <c r="K12" i="6"/>
  <c r="O12" i="6"/>
  <c r="BP82" i="9"/>
  <c r="B11" i="34"/>
  <c r="B11" i="33"/>
  <c r="B11" i="31"/>
  <c r="B11" i="32"/>
  <c r="BV49" i="9"/>
  <c r="B50" i="7"/>
  <c r="B12" i="7"/>
  <c r="C12" i="6"/>
  <c r="C12" i="7" s="1"/>
  <c r="C50" i="7" s="1"/>
  <c r="H12" i="6"/>
  <c r="L12" i="6"/>
  <c r="I12" i="6"/>
  <c r="AL11" i="9"/>
  <c r="AR44" i="9"/>
  <c r="BP11" i="9"/>
  <c r="T77" i="9"/>
  <c r="AF44" i="9"/>
  <c r="Z77" i="9"/>
  <c r="AL44" i="9"/>
  <c r="BV77" i="9"/>
  <c r="N44" i="9"/>
  <c r="N77" i="9"/>
  <c r="AF77" i="9"/>
  <c r="BD44" i="9"/>
  <c r="BJ11" i="9"/>
  <c r="T44" i="9"/>
  <c r="BP44" i="9"/>
  <c r="CB44" i="9"/>
  <c r="H44" i="9"/>
  <c r="AX11" i="9"/>
  <c r="AX44" i="9" s="1"/>
  <c r="AX77" i="9" s="1"/>
  <c r="B11" i="9"/>
  <c r="H77" i="9"/>
  <c r="BV11" i="9"/>
  <c r="AL77" i="9"/>
  <c r="BJ77" i="9"/>
  <c r="H11" i="9"/>
  <c r="B77" i="9"/>
  <c r="BJ44" i="9"/>
  <c r="CB77" i="9"/>
  <c r="BD11" i="9"/>
  <c r="T11" i="9"/>
  <c r="BD77" i="9"/>
  <c r="AR11" i="9"/>
  <c r="Z44" i="9"/>
  <c r="N11" i="9"/>
  <c r="B44" i="9"/>
  <c r="AF11" i="9"/>
  <c r="Z11" i="9"/>
  <c r="AR77" i="9"/>
  <c r="CB11" i="9"/>
  <c r="D12" i="6"/>
  <c r="E12" i="6"/>
  <c r="M12" i="6"/>
  <c r="N12" i="6"/>
  <c r="B210" i="63"/>
  <c r="B14" i="3"/>
  <c r="X196" i="62"/>
  <c r="B13" i="6"/>
  <c r="AD244" i="4"/>
  <c r="AC272" i="4" s="1"/>
  <c r="J12" i="6"/>
  <c r="F12" i="6"/>
  <c r="E12" i="7" s="1"/>
  <c r="E50" i="7" s="1"/>
  <c r="J12" i="9" s="1"/>
  <c r="V12" i="9" s="1"/>
  <c r="V44" i="9"/>
  <c r="AH44" i="9" s="1"/>
  <c r="H6" i="34"/>
  <c r="I6" i="34" s="1"/>
  <c r="H6" i="32"/>
  <c r="J6" i="32" s="1"/>
  <c r="H9" i="31"/>
  <c r="I9" i="31" s="1"/>
  <c r="E41" i="9"/>
  <c r="J75" i="9"/>
  <c r="K75" i="9" s="1"/>
  <c r="P6" i="9"/>
  <c r="AB6" i="9" s="1"/>
  <c r="V11" i="9"/>
  <c r="X11" i="9" s="1"/>
  <c r="P8" i="9"/>
  <c r="Q8" i="9" s="1"/>
  <c r="P42" i="9"/>
  <c r="AB42" i="9" s="1"/>
  <c r="H8" i="32"/>
  <c r="J8" i="32" s="1"/>
  <c r="H10" i="34"/>
  <c r="I10" i="34" s="1"/>
  <c r="H8" i="34"/>
  <c r="I8" i="34" s="1"/>
  <c r="H10" i="32"/>
  <c r="I10" i="32" s="1"/>
  <c r="E7" i="7"/>
  <c r="E45" i="7" s="1"/>
  <c r="J7" i="9" s="1"/>
  <c r="K7" i="9" s="1"/>
  <c r="F7" i="7"/>
  <c r="F45" i="7" s="1"/>
  <c r="D40" i="9" s="1"/>
  <c r="E40" i="9" s="1"/>
  <c r="E9" i="9"/>
  <c r="P9" i="9"/>
  <c r="K9" i="9"/>
  <c r="V9" i="9"/>
  <c r="AB41" i="9"/>
  <c r="Q41" i="9"/>
  <c r="V74" i="9"/>
  <c r="K74" i="9"/>
  <c r="E74" i="9"/>
  <c r="P74" i="9"/>
  <c r="E75" i="9"/>
  <c r="P75" i="9"/>
  <c r="V42" i="9"/>
  <c r="K42" i="9"/>
  <c r="K41" i="9"/>
  <c r="V41" i="9"/>
  <c r="H6" i="31"/>
  <c r="J6" i="31" s="1"/>
  <c r="H6" i="33"/>
  <c r="I6" i="33" s="1"/>
  <c r="D72" i="9"/>
  <c r="AJ8" i="9"/>
  <c r="AT8" i="9"/>
  <c r="H10" i="31"/>
  <c r="I10" i="31" s="1"/>
  <c r="D76" i="9"/>
  <c r="H10" i="33"/>
  <c r="I10" i="33" s="1"/>
  <c r="I43" i="7"/>
  <c r="D5" i="9"/>
  <c r="P44" i="9"/>
  <c r="E44" i="9"/>
  <c r="B12" i="56"/>
  <c r="H11" i="56"/>
  <c r="P7" i="9"/>
  <c r="Q39" i="9"/>
  <c r="AB39" i="9"/>
  <c r="AB10" i="9"/>
  <c r="R10" i="9"/>
  <c r="J5" i="9"/>
  <c r="K76" i="9"/>
  <c r="V76" i="9"/>
  <c r="J38" i="9"/>
  <c r="R43" i="9"/>
  <c r="AB43" i="9"/>
  <c r="H5" i="31"/>
  <c r="D71" i="9"/>
  <c r="H5" i="33"/>
  <c r="P11" i="9"/>
  <c r="E11" i="9"/>
  <c r="V39" i="9"/>
  <c r="K39" i="9"/>
  <c r="H15" i="60"/>
  <c r="B16" i="60"/>
  <c r="X10" i="9"/>
  <c r="AH10" i="9"/>
  <c r="D38" i="9"/>
  <c r="I7" i="7"/>
  <c r="I45" i="7" s="1"/>
  <c r="X43" i="9"/>
  <c r="AH43" i="9"/>
  <c r="H12" i="57"/>
  <c r="B13" i="57"/>
  <c r="V72" i="9"/>
  <c r="K72" i="9"/>
  <c r="V6" i="9"/>
  <c r="K6" i="9"/>
  <c r="K40" i="9" l="1"/>
  <c r="H7" i="31"/>
  <c r="J7" i="31" s="1"/>
  <c r="P77" i="9"/>
  <c r="V7" i="9"/>
  <c r="AH7" i="9" s="1"/>
  <c r="V77" i="9"/>
  <c r="X77" i="9" s="1"/>
  <c r="X44" i="9"/>
  <c r="H7" i="33"/>
  <c r="I7" i="33" s="1"/>
  <c r="I20" i="33" s="1"/>
  <c r="R42" i="9"/>
  <c r="P40" i="9"/>
  <c r="Q40" i="9" s="1"/>
  <c r="AH11" i="9"/>
  <c r="AT11" i="9" s="1"/>
  <c r="K12" i="9"/>
  <c r="Q6" i="9"/>
  <c r="D12" i="7"/>
  <c r="D50" i="7" s="1"/>
  <c r="D12" i="9" s="1"/>
  <c r="I12" i="7"/>
  <c r="I50" i="7" s="1"/>
  <c r="H12" i="32" s="1"/>
  <c r="I12" i="32" s="1"/>
  <c r="H12" i="7"/>
  <c r="H50" i="7" s="1"/>
  <c r="B12" i="32"/>
  <c r="BP83" i="9"/>
  <c r="B12" i="34"/>
  <c r="B12" i="31"/>
  <c r="B12" i="33"/>
  <c r="BV50" i="9"/>
  <c r="N13" i="6"/>
  <c r="F13" i="6"/>
  <c r="D13" i="6"/>
  <c r="G13" i="6"/>
  <c r="O13" i="6"/>
  <c r="K13" i="6"/>
  <c r="B13" i="7"/>
  <c r="J13" i="6"/>
  <c r="C13" i="6"/>
  <c r="C13" i="7" s="1"/>
  <c r="C51" i="7" s="1"/>
  <c r="E13" i="6"/>
  <c r="B51" i="7"/>
  <c r="L13" i="6"/>
  <c r="M13" i="6"/>
  <c r="H13" i="6"/>
  <c r="I13" i="6"/>
  <c r="F12" i="7"/>
  <c r="F50" i="7" s="1"/>
  <c r="D45" i="9" s="1"/>
  <c r="G12" i="7"/>
  <c r="G50" i="7" s="1"/>
  <c r="J45" i="9" s="1"/>
  <c r="X220" i="62"/>
  <c r="AD274" i="4"/>
  <c r="AC302" i="4" s="1"/>
  <c r="B14" i="6"/>
  <c r="B234" i="63"/>
  <c r="B15" i="3"/>
  <c r="B78" i="9"/>
  <c r="T78" i="9"/>
  <c r="AF78" i="9"/>
  <c r="AL45" i="9"/>
  <c r="B12" i="9"/>
  <c r="BJ12" i="9"/>
  <c r="T45" i="9"/>
  <c r="CB78" i="9"/>
  <c r="N12" i="9"/>
  <c r="BV78" i="9"/>
  <c r="AR45" i="9"/>
  <c r="Z45" i="9"/>
  <c r="AX12" i="9"/>
  <c r="AX45" i="9" s="1"/>
  <c r="AX78" i="9" s="1"/>
  <c r="BP12" i="9"/>
  <c r="H12" i="9"/>
  <c r="Z78" i="9"/>
  <c r="BJ45" i="9"/>
  <c r="BJ78" i="9"/>
  <c r="BP45" i="9"/>
  <c r="BD12" i="9"/>
  <c r="CB45" i="9"/>
  <c r="CB12" i="9"/>
  <c r="H78" i="9"/>
  <c r="BD45" i="9"/>
  <c r="B45" i="9"/>
  <c r="AL12" i="9"/>
  <c r="H45" i="9"/>
  <c r="BD78" i="9"/>
  <c r="AF12" i="9"/>
  <c r="Z12" i="9"/>
  <c r="T12" i="9"/>
  <c r="BV12" i="9"/>
  <c r="N78" i="9"/>
  <c r="AF45" i="9"/>
  <c r="N45" i="9"/>
  <c r="AR12" i="9"/>
  <c r="AL78" i="9"/>
  <c r="AR78" i="9"/>
  <c r="V75" i="9"/>
  <c r="AH75" i="9" s="1"/>
  <c r="AB8" i="9"/>
  <c r="AN8" i="9" s="1"/>
  <c r="AH41" i="9"/>
  <c r="W41" i="9"/>
  <c r="R75" i="9"/>
  <c r="AB75" i="9"/>
  <c r="W74" i="9"/>
  <c r="AH74" i="9"/>
  <c r="Q74" i="9"/>
  <c r="AB74" i="9"/>
  <c r="R9" i="9"/>
  <c r="AB9" i="9"/>
  <c r="AD42" i="9"/>
  <c r="AN42" i="9"/>
  <c r="AN41" i="9"/>
  <c r="AD41" i="9"/>
  <c r="AH42" i="9"/>
  <c r="X42" i="9"/>
  <c r="X9" i="9"/>
  <c r="AH9" i="9"/>
  <c r="J73" i="9"/>
  <c r="H7" i="34"/>
  <c r="I7" i="34" s="1"/>
  <c r="I20" i="34" s="1"/>
  <c r="H7" i="32"/>
  <c r="J7" i="32" s="1"/>
  <c r="R77" i="9"/>
  <c r="AB77" i="9"/>
  <c r="E38" i="9"/>
  <c r="P38" i="9"/>
  <c r="AN6" i="9"/>
  <c r="AD6" i="9"/>
  <c r="AD43" i="9"/>
  <c r="AN43" i="9"/>
  <c r="AD39" i="9"/>
  <c r="AN39" i="9"/>
  <c r="AH40" i="9"/>
  <c r="W40" i="9"/>
  <c r="AU8" i="9"/>
  <c r="BF8" i="9"/>
  <c r="AH6" i="9"/>
  <c r="W6" i="9"/>
  <c r="X12" i="9"/>
  <c r="AH12" i="9"/>
  <c r="AT12" i="9" s="1"/>
  <c r="AT10" i="9"/>
  <c r="AJ10" i="9"/>
  <c r="AJ44" i="9"/>
  <c r="AT44" i="9"/>
  <c r="K5" i="9"/>
  <c r="V5" i="9"/>
  <c r="B13" i="56"/>
  <c r="H12" i="56"/>
  <c r="W72" i="9"/>
  <c r="AH72" i="9"/>
  <c r="W39" i="9"/>
  <c r="AH39" i="9"/>
  <c r="P71" i="9"/>
  <c r="E71" i="9"/>
  <c r="V38" i="9"/>
  <c r="K38" i="9"/>
  <c r="Q7" i="9"/>
  <c r="AB7" i="9"/>
  <c r="R44" i="9"/>
  <c r="AB44" i="9"/>
  <c r="E73" i="9"/>
  <c r="P73" i="9"/>
  <c r="P76" i="9"/>
  <c r="E76" i="9"/>
  <c r="P72" i="9"/>
  <c r="E72" i="9"/>
  <c r="H13" i="57"/>
  <c r="B14" i="57"/>
  <c r="AJ43" i="9"/>
  <c r="AT43" i="9"/>
  <c r="H16" i="60"/>
  <c r="B17" i="60"/>
  <c r="R11" i="9"/>
  <c r="AB11" i="9"/>
  <c r="J5" i="31"/>
  <c r="AH76" i="9"/>
  <c r="X76" i="9"/>
  <c r="AD10" i="9"/>
  <c r="AN10" i="9"/>
  <c r="W7" i="9"/>
  <c r="E5" i="9"/>
  <c r="P5" i="9"/>
  <c r="J71" i="9"/>
  <c r="H5" i="34"/>
  <c r="H5" i="32"/>
  <c r="AJ11" i="9" l="1"/>
  <c r="F13" i="7"/>
  <c r="F51" i="7" s="1"/>
  <c r="D46" i="9" s="1"/>
  <c r="P46" i="9" s="1"/>
  <c r="J78" i="9"/>
  <c r="AH77" i="9"/>
  <c r="AJ77" i="9" s="1"/>
  <c r="AB40" i="9"/>
  <c r="AN40" i="9" s="1"/>
  <c r="H12" i="34"/>
  <c r="E13" i="7"/>
  <c r="E51" i="7" s="1"/>
  <c r="J13" i="9" s="1"/>
  <c r="K13" i="9" s="1"/>
  <c r="E12" i="9"/>
  <c r="P12" i="9"/>
  <c r="AD8" i="9"/>
  <c r="H13" i="7"/>
  <c r="H51" i="7" s="1"/>
  <c r="D79" i="9" s="1"/>
  <c r="H12" i="31"/>
  <c r="I12" i="31" s="1"/>
  <c r="D78" i="9"/>
  <c r="H12" i="33"/>
  <c r="B15" i="6"/>
  <c r="X244" i="62"/>
  <c r="B258" i="63"/>
  <c r="B16" i="3"/>
  <c r="AD304" i="4"/>
  <c r="AC332" i="4" s="1"/>
  <c r="K78" i="9"/>
  <c r="V78" i="9"/>
  <c r="I13" i="7"/>
  <c r="I51" i="7" s="1"/>
  <c r="V45" i="9"/>
  <c r="K45" i="9"/>
  <c r="G13" i="7"/>
  <c r="G51" i="7" s="1"/>
  <c r="J46" i="9" s="1"/>
  <c r="N14" i="6"/>
  <c r="L14" i="6"/>
  <c r="O14" i="6"/>
  <c r="B14" i="7"/>
  <c r="M14" i="6"/>
  <c r="C14" i="6"/>
  <c r="C14" i="7" s="1"/>
  <c r="C52" i="7" s="1"/>
  <c r="K14" i="6"/>
  <c r="J14" i="6"/>
  <c r="G14" i="6"/>
  <c r="B52" i="7"/>
  <c r="I14" i="6"/>
  <c r="H14" i="6"/>
  <c r="D14" i="6"/>
  <c r="F14" i="6"/>
  <c r="E14" i="6"/>
  <c r="E45" i="9"/>
  <c r="P45" i="9"/>
  <c r="B13" i="32"/>
  <c r="BP84" i="9"/>
  <c r="BV51" i="9"/>
  <c r="B13" i="34"/>
  <c r="B13" i="33"/>
  <c r="B13" i="31"/>
  <c r="B46" i="9"/>
  <c r="BD13" i="9"/>
  <c r="T46" i="9"/>
  <c r="BJ13" i="9"/>
  <c r="AF79" i="9"/>
  <c r="CB46" i="9"/>
  <c r="H13" i="9"/>
  <c r="H46" i="9"/>
  <c r="H79" i="9"/>
  <c r="BD46" i="9"/>
  <c r="N13" i="9"/>
  <c r="N79" i="9"/>
  <c r="BD79" i="9"/>
  <c r="CB79" i="9"/>
  <c r="AF13" i="9"/>
  <c r="AL79" i="9"/>
  <c r="Z46" i="9"/>
  <c r="T79" i="9"/>
  <c r="AF46" i="9"/>
  <c r="BJ79" i="9"/>
  <c r="B13" i="9"/>
  <c r="CB13" i="9"/>
  <c r="T13" i="9"/>
  <c r="AR13" i="9"/>
  <c r="BP13" i="9"/>
  <c r="Z79" i="9"/>
  <c r="BJ46" i="9"/>
  <c r="BP46" i="9"/>
  <c r="AX13" i="9"/>
  <c r="AX46" i="9" s="1"/>
  <c r="AX79" i="9" s="1"/>
  <c r="Z13" i="9"/>
  <c r="BV79" i="9"/>
  <c r="AL46" i="9"/>
  <c r="B79" i="9"/>
  <c r="AR79" i="9"/>
  <c r="BV13" i="9"/>
  <c r="AR46" i="9"/>
  <c r="N46" i="9"/>
  <c r="AL13" i="9"/>
  <c r="D13" i="7"/>
  <c r="D51" i="7" s="1"/>
  <c r="D13" i="9" s="1"/>
  <c r="X75" i="9"/>
  <c r="AJ9" i="9"/>
  <c r="AT9" i="9"/>
  <c r="AZ42" i="9"/>
  <c r="AO42" i="9"/>
  <c r="AT42" i="9"/>
  <c r="AJ42" i="9"/>
  <c r="AD74" i="9"/>
  <c r="AN74" i="9"/>
  <c r="AZ8" i="9"/>
  <c r="AO8" i="9"/>
  <c r="AJ41" i="9"/>
  <c r="AT41" i="9"/>
  <c r="AJ75" i="9"/>
  <c r="AT75" i="9"/>
  <c r="AO41" i="9"/>
  <c r="AZ41" i="9"/>
  <c r="AD9" i="9"/>
  <c r="AN9" i="9"/>
  <c r="AJ74" i="9"/>
  <c r="AT74" i="9"/>
  <c r="AN75" i="9"/>
  <c r="AD75" i="9"/>
  <c r="Q73" i="9"/>
  <c r="AB73" i="9"/>
  <c r="AN7" i="9"/>
  <c r="AD7" i="9"/>
  <c r="J5" i="32"/>
  <c r="H14" i="57"/>
  <c r="B15" i="57"/>
  <c r="AB71" i="9"/>
  <c r="Q71" i="9"/>
  <c r="AJ39" i="9"/>
  <c r="AT39" i="9"/>
  <c r="B14" i="56"/>
  <c r="H13" i="56"/>
  <c r="BF10" i="9"/>
  <c r="AU10" i="9"/>
  <c r="AT6" i="9"/>
  <c r="AJ6" i="9"/>
  <c r="AZ6" i="9"/>
  <c r="AP6" i="9"/>
  <c r="AB38" i="9"/>
  <c r="Q38" i="9"/>
  <c r="AN11" i="9"/>
  <c r="AD11" i="9"/>
  <c r="AB72" i="9"/>
  <c r="Q72" i="9"/>
  <c r="AB5" i="9"/>
  <c r="Q5" i="9"/>
  <c r="AB76" i="9"/>
  <c r="R76" i="9"/>
  <c r="W38" i="9"/>
  <c r="AH38" i="9"/>
  <c r="AU44" i="9"/>
  <c r="BF44" i="9"/>
  <c r="AV12" i="9"/>
  <c r="BF12" i="9"/>
  <c r="AZ43" i="9"/>
  <c r="AO43" i="9"/>
  <c r="H17" i="60"/>
  <c r="B18" i="60"/>
  <c r="K71" i="9"/>
  <c r="V71" i="9"/>
  <c r="AT7" i="9"/>
  <c r="AJ7" i="9"/>
  <c r="AT76" i="9"/>
  <c r="AJ76" i="9"/>
  <c r="AU43" i="9"/>
  <c r="BF43" i="9"/>
  <c r="BF11" i="9"/>
  <c r="AU11" i="9"/>
  <c r="AD40" i="9"/>
  <c r="AZ39" i="9"/>
  <c r="AP39" i="9"/>
  <c r="AN77" i="9"/>
  <c r="AD77" i="9"/>
  <c r="V73" i="9"/>
  <c r="K73" i="9"/>
  <c r="AZ10" i="9"/>
  <c r="AO10" i="9"/>
  <c r="AD44" i="9"/>
  <c r="AN44" i="9"/>
  <c r="AT72" i="9"/>
  <c r="AJ72" i="9"/>
  <c r="AH5" i="9"/>
  <c r="W5" i="9"/>
  <c r="BR8" i="9"/>
  <c r="BG8" i="9"/>
  <c r="AT40" i="9"/>
  <c r="AJ40" i="9"/>
  <c r="H13" i="31" l="1"/>
  <c r="I13" i="31" s="1"/>
  <c r="E46" i="9"/>
  <c r="AT77" i="9"/>
  <c r="V13" i="9"/>
  <c r="X13" i="9" s="1"/>
  <c r="H13" i="33"/>
  <c r="J13" i="33" s="1"/>
  <c r="D14" i="7"/>
  <c r="D52" i="7" s="1"/>
  <c r="D14" i="9" s="1"/>
  <c r="P14" i="9" s="1"/>
  <c r="I14" i="7"/>
  <c r="I52" i="7" s="1"/>
  <c r="J80" i="9" s="1"/>
  <c r="R12" i="9"/>
  <c r="AB12" i="9"/>
  <c r="AN12" i="9" s="1"/>
  <c r="F14" i="7"/>
  <c r="F52" i="7" s="1"/>
  <c r="D47" i="9" s="1"/>
  <c r="P47" i="9" s="1"/>
  <c r="G14" i="7"/>
  <c r="G52" i="7" s="1"/>
  <c r="J47" i="9" s="1"/>
  <c r="K47" i="9" s="1"/>
  <c r="E14" i="7"/>
  <c r="E52" i="7" s="1"/>
  <c r="J14" i="9" s="1"/>
  <c r="K14" i="9" s="1"/>
  <c r="H14" i="7"/>
  <c r="H52" i="7" s="1"/>
  <c r="H14" i="33" s="1"/>
  <c r="J14" i="33" s="1"/>
  <c r="V47" i="9"/>
  <c r="BV14" i="9"/>
  <c r="Z80" i="9"/>
  <c r="N80" i="9"/>
  <c r="AX14" i="9"/>
  <c r="AX47" i="9" s="1"/>
  <c r="AX80" i="9" s="1"/>
  <c r="AR80" i="9"/>
  <c r="AF14" i="9"/>
  <c r="H80" i="9"/>
  <c r="AL80" i="9"/>
  <c r="B47" i="9"/>
  <c r="BJ47" i="9"/>
  <c r="BD80" i="9"/>
  <c r="CB14" i="9"/>
  <c r="N14" i="9"/>
  <c r="N47" i="9"/>
  <c r="B14" i="9"/>
  <c r="AR14" i="9"/>
  <c r="AL47" i="9"/>
  <c r="Z14" i="9"/>
  <c r="BJ14" i="9"/>
  <c r="BD14" i="9"/>
  <c r="Z47" i="9"/>
  <c r="T14" i="9"/>
  <c r="BJ80" i="9"/>
  <c r="BD47" i="9"/>
  <c r="T80" i="9"/>
  <c r="B80" i="9"/>
  <c r="BP14" i="9"/>
  <c r="AF47" i="9"/>
  <c r="AF80" i="9"/>
  <c r="T47" i="9"/>
  <c r="BP47" i="9"/>
  <c r="CB80" i="9"/>
  <c r="AR47" i="9"/>
  <c r="CB47" i="9"/>
  <c r="H47" i="9"/>
  <c r="H14" i="9"/>
  <c r="AL14" i="9"/>
  <c r="BV80" i="9"/>
  <c r="V46" i="9"/>
  <c r="K46" i="9"/>
  <c r="AB46" i="9"/>
  <c r="R46" i="9"/>
  <c r="X45" i="9"/>
  <c r="AH45" i="9"/>
  <c r="AT45" i="9" s="1"/>
  <c r="H15" i="6"/>
  <c r="L15" i="6"/>
  <c r="E15" i="6"/>
  <c r="O15" i="6"/>
  <c r="D15" i="6"/>
  <c r="F15" i="6"/>
  <c r="K15" i="6"/>
  <c r="B15" i="7"/>
  <c r="G15" i="6"/>
  <c r="M15" i="6"/>
  <c r="I15" i="6"/>
  <c r="B53" i="7"/>
  <c r="C15" i="6"/>
  <c r="C15" i="7" s="1"/>
  <c r="C53" i="7" s="1"/>
  <c r="J15" i="6"/>
  <c r="N15" i="6"/>
  <c r="P13" i="9"/>
  <c r="E13" i="9"/>
  <c r="BP85" i="9"/>
  <c r="B14" i="31"/>
  <c r="BV52" i="9"/>
  <c r="B14" i="33"/>
  <c r="B14" i="34"/>
  <c r="B14" i="32"/>
  <c r="H13" i="32"/>
  <c r="I13" i="32" s="1"/>
  <c r="H13" i="34"/>
  <c r="J13" i="34" s="1"/>
  <c r="J79" i="9"/>
  <c r="B282" i="63"/>
  <c r="AD334" i="4"/>
  <c r="AC362" i="4" s="1"/>
  <c r="B16" i="6"/>
  <c r="B17" i="3"/>
  <c r="X268" i="62"/>
  <c r="AB45" i="9"/>
  <c r="AN45" i="9" s="1"/>
  <c r="R45" i="9"/>
  <c r="H14" i="34"/>
  <c r="J14" i="34" s="1"/>
  <c r="H14" i="32"/>
  <c r="I14" i="32" s="1"/>
  <c r="E79" i="9"/>
  <c r="P79" i="9"/>
  <c r="AH78" i="9"/>
  <c r="AT78" i="9" s="1"/>
  <c r="X78" i="9"/>
  <c r="E78" i="9"/>
  <c r="P78" i="9"/>
  <c r="AD67" i="9"/>
  <c r="AD34" i="9"/>
  <c r="AO9" i="9"/>
  <c r="AZ9" i="9"/>
  <c r="AU75" i="9"/>
  <c r="BF75" i="9"/>
  <c r="AO74" i="9"/>
  <c r="AZ74" i="9"/>
  <c r="AO75" i="9"/>
  <c r="AZ75" i="9"/>
  <c r="BA42" i="9"/>
  <c r="BL42" i="9"/>
  <c r="AU74" i="9"/>
  <c r="BF74" i="9"/>
  <c r="BA41" i="9"/>
  <c r="BL41" i="9"/>
  <c r="AU9" i="9"/>
  <c r="BF9" i="9"/>
  <c r="AU41" i="9"/>
  <c r="BF41" i="9"/>
  <c r="BL8" i="9"/>
  <c r="BA8" i="9"/>
  <c r="AU42" i="9"/>
  <c r="BF42" i="9"/>
  <c r="AU40" i="9"/>
  <c r="BF40" i="9"/>
  <c r="AT5" i="9"/>
  <c r="BF72" i="9"/>
  <c r="AV72" i="9"/>
  <c r="BL10" i="9"/>
  <c r="BB10" i="9"/>
  <c r="AO77" i="9"/>
  <c r="AZ77" i="9"/>
  <c r="BL39" i="9"/>
  <c r="BA39" i="9"/>
  <c r="AT38" i="9"/>
  <c r="K5" i="39"/>
  <c r="AD72" i="9"/>
  <c r="AN72" i="9"/>
  <c r="BF6" i="9"/>
  <c r="AV6" i="9"/>
  <c r="AO40" i="9"/>
  <c r="AZ40" i="9"/>
  <c r="AU76" i="9"/>
  <c r="BF76" i="9"/>
  <c r="AH71" i="9"/>
  <c r="W71" i="9"/>
  <c r="BL43" i="9"/>
  <c r="BB43" i="9"/>
  <c r="BR44" i="9"/>
  <c r="BH44" i="9"/>
  <c r="AN5" i="9"/>
  <c r="AN38" i="9"/>
  <c r="AU77" i="9"/>
  <c r="BF77" i="9"/>
  <c r="B15" i="56"/>
  <c r="H14" i="56"/>
  <c r="AV39" i="9"/>
  <c r="BF39" i="9"/>
  <c r="AN71" i="9"/>
  <c r="B16" i="57"/>
  <c r="H15" i="57"/>
  <c r="AH73" i="9"/>
  <c r="W73" i="9"/>
  <c r="AO11" i="9"/>
  <c r="AZ11" i="9"/>
  <c r="BH10" i="9"/>
  <c r="BR10" i="9"/>
  <c r="AJ67" i="9"/>
  <c r="AZ7" i="9"/>
  <c r="AO7" i="9"/>
  <c r="CD8" i="9"/>
  <c r="CF8" i="9" s="1"/>
  <c r="BT8" i="9"/>
  <c r="AO44" i="9"/>
  <c r="AZ44" i="9"/>
  <c r="BH11" i="9"/>
  <c r="BR11" i="9"/>
  <c r="BR43" i="9"/>
  <c r="BH43" i="9"/>
  <c r="AU7" i="9"/>
  <c r="BF7" i="9"/>
  <c r="H18" i="60"/>
  <c r="B19" i="60"/>
  <c r="BR12" i="9"/>
  <c r="BH12" i="9"/>
  <c r="AD76" i="9"/>
  <c r="AN76" i="9"/>
  <c r="BA6" i="9"/>
  <c r="BL6" i="9"/>
  <c r="AJ34" i="9"/>
  <c r="AN73" i="9"/>
  <c r="AD73" i="9"/>
  <c r="I15" i="7" l="1"/>
  <c r="I53" i="7" s="1"/>
  <c r="E47" i="9"/>
  <c r="V14" i="9"/>
  <c r="X14" i="9" s="1"/>
  <c r="H14" i="31"/>
  <c r="I14" i="31" s="1"/>
  <c r="AH13" i="9"/>
  <c r="AI13" i="9" s="1"/>
  <c r="E14" i="9"/>
  <c r="D80" i="9"/>
  <c r="E80" i="9" s="1"/>
  <c r="AZ12" i="9"/>
  <c r="AP12" i="9"/>
  <c r="AB78" i="9"/>
  <c r="AN78" i="9" s="1"/>
  <c r="R78" i="9"/>
  <c r="R79" i="9"/>
  <c r="AB79" i="9"/>
  <c r="AP45" i="9"/>
  <c r="AZ45" i="9"/>
  <c r="D15" i="7"/>
  <c r="D53" i="7" s="1"/>
  <c r="D15" i="9" s="1"/>
  <c r="P15" i="9" s="1"/>
  <c r="F15" i="7"/>
  <c r="F53" i="7" s="1"/>
  <c r="D48" i="9" s="1"/>
  <c r="P48" i="9" s="1"/>
  <c r="AC46" i="9"/>
  <c r="AN46" i="9"/>
  <c r="B15" i="33"/>
  <c r="BV53" i="9"/>
  <c r="B15" i="34"/>
  <c r="B15" i="31"/>
  <c r="B15" i="32"/>
  <c r="BP86" i="9"/>
  <c r="H48" i="9"/>
  <c r="BD81" i="9"/>
  <c r="BD48" i="9"/>
  <c r="T81" i="9"/>
  <c r="B48" i="9"/>
  <c r="N81" i="9"/>
  <c r="AF48" i="9"/>
  <c r="AX15" i="9"/>
  <c r="AX48" i="9" s="1"/>
  <c r="AX81" i="9" s="1"/>
  <c r="BV15" i="9"/>
  <c r="BJ48" i="9"/>
  <c r="BD15" i="9"/>
  <c r="BP48" i="9"/>
  <c r="BV81" i="9"/>
  <c r="N15" i="9"/>
  <c r="T15" i="9"/>
  <c r="BJ81" i="9"/>
  <c r="CB15" i="9"/>
  <c r="T48" i="9"/>
  <c r="AR15" i="9"/>
  <c r="AR81" i="9"/>
  <c r="H15" i="9"/>
  <c r="AL15" i="9"/>
  <c r="B81" i="9"/>
  <c r="AF15" i="9"/>
  <c r="AF81" i="9"/>
  <c r="Z15" i="9"/>
  <c r="CB81" i="9"/>
  <c r="BJ15" i="9"/>
  <c r="B15" i="9"/>
  <c r="AL48" i="9"/>
  <c r="AL81" i="9"/>
  <c r="N48" i="9"/>
  <c r="Z81" i="9"/>
  <c r="BP15" i="9"/>
  <c r="Z48" i="9"/>
  <c r="CB48" i="9"/>
  <c r="H81" i="9"/>
  <c r="AR48" i="9"/>
  <c r="AV45" i="9"/>
  <c r="BF45" i="9"/>
  <c r="R14" i="9"/>
  <c r="AB14" i="9"/>
  <c r="B306" i="63"/>
  <c r="X292" i="62"/>
  <c r="AD364" i="4"/>
  <c r="AC392" i="4" s="1"/>
  <c r="B18" i="3"/>
  <c r="B17" i="6"/>
  <c r="V79" i="9"/>
  <c r="K79" i="9"/>
  <c r="H15" i="34"/>
  <c r="J15" i="34" s="1"/>
  <c r="H15" i="32"/>
  <c r="I15" i="32" s="1"/>
  <c r="I20" i="32" s="1"/>
  <c r="J81" i="9"/>
  <c r="AH46" i="9"/>
  <c r="X46" i="9"/>
  <c r="X47" i="9"/>
  <c r="AH47" i="9"/>
  <c r="AV78" i="9"/>
  <c r="BF78" i="9"/>
  <c r="K80" i="9"/>
  <c r="V80" i="9"/>
  <c r="G16" i="6"/>
  <c r="K16" i="6"/>
  <c r="O16" i="6"/>
  <c r="B16" i="7"/>
  <c r="J16" i="6"/>
  <c r="L16" i="6"/>
  <c r="E16" i="6"/>
  <c r="B54" i="7"/>
  <c r="C16" i="6"/>
  <c r="C16" i="7" s="1"/>
  <c r="C54" i="7" s="1"/>
  <c r="I16" i="6"/>
  <c r="H16" i="6"/>
  <c r="N16" i="6"/>
  <c r="F16" i="6"/>
  <c r="M16" i="6"/>
  <c r="D16" i="6"/>
  <c r="AB13" i="9"/>
  <c r="R13" i="9"/>
  <c r="G15" i="7"/>
  <c r="G53" i="7" s="1"/>
  <c r="J48" i="9" s="1"/>
  <c r="V48" i="9" s="1"/>
  <c r="E15" i="7"/>
  <c r="E53" i="7" s="1"/>
  <c r="J15" i="9" s="1"/>
  <c r="H15" i="7"/>
  <c r="H53" i="7" s="1"/>
  <c r="R47" i="9"/>
  <c r="AB47" i="9"/>
  <c r="BN8" i="9"/>
  <c r="BX8" i="9"/>
  <c r="BZ8" i="9" s="1"/>
  <c r="BG42" i="9"/>
  <c r="BR42" i="9"/>
  <c r="BR41" i="9"/>
  <c r="BG41" i="9"/>
  <c r="BX41" i="9"/>
  <c r="BZ41" i="9" s="1"/>
  <c r="BN41" i="9"/>
  <c r="BX42" i="9"/>
  <c r="BY42" i="9" s="1"/>
  <c r="BN42" i="9"/>
  <c r="BA74" i="9"/>
  <c r="BL74" i="9"/>
  <c r="BL9" i="9"/>
  <c r="BA9" i="9"/>
  <c r="BR9" i="9"/>
  <c r="BG9" i="9"/>
  <c r="BR74" i="9"/>
  <c r="BG74" i="9"/>
  <c r="BL75" i="9"/>
  <c r="BA75" i="9"/>
  <c r="BR75" i="9"/>
  <c r="BG75" i="9"/>
  <c r="H19" i="60"/>
  <c r="B20" i="60"/>
  <c r="CD10" i="9"/>
  <c r="CE10" i="9" s="1"/>
  <c r="BS10" i="9"/>
  <c r="AJ73" i="9"/>
  <c r="AJ100" i="9" s="1"/>
  <c r="AT73" i="9"/>
  <c r="BR39" i="9"/>
  <c r="BG39" i="9"/>
  <c r="BR77" i="9"/>
  <c r="BH77" i="9"/>
  <c r="AT71" i="9"/>
  <c r="BA40" i="9"/>
  <c r="BL40" i="9"/>
  <c r="AP72" i="9"/>
  <c r="AZ72" i="9"/>
  <c r="BX39" i="9"/>
  <c r="BZ39" i="9" s="1"/>
  <c r="BM39" i="9"/>
  <c r="BM10" i="9"/>
  <c r="BX10" i="9"/>
  <c r="BY10" i="9" s="1"/>
  <c r="AV5" i="9"/>
  <c r="BF5" i="9"/>
  <c r="BR40" i="9"/>
  <c r="BG40" i="9"/>
  <c r="AO73" i="9"/>
  <c r="AZ73" i="9"/>
  <c r="BS43" i="9"/>
  <c r="CD43" i="9"/>
  <c r="CE43" i="9" s="1"/>
  <c r="AZ76" i="9"/>
  <c r="AO76" i="9"/>
  <c r="BS11" i="9"/>
  <c r="CD11" i="9"/>
  <c r="CE11" i="9" s="1"/>
  <c r="BL44" i="9"/>
  <c r="BB44" i="9"/>
  <c r="H16" i="57"/>
  <c r="B17" i="57"/>
  <c r="AP5" i="9"/>
  <c r="AZ5" i="9"/>
  <c r="BR6" i="9"/>
  <c r="BG6" i="9"/>
  <c r="AD100" i="9"/>
  <c r="BL77" i="9"/>
  <c r="BB77" i="9"/>
  <c r="BA7" i="9"/>
  <c r="BL7" i="9"/>
  <c r="BL11" i="9"/>
  <c r="BB11" i="9"/>
  <c r="BR72" i="9"/>
  <c r="BG72" i="9"/>
  <c r="BM6" i="9"/>
  <c r="BX6" i="9"/>
  <c r="BZ6" i="9" s="1"/>
  <c r="BS12" i="9"/>
  <c r="CD12" i="9"/>
  <c r="BR7" i="9"/>
  <c r="BG7" i="9"/>
  <c r="AP71" i="9"/>
  <c r="AZ71" i="9"/>
  <c r="B16" i="56"/>
  <c r="H15" i="56"/>
  <c r="AZ38" i="9"/>
  <c r="AP38" i="9"/>
  <c r="CD44" i="9"/>
  <c r="CE44" i="9" s="1"/>
  <c r="BS44" i="9"/>
  <c r="BM43" i="9"/>
  <c r="BX43" i="9"/>
  <c r="BY43" i="9" s="1"/>
  <c r="BR76" i="9"/>
  <c r="BH76" i="9"/>
  <c r="AV38" i="9"/>
  <c r="BF38" i="9"/>
  <c r="D16" i="7" l="1"/>
  <c r="D54" i="7" s="1"/>
  <c r="D16" i="9" s="1"/>
  <c r="E16" i="7"/>
  <c r="E54" i="7" s="1"/>
  <c r="J16" i="9" s="1"/>
  <c r="AH14" i="9"/>
  <c r="AT14" i="9" s="1"/>
  <c r="P80" i="9"/>
  <c r="R80" i="9" s="1"/>
  <c r="E15" i="9"/>
  <c r="AT13" i="9"/>
  <c r="AV13" i="9" s="1"/>
  <c r="K48" i="9"/>
  <c r="E48" i="9"/>
  <c r="BL12" i="9"/>
  <c r="BB12" i="9"/>
  <c r="I16" i="7"/>
  <c r="I54" i="7" s="1"/>
  <c r="H16" i="32" s="1"/>
  <c r="J16" i="32" s="1"/>
  <c r="AN14" i="9"/>
  <c r="AC14" i="9"/>
  <c r="BF13" i="9"/>
  <c r="V15" i="9"/>
  <c r="K15" i="9"/>
  <c r="G16" i="7"/>
  <c r="G54" i="7" s="1"/>
  <c r="J49" i="9" s="1"/>
  <c r="AT46" i="9"/>
  <c r="AI46" i="9"/>
  <c r="AN79" i="9"/>
  <c r="AC79" i="9"/>
  <c r="AC47" i="9"/>
  <c r="AN47" i="9"/>
  <c r="B16" i="34"/>
  <c r="BP87" i="9"/>
  <c r="BV54" i="9"/>
  <c r="B16" i="32"/>
  <c r="B16" i="33"/>
  <c r="B16" i="31"/>
  <c r="AI47" i="9"/>
  <c r="AT47" i="9"/>
  <c r="X79" i="9"/>
  <c r="AH79" i="9"/>
  <c r="Z49" i="9"/>
  <c r="AL82" i="9"/>
  <c r="H82" i="9"/>
  <c r="BD49" i="9"/>
  <c r="CB82" i="9"/>
  <c r="AF16" i="9"/>
  <c r="H49" i="9"/>
  <c r="AF49" i="9"/>
  <c r="BJ49" i="9"/>
  <c r="AR82" i="9"/>
  <c r="Z82" i="9"/>
  <c r="BJ16" i="9"/>
  <c r="AL16" i="9"/>
  <c r="BP16" i="9"/>
  <c r="T49" i="9"/>
  <c r="AL49" i="9"/>
  <c r="AF82" i="9"/>
  <c r="BV16" i="9"/>
  <c r="AR16" i="9"/>
  <c r="BP49" i="9"/>
  <c r="BD16" i="9"/>
  <c r="B16" i="9"/>
  <c r="B49" i="9"/>
  <c r="BJ82" i="9"/>
  <c r="Z16" i="9"/>
  <c r="AR49" i="9"/>
  <c r="T82" i="9"/>
  <c r="BV82" i="9"/>
  <c r="AX16" i="9"/>
  <c r="AX49" i="9" s="1"/>
  <c r="AX82" i="9" s="1"/>
  <c r="N82" i="9"/>
  <c r="CB16" i="9"/>
  <c r="B82" i="9"/>
  <c r="T16" i="9"/>
  <c r="BD82" i="9"/>
  <c r="N49" i="9"/>
  <c r="N16" i="9"/>
  <c r="H16" i="9"/>
  <c r="CB49" i="9"/>
  <c r="X80" i="9"/>
  <c r="AH80" i="9"/>
  <c r="V81" i="9"/>
  <c r="K81" i="9"/>
  <c r="BR45" i="9"/>
  <c r="BH45" i="9"/>
  <c r="P16" i="9"/>
  <c r="E16" i="9"/>
  <c r="F16" i="7"/>
  <c r="F54" i="7" s="1"/>
  <c r="D49" i="9" s="1"/>
  <c r="B17" i="7"/>
  <c r="N17" i="6"/>
  <c r="I17" i="6"/>
  <c r="D17" i="6"/>
  <c r="O17" i="6"/>
  <c r="K17" i="6"/>
  <c r="J17" i="6"/>
  <c r="G17" i="6"/>
  <c r="M17" i="6"/>
  <c r="E17" i="6"/>
  <c r="H17" i="6"/>
  <c r="F17" i="7" s="1"/>
  <c r="F55" i="7" s="1"/>
  <c r="D50" i="9" s="1"/>
  <c r="B55" i="7"/>
  <c r="C17" i="6"/>
  <c r="C17" i="7" s="1"/>
  <c r="C55" i="7" s="1"/>
  <c r="F17" i="6"/>
  <c r="L17" i="6"/>
  <c r="BL45" i="9"/>
  <c r="BB45" i="9"/>
  <c r="H15" i="31"/>
  <c r="I15" i="31" s="1"/>
  <c r="I20" i="31" s="1"/>
  <c r="H15" i="33"/>
  <c r="J15" i="33" s="1"/>
  <c r="D81" i="9"/>
  <c r="AC13" i="9"/>
  <c r="AN13" i="9"/>
  <c r="H16" i="7"/>
  <c r="H54" i="7" s="1"/>
  <c r="BR78" i="9"/>
  <c r="BH78" i="9"/>
  <c r="AD394" i="4"/>
  <c r="AC422" i="4" s="1"/>
  <c r="X316" i="62"/>
  <c r="B18" i="6"/>
  <c r="B330" i="63"/>
  <c r="B19" i="3"/>
  <c r="AZ46" i="9"/>
  <c r="AP46" i="9"/>
  <c r="AZ78" i="9"/>
  <c r="AP78" i="9"/>
  <c r="BT75" i="9"/>
  <c r="CD75" i="9"/>
  <c r="CE75" i="9" s="1"/>
  <c r="BT74" i="9"/>
  <c r="CD74" i="9"/>
  <c r="CF74" i="9" s="1"/>
  <c r="BX75" i="9"/>
  <c r="BY75" i="9" s="1"/>
  <c r="BN75" i="9"/>
  <c r="BT9" i="9"/>
  <c r="CD9" i="9"/>
  <c r="CE9" i="9" s="1"/>
  <c r="BX9" i="9"/>
  <c r="BY9" i="9" s="1"/>
  <c r="BN9" i="9"/>
  <c r="CD41" i="9"/>
  <c r="CF41" i="9" s="1"/>
  <c r="BT41" i="9"/>
  <c r="BX74" i="9"/>
  <c r="BZ74" i="9" s="1"/>
  <c r="BN74" i="9"/>
  <c r="CD42" i="9"/>
  <c r="CE42" i="9" s="1"/>
  <c r="BT42" i="9"/>
  <c r="AB15" i="9"/>
  <c r="R15" i="9"/>
  <c r="R34" i="9" s="1"/>
  <c r="BX44" i="9"/>
  <c r="BY44" i="9" s="1"/>
  <c r="BM44" i="9"/>
  <c r="BL76" i="9"/>
  <c r="BB76" i="9"/>
  <c r="CD40" i="9"/>
  <c r="CF40" i="9" s="1"/>
  <c r="BT40" i="9"/>
  <c r="BX40" i="9"/>
  <c r="BZ40" i="9" s="1"/>
  <c r="BN40" i="9"/>
  <c r="H20" i="60"/>
  <c r="B21" i="60"/>
  <c r="BT7" i="9"/>
  <c r="CD7" i="9"/>
  <c r="CF7" i="9" s="1"/>
  <c r="BR38" i="9"/>
  <c r="BG38" i="9"/>
  <c r="BS76" i="9"/>
  <c r="CD76" i="9"/>
  <c r="CE76" i="9" s="1"/>
  <c r="BA38" i="9"/>
  <c r="BL38" i="9"/>
  <c r="BL71" i="9"/>
  <c r="BA71" i="9"/>
  <c r="AI14" i="9"/>
  <c r="BM11" i="9"/>
  <c r="BX11" i="9"/>
  <c r="BY11" i="9" s="1"/>
  <c r="CD6" i="9"/>
  <c r="CF6" i="9" s="1"/>
  <c r="BS6" i="9"/>
  <c r="BA5" i="9"/>
  <c r="BL5" i="9"/>
  <c r="AH48" i="9"/>
  <c r="X48" i="9"/>
  <c r="X67" i="9" s="1"/>
  <c r="BS39" i="9"/>
  <c r="CD39" i="9"/>
  <c r="CF39" i="9" s="1"/>
  <c r="BN7" i="9"/>
  <c r="BX7" i="9"/>
  <c r="BZ7" i="9" s="1"/>
  <c r="BM77" i="9"/>
  <c r="BX77" i="9"/>
  <c r="BY77" i="9" s="1"/>
  <c r="BA73" i="9"/>
  <c r="BL73" i="9"/>
  <c r="BG5" i="9"/>
  <c r="BR5" i="9"/>
  <c r="BL72" i="9"/>
  <c r="BA72" i="9"/>
  <c r="AB48" i="9"/>
  <c r="R48" i="9"/>
  <c r="R67" i="9" s="1"/>
  <c r="AU73" i="9"/>
  <c r="BF73" i="9"/>
  <c r="H16" i="56"/>
  <c r="B17" i="56"/>
  <c r="BS72" i="9"/>
  <c r="CD72" i="9"/>
  <c r="CF72" i="9" s="1"/>
  <c r="K16" i="9"/>
  <c r="V16" i="9"/>
  <c r="B18" i="57"/>
  <c r="H17" i="57"/>
  <c r="BF71" i="9"/>
  <c r="AV71" i="9"/>
  <c r="BS77" i="9"/>
  <c r="CD77" i="9"/>
  <c r="CE77" i="9" s="1"/>
  <c r="AB80" i="9" l="1"/>
  <c r="AC80" i="9" s="1"/>
  <c r="H17" i="7"/>
  <c r="H55" i="7" s="1"/>
  <c r="D83" i="9" s="1"/>
  <c r="E17" i="7"/>
  <c r="E55" i="7" s="1"/>
  <c r="J17" i="9" s="1"/>
  <c r="V17" i="9" s="1"/>
  <c r="BM12" i="9"/>
  <c r="BX12" i="9"/>
  <c r="J82" i="9"/>
  <c r="H16" i="34"/>
  <c r="J16" i="34" s="1"/>
  <c r="G17" i="7"/>
  <c r="G55" i="7" s="1"/>
  <c r="J50" i="9" s="1"/>
  <c r="V50" i="9" s="1"/>
  <c r="AZ13" i="9"/>
  <c r="AP13" i="9"/>
  <c r="E50" i="9"/>
  <c r="P50" i="9"/>
  <c r="AV46" i="9"/>
  <c r="BF46" i="9"/>
  <c r="AZ14" i="9"/>
  <c r="AP14" i="9"/>
  <c r="BB78" i="9"/>
  <c r="BL78" i="9"/>
  <c r="I17" i="7"/>
  <c r="I55" i="7" s="1"/>
  <c r="AB16" i="9"/>
  <c r="Q16" i="9"/>
  <c r="AV47" i="9"/>
  <c r="BF47" i="9"/>
  <c r="V49" i="9"/>
  <c r="K49" i="9"/>
  <c r="C18" i="6"/>
  <c r="C18" i="7" s="1"/>
  <c r="C56" i="7" s="1"/>
  <c r="D18" i="6"/>
  <c r="I18" i="6"/>
  <c r="N18" i="6"/>
  <c r="E18" i="6"/>
  <c r="H18" i="6"/>
  <c r="L18" i="6"/>
  <c r="B18" i="7"/>
  <c r="K18" i="6"/>
  <c r="F18" i="6"/>
  <c r="O18" i="6"/>
  <c r="B56" i="7"/>
  <c r="G18" i="6"/>
  <c r="M18" i="6"/>
  <c r="J18" i="6"/>
  <c r="BS78" i="9"/>
  <c r="CD78" i="9"/>
  <c r="E81" i="9"/>
  <c r="P81" i="9"/>
  <c r="Z83" i="9"/>
  <c r="BP17" i="9"/>
  <c r="BJ17" i="9"/>
  <c r="AX17" i="9"/>
  <c r="AX50" i="9" s="1"/>
  <c r="AX83" i="9" s="1"/>
  <c r="BD17" i="9"/>
  <c r="AL50" i="9"/>
  <c r="N50" i="9"/>
  <c r="H50" i="9"/>
  <c r="T17" i="9"/>
  <c r="B50" i="9"/>
  <c r="BJ50" i="9"/>
  <c r="BP50" i="9"/>
  <c r="CB50" i="9"/>
  <c r="BV83" i="9"/>
  <c r="AR83" i="9"/>
  <c r="N83" i="9"/>
  <c r="T83" i="9"/>
  <c r="CB17" i="9"/>
  <c r="B17" i="9"/>
  <c r="AF17" i="9"/>
  <c r="AL83" i="9"/>
  <c r="AR17" i="9"/>
  <c r="BJ83" i="9"/>
  <c r="BD50" i="9"/>
  <c r="N17" i="9"/>
  <c r="B83" i="9"/>
  <c r="BV17" i="9"/>
  <c r="H83" i="9"/>
  <c r="CB83" i="9"/>
  <c r="AF50" i="9"/>
  <c r="BD83" i="9"/>
  <c r="T50" i="9"/>
  <c r="AL17" i="9"/>
  <c r="Z17" i="9"/>
  <c r="H17" i="9"/>
  <c r="AF83" i="9"/>
  <c r="AR50" i="9"/>
  <c r="Z50" i="9"/>
  <c r="X81" i="9"/>
  <c r="X100" i="9" s="1"/>
  <c r="AH81" i="9"/>
  <c r="AZ79" i="9"/>
  <c r="AP79" i="9"/>
  <c r="BH13" i="9"/>
  <c r="BR13" i="9"/>
  <c r="BL46" i="9"/>
  <c r="BB46" i="9"/>
  <c r="D82" i="9"/>
  <c r="H16" i="33"/>
  <c r="J16" i="33" s="1"/>
  <c r="H16" i="31"/>
  <c r="J16" i="31" s="1"/>
  <c r="BX45" i="9"/>
  <c r="BM45" i="9"/>
  <c r="B17" i="33"/>
  <c r="BV55" i="9"/>
  <c r="B17" i="32"/>
  <c r="BP88" i="9"/>
  <c r="B17" i="34"/>
  <c r="B17" i="31"/>
  <c r="D17" i="7"/>
  <c r="D55" i="7" s="1"/>
  <c r="D17" i="9" s="1"/>
  <c r="E49" i="9"/>
  <c r="P49" i="9"/>
  <c r="AT80" i="9"/>
  <c r="AI80" i="9"/>
  <c r="AI79" i="9"/>
  <c r="AT79" i="9"/>
  <c r="AP47" i="9"/>
  <c r="AZ47" i="9"/>
  <c r="X15" i="9"/>
  <c r="X34" i="9" s="1"/>
  <c r="AH15" i="9"/>
  <c r="B20" i="3"/>
  <c r="X340" i="62"/>
  <c r="B19" i="6"/>
  <c r="B354" i="63"/>
  <c r="AD424" i="4"/>
  <c r="AC452" i="4" s="1"/>
  <c r="BS45" i="9"/>
  <c r="CD45" i="9"/>
  <c r="B18" i="56"/>
  <c r="H17" i="56"/>
  <c r="BX73" i="9"/>
  <c r="BZ73" i="9" s="1"/>
  <c r="BN73" i="9"/>
  <c r="BX38" i="9"/>
  <c r="BM38" i="9"/>
  <c r="H21" i="60"/>
  <c r="B22" i="60"/>
  <c r="BG71" i="9"/>
  <c r="BR71" i="9"/>
  <c r="W16" i="9"/>
  <c r="AH16" i="9"/>
  <c r="H18" i="57"/>
  <c r="B19" i="57"/>
  <c r="BM72" i="9"/>
  <c r="BX72" i="9"/>
  <c r="BZ72" i="9" s="1"/>
  <c r="BS5" i="9"/>
  <c r="CD5" i="9"/>
  <c r="BF14" i="9"/>
  <c r="AV14" i="9"/>
  <c r="AC15" i="9"/>
  <c r="AN15" i="9"/>
  <c r="BM71" i="9"/>
  <c r="BX71" i="9"/>
  <c r="BS38" i="9"/>
  <c r="CD38" i="9"/>
  <c r="BR73" i="9"/>
  <c r="BG73" i="9"/>
  <c r="AC48" i="9"/>
  <c r="AN48" i="9"/>
  <c r="AI48" i="9"/>
  <c r="AT48" i="9"/>
  <c r="BX5" i="9"/>
  <c r="BM5" i="9"/>
  <c r="BX76" i="9"/>
  <c r="BY76" i="9" s="1"/>
  <c r="BM76" i="9"/>
  <c r="K17" i="9" l="1"/>
  <c r="AN80" i="9"/>
  <c r="AZ80" i="9" s="1"/>
  <c r="F18" i="7"/>
  <c r="F56" i="7" s="1"/>
  <c r="D51" i="9" s="1"/>
  <c r="P51" i="9" s="1"/>
  <c r="H17" i="31"/>
  <c r="J17" i="31" s="1"/>
  <c r="H17" i="33"/>
  <c r="J17" i="33" s="1"/>
  <c r="K50" i="9"/>
  <c r="K82" i="9"/>
  <c r="V82" i="9"/>
  <c r="G18" i="7"/>
  <c r="G56" i="7" s="1"/>
  <c r="J51" i="9" s="1"/>
  <c r="AH50" i="9"/>
  <c r="W50" i="9"/>
  <c r="BB47" i="9"/>
  <c r="BB67" i="9" s="1"/>
  <c r="BL47" i="9"/>
  <c r="E17" i="9"/>
  <c r="P17" i="9"/>
  <c r="AP80" i="9"/>
  <c r="BP89" i="9"/>
  <c r="BV56" i="9"/>
  <c r="B18" i="33"/>
  <c r="B18" i="31"/>
  <c r="B18" i="32"/>
  <c r="B18" i="34"/>
  <c r="AF84" i="9"/>
  <c r="AF18" i="9"/>
  <c r="AR84" i="9"/>
  <c r="CB18" i="9"/>
  <c r="Z84" i="9"/>
  <c r="BD51" i="9"/>
  <c r="CB84" i="9"/>
  <c r="B84" i="9"/>
  <c r="B51" i="9"/>
  <c r="BD18" i="9"/>
  <c r="Z18" i="9"/>
  <c r="BV18" i="9"/>
  <c r="N18" i="9"/>
  <c r="T51" i="9"/>
  <c r="BV84" i="9"/>
  <c r="BJ84" i="9"/>
  <c r="N84" i="9"/>
  <c r="T18" i="9"/>
  <c r="BP18" i="9"/>
  <c r="CB51" i="9"/>
  <c r="BP51" i="9"/>
  <c r="AF51" i="9"/>
  <c r="AX18" i="9"/>
  <c r="AX51" i="9" s="1"/>
  <c r="AX84" i="9" s="1"/>
  <c r="BJ51" i="9"/>
  <c r="H84" i="9"/>
  <c r="BD84" i="9"/>
  <c r="Z51" i="9"/>
  <c r="N51" i="9"/>
  <c r="H18" i="9"/>
  <c r="AR18" i="9"/>
  <c r="AR51" i="9"/>
  <c r="AL84" i="9"/>
  <c r="H51" i="9"/>
  <c r="BJ18" i="9"/>
  <c r="T84" i="9"/>
  <c r="AL18" i="9"/>
  <c r="AL51" i="9"/>
  <c r="B18" i="9"/>
  <c r="I18" i="7"/>
  <c r="I56" i="7" s="1"/>
  <c r="BB14" i="9"/>
  <c r="BL14" i="9"/>
  <c r="AB50" i="9"/>
  <c r="Q50" i="9"/>
  <c r="P83" i="9"/>
  <c r="E83" i="9"/>
  <c r="AD454" i="4"/>
  <c r="AC482" i="4" s="1"/>
  <c r="B21" i="3"/>
  <c r="B20" i="6"/>
  <c r="AV80" i="9"/>
  <c r="BF80" i="9"/>
  <c r="BX46" i="9"/>
  <c r="BZ46" i="9" s="1"/>
  <c r="BM46" i="9"/>
  <c r="AI81" i="9"/>
  <c r="AT81" i="9"/>
  <c r="AB81" i="9"/>
  <c r="R81" i="9"/>
  <c r="R100" i="9" s="1"/>
  <c r="H18" i="7"/>
  <c r="H56" i="7" s="1"/>
  <c r="AH49" i="9"/>
  <c r="W49" i="9"/>
  <c r="AC16" i="9"/>
  <c r="AN16" i="9"/>
  <c r="BM78" i="9"/>
  <c r="BX78" i="9"/>
  <c r="BR46" i="9"/>
  <c r="BH46" i="9"/>
  <c r="AI15" i="9"/>
  <c r="AT15" i="9"/>
  <c r="AV79" i="9"/>
  <c r="BF79" i="9"/>
  <c r="AB49" i="9"/>
  <c r="Q49" i="9"/>
  <c r="BB79" i="9"/>
  <c r="BL79" i="9"/>
  <c r="E18" i="7"/>
  <c r="E56" i="7" s="1"/>
  <c r="J18" i="9" s="1"/>
  <c r="D18" i="7"/>
  <c r="D56" i="7" s="1"/>
  <c r="D18" i="9" s="1"/>
  <c r="BR47" i="9"/>
  <c r="BH47" i="9"/>
  <c r="J83" i="9"/>
  <c r="H17" i="34"/>
  <c r="J17" i="34" s="1"/>
  <c r="H17" i="32"/>
  <c r="J17" i="32" s="1"/>
  <c r="BB13" i="9"/>
  <c r="BL13" i="9"/>
  <c r="O19" i="6"/>
  <c r="B19" i="7"/>
  <c r="C19" i="6"/>
  <c r="C19" i="7" s="1"/>
  <c r="C57" i="7" s="1"/>
  <c r="D19" i="6"/>
  <c r="H19" i="6"/>
  <c r="B57" i="7"/>
  <c r="G19" i="6"/>
  <c r="K19" i="6"/>
  <c r="E19" i="6"/>
  <c r="N19" i="6"/>
  <c r="L19" i="6"/>
  <c r="M19" i="6"/>
  <c r="F19" i="6"/>
  <c r="I19" i="6"/>
  <c r="J19" i="6"/>
  <c r="E82" i="9"/>
  <c r="P82" i="9"/>
  <c r="BS13" i="9"/>
  <c r="CD13" i="9"/>
  <c r="CF13" i="9" s="1"/>
  <c r="W17" i="9"/>
  <c r="AH17" i="9"/>
  <c r="CD73" i="9"/>
  <c r="CF73" i="9" s="1"/>
  <c r="BT73" i="9"/>
  <c r="BH14" i="9"/>
  <c r="BH34" i="9" s="1"/>
  <c r="BR14" i="9"/>
  <c r="BF48" i="9"/>
  <c r="AV48" i="9"/>
  <c r="AP48" i="9"/>
  <c r="AZ48" i="9"/>
  <c r="H19" i="57"/>
  <c r="B20" i="57"/>
  <c r="B19" i="56"/>
  <c r="H18" i="56"/>
  <c r="CD71" i="9"/>
  <c r="BS71" i="9"/>
  <c r="H22" i="60"/>
  <c r="B23" i="60"/>
  <c r="E51" i="9"/>
  <c r="AZ15" i="9"/>
  <c r="AP15" i="9"/>
  <c r="AT16" i="9"/>
  <c r="AI16" i="9"/>
  <c r="E19" i="7" l="1"/>
  <c r="E57" i="7" s="1"/>
  <c r="J19" i="9" s="1"/>
  <c r="W82" i="9"/>
  <c r="AH82" i="9"/>
  <c r="V51" i="9"/>
  <c r="K51" i="9"/>
  <c r="G19" i="7"/>
  <c r="G57" i="7" s="1"/>
  <c r="J52" i="9" s="1"/>
  <c r="V52" i="9" s="1"/>
  <c r="H19" i="7"/>
  <c r="H57" i="7" s="1"/>
  <c r="BB34" i="9"/>
  <c r="I19" i="7"/>
  <c r="I57" i="7" s="1"/>
  <c r="BM79" i="9"/>
  <c r="BX79" i="9"/>
  <c r="BZ79" i="9" s="1"/>
  <c r="BH79" i="9"/>
  <c r="BR79" i="9"/>
  <c r="BH67" i="9"/>
  <c r="AP16" i="9"/>
  <c r="AP34" i="9" s="1"/>
  <c r="AZ16" i="9"/>
  <c r="D84" i="9"/>
  <c r="H18" i="31"/>
  <c r="J18" i="31" s="1"/>
  <c r="H18" i="33"/>
  <c r="J18" i="33" s="1"/>
  <c r="J20" i="33" s="1"/>
  <c r="BX14" i="9"/>
  <c r="BZ14" i="9" s="1"/>
  <c r="BN14" i="9"/>
  <c r="B19" i="32"/>
  <c r="B19" i="33"/>
  <c r="BP90" i="9"/>
  <c r="B19" i="31"/>
  <c r="B19" i="34"/>
  <c r="BV57" i="9"/>
  <c r="AR85" i="9"/>
  <c r="AF85" i="9"/>
  <c r="H85" i="9"/>
  <c r="BP52" i="9"/>
  <c r="BV85" i="9"/>
  <c r="AF19" i="9"/>
  <c r="AF52" i="9"/>
  <c r="N85" i="9"/>
  <c r="AX19" i="9"/>
  <c r="AX52" i="9" s="1"/>
  <c r="AX85" i="9" s="1"/>
  <c r="CB52" i="9"/>
  <c r="H52" i="9"/>
  <c r="AR19" i="9"/>
  <c r="N19" i="9"/>
  <c r="BJ19" i="9"/>
  <c r="B85" i="9"/>
  <c r="H19" i="9"/>
  <c r="BP19" i="9"/>
  <c r="BD19" i="9"/>
  <c r="Z19" i="9"/>
  <c r="CB85" i="9"/>
  <c r="Z52" i="9"/>
  <c r="AL52" i="9"/>
  <c r="AL19" i="9"/>
  <c r="BJ52" i="9"/>
  <c r="AR52" i="9"/>
  <c r="BJ85" i="9"/>
  <c r="N52" i="9"/>
  <c r="T19" i="9"/>
  <c r="AL85" i="9"/>
  <c r="T52" i="9"/>
  <c r="B19" i="9"/>
  <c r="B52" i="9"/>
  <c r="Z85" i="9"/>
  <c r="BD85" i="9"/>
  <c r="T85" i="9"/>
  <c r="BD52" i="9"/>
  <c r="BV19" i="9"/>
  <c r="CB19" i="9"/>
  <c r="BT47" i="9"/>
  <c r="CD47" i="9"/>
  <c r="CF47" i="9" s="1"/>
  <c r="BS46" i="9"/>
  <c r="CD46" i="9"/>
  <c r="CF46" i="9" s="1"/>
  <c r="K20" i="6"/>
  <c r="L20" i="6"/>
  <c r="M20" i="6"/>
  <c r="I20" i="6"/>
  <c r="F20" i="6"/>
  <c r="B20" i="7"/>
  <c r="E20" i="6"/>
  <c r="C20" i="6"/>
  <c r="C20" i="7" s="1"/>
  <c r="C58" i="7" s="1"/>
  <c r="J20" i="6"/>
  <c r="G20" i="7" s="1"/>
  <c r="G58" i="7" s="1"/>
  <c r="J53" i="9" s="1"/>
  <c r="B58" i="7"/>
  <c r="N20" i="6"/>
  <c r="G20" i="6"/>
  <c r="O20" i="6"/>
  <c r="D20" i="6"/>
  <c r="H20" i="6"/>
  <c r="Q83" i="9"/>
  <c r="AB83" i="9"/>
  <c r="AB17" i="9"/>
  <c r="Q17" i="9"/>
  <c r="AT17" i="9"/>
  <c r="AI17" i="9"/>
  <c r="Q82" i="9"/>
  <c r="AB82" i="9"/>
  <c r="K19" i="9"/>
  <c r="V19" i="9"/>
  <c r="F19" i="7"/>
  <c r="F57" i="7" s="1"/>
  <c r="D52" i="9" s="1"/>
  <c r="E18" i="9"/>
  <c r="P18" i="9"/>
  <c r="BF15" i="9"/>
  <c r="AV15" i="9"/>
  <c r="AC81" i="9"/>
  <c r="AN81" i="9"/>
  <c r="B21" i="6"/>
  <c r="B22" i="3"/>
  <c r="AD484" i="4"/>
  <c r="AC512" i="4" s="1"/>
  <c r="H18" i="32"/>
  <c r="J18" i="32" s="1"/>
  <c r="H18" i="34"/>
  <c r="J18" i="34" s="1"/>
  <c r="J20" i="34" s="1"/>
  <c r="J84" i="9"/>
  <c r="AI50" i="9"/>
  <c r="AT50" i="9"/>
  <c r="D19" i="7"/>
  <c r="D57" i="7" s="1"/>
  <c r="D19" i="9" s="1"/>
  <c r="BX13" i="9"/>
  <c r="BZ13" i="9" s="1"/>
  <c r="BM13" i="9"/>
  <c r="V83" i="9"/>
  <c r="K83" i="9"/>
  <c r="K18" i="9"/>
  <c r="V18" i="9"/>
  <c r="J34" i="9"/>
  <c r="AN49" i="9"/>
  <c r="AC49" i="9"/>
  <c r="AI49" i="9"/>
  <c r="AT49" i="9"/>
  <c r="AV81" i="9"/>
  <c r="BF81" i="9"/>
  <c r="BR80" i="9"/>
  <c r="BH80" i="9"/>
  <c r="AN50" i="9"/>
  <c r="AC50" i="9"/>
  <c r="BB80" i="9"/>
  <c r="BB100" i="9" s="1"/>
  <c r="BL80" i="9"/>
  <c r="BN47" i="9"/>
  <c r="BX47" i="9"/>
  <c r="BZ47" i="9" s="1"/>
  <c r="BA15" i="9"/>
  <c r="BL15" i="9"/>
  <c r="AB51" i="9"/>
  <c r="Q51" i="9"/>
  <c r="H19" i="56"/>
  <c r="B20" i="56"/>
  <c r="AV16" i="9"/>
  <c r="BF16" i="9"/>
  <c r="H23" i="60"/>
  <c r="B24" i="60"/>
  <c r="BG48" i="9"/>
  <c r="BR48" i="9"/>
  <c r="B21" i="57"/>
  <c r="H20" i="57"/>
  <c r="BA48" i="9"/>
  <c r="BL48" i="9"/>
  <c r="K52" i="9"/>
  <c r="BT14" i="9"/>
  <c r="CD14" i="9"/>
  <c r="AV34" i="9" l="1"/>
  <c r="K67" i="9"/>
  <c r="F20" i="7"/>
  <c r="F58" i="7" s="1"/>
  <c r="D53" i="9" s="1"/>
  <c r="P53" i="9" s="1"/>
  <c r="BH100" i="9"/>
  <c r="J67" i="9"/>
  <c r="AI82" i="9"/>
  <c r="AT82" i="9"/>
  <c r="H19" i="31"/>
  <c r="D85" i="9"/>
  <c r="H19" i="33"/>
  <c r="H20" i="33" s="1"/>
  <c r="K34" i="9"/>
  <c r="CM6" i="9" s="1"/>
  <c r="E7" i="35" s="1"/>
  <c r="AH51" i="9"/>
  <c r="W51" i="9"/>
  <c r="E20" i="7"/>
  <c r="E58" i="7" s="1"/>
  <c r="J20" i="9" s="1"/>
  <c r="J85" i="9"/>
  <c r="H19" i="32"/>
  <c r="H19" i="34"/>
  <c r="H20" i="34" s="1"/>
  <c r="BN80" i="9"/>
  <c r="BX80" i="9"/>
  <c r="BZ80" i="9" s="1"/>
  <c r="BF49" i="9"/>
  <c r="AV49" i="9"/>
  <c r="AV67" i="9" s="1"/>
  <c r="AH83" i="9"/>
  <c r="W83" i="9"/>
  <c r="AU17" i="9"/>
  <c r="BF17" i="9"/>
  <c r="AC83" i="9"/>
  <c r="AN83" i="9"/>
  <c r="K53" i="9"/>
  <c r="V53" i="9"/>
  <c r="P84" i="9"/>
  <c r="E84" i="9"/>
  <c r="CD79" i="9"/>
  <c r="CF79" i="9" s="1"/>
  <c r="BS79" i="9"/>
  <c r="CD80" i="9"/>
  <c r="CF80" i="9" s="1"/>
  <c r="BT80" i="9"/>
  <c r="W18" i="9"/>
  <c r="AH18" i="9"/>
  <c r="V34" i="9"/>
  <c r="V84" i="9"/>
  <c r="K84" i="9"/>
  <c r="AD514" i="4"/>
  <c r="AC542" i="4" s="1"/>
  <c r="B22" i="6"/>
  <c r="B23" i="3"/>
  <c r="AC82" i="9"/>
  <c r="AN82" i="9"/>
  <c r="BL16" i="9"/>
  <c r="BA16" i="9"/>
  <c r="E53" i="9"/>
  <c r="BG81" i="9"/>
  <c r="BR81" i="9"/>
  <c r="B59" i="7"/>
  <c r="L21" i="6"/>
  <c r="C21" i="6"/>
  <c r="C21" i="7" s="1"/>
  <c r="C59" i="7" s="1"/>
  <c r="D21" i="6"/>
  <c r="E21" i="6"/>
  <c r="M21" i="6"/>
  <c r="H21" i="6"/>
  <c r="F21" i="6"/>
  <c r="G21" i="6"/>
  <c r="O21" i="6"/>
  <c r="N21" i="6"/>
  <c r="B21" i="7"/>
  <c r="K21" i="6"/>
  <c r="I21" i="6"/>
  <c r="J21" i="6"/>
  <c r="BG15" i="9"/>
  <c r="BR15" i="9"/>
  <c r="P52" i="9"/>
  <c r="E52" i="9"/>
  <c r="E67" i="9" s="1"/>
  <c r="D67" i="9"/>
  <c r="I20" i="7"/>
  <c r="I58" i="7" s="1"/>
  <c r="J86" i="9" s="1"/>
  <c r="D100" i="9"/>
  <c r="AZ50" i="9"/>
  <c r="AO50" i="9"/>
  <c r="AZ49" i="9"/>
  <c r="AP49" i="9"/>
  <c r="AP67" i="9" s="1"/>
  <c r="P19" i="9"/>
  <c r="E19" i="9"/>
  <c r="E34" i="9" s="1"/>
  <c r="CL6" i="9" s="1"/>
  <c r="D34" i="9"/>
  <c r="BF50" i="9"/>
  <c r="AU50" i="9"/>
  <c r="AP81" i="9"/>
  <c r="AZ81" i="9"/>
  <c r="Q18" i="9"/>
  <c r="AB18" i="9"/>
  <c r="AH19" i="9"/>
  <c r="AT19" i="9" s="1"/>
  <c r="W19" i="9"/>
  <c r="AN17" i="9"/>
  <c r="AC17" i="9"/>
  <c r="D20" i="7"/>
  <c r="D58" i="7" s="1"/>
  <c r="D20" i="9" s="1"/>
  <c r="BV58" i="9"/>
  <c r="BP91" i="9"/>
  <c r="Z53" i="9"/>
  <c r="B53" i="9"/>
  <c r="BJ86" i="9"/>
  <c r="BP53" i="9"/>
  <c r="CB20" i="9"/>
  <c r="BV86" i="9"/>
  <c r="AL86" i="9"/>
  <c r="AF20" i="9"/>
  <c r="BJ53" i="9"/>
  <c r="T86" i="9"/>
  <c r="B20" i="9"/>
  <c r="AF53" i="9"/>
  <c r="BJ20" i="9"/>
  <c r="T20" i="9"/>
  <c r="AR53" i="9"/>
  <c r="N86" i="9"/>
  <c r="Z86" i="9"/>
  <c r="AL20" i="9"/>
  <c r="H53" i="9"/>
  <c r="BD53" i="9"/>
  <c r="H20" i="9"/>
  <c r="B86" i="9"/>
  <c r="CB53" i="9"/>
  <c r="AF86" i="9"/>
  <c r="T53" i="9"/>
  <c r="N20" i="9"/>
  <c r="BD20" i="9"/>
  <c r="N53" i="9"/>
  <c r="AR20" i="9"/>
  <c r="Z20" i="9"/>
  <c r="BP20" i="9"/>
  <c r="BV20" i="9"/>
  <c r="BD86" i="9"/>
  <c r="CB86" i="9"/>
  <c r="H86" i="9"/>
  <c r="AR86" i="9"/>
  <c r="AX20" i="9"/>
  <c r="AX53" i="9" s="1"/>
  <c r="AX86" i="9" s="1"/>
  <c r="AL53" i="9"/>
  <c r="H20" i="7"/>
  <c r="H58" i="7" s="1"/>
  <c r="D86" i="9" s="1"/>
  <c r="CF14" i="9"/>
  <c r="AH52" i="9"/>
  <c r="W52" i="9"/>
  <c r="V67" i="9"/>
  <c r="B22" i="57"/>
  <c r="H21" i="57"/>
  <c r="BT48" i="9"/>
  <c r="CD48" i="9"/>
  <c r="BR16" i="9"/>
  <c r="BG16" i="9"/>
  <c r="H20" i="56"/>
  <c r="B21" i="56"/>
  <c r="BN15" i="9"/>
  <c r="BX15" i="9"/>
  <c r="BX48" i="9"/>
  <c r="BN48" i="9"/>
  <c r="H24" i="60"/>
  <c r="B25" i="60"/>
  <c r="AN51" i="9"/>
  <c r="AC51" i="9"/>
  <c r="AC67" i="9" s="1"/>
  <c r="CL23" i="9" s="1" a="1"/>
  <c r="G21" i="7" l="1"/>
  <c r="G59" i="7" s="1"/>
  <c r="J54" i="9" s="1"/>
  <c r="W67" i="9"/>
  <c r="CM20" i="9" s="1" a="1"/>
  <c r="CM20" i="9" s="1"/>
  <c r="CO7" i="9"/>
  <c r="CO6" i="9"/>
  <c r="AV82" i="9"/>
  <c r="AV100" i="9" s="1"/>
  <c r="BF82" i="9"/>
  <c r="P85" i="9"/>
  <c r="E85" i="9"/>
  <c r="E100" i="9" s="1"/>
  <c r="AT51" i="9"/>
  <c r="AI51" i="9"/>
  <c r="AI67" i="9" s="1"/>
  <c r="CM23" i="9" s="1" a="1"/>
  <c r="H20" i="31"/>
  <c r="J19" i="31"/>
  <c r="J20" i="31" s="1"/>
  <c r="J19" i="32"/>
  <c r="J20" i="32" s="1"/>
  <c r="H20" i="32"/>
  <c r="I21" i="7"/>
  <c r="I59" i="7" s="1"/>
  <c r="J87" i="9" s="1"/>
  <c r="K87" i="9" s="1"/>
  <c r="J100" i="9"/>
  <c r="V85" i="9"/>
  <c r="K85" i="9"/>
  <c r="K100" i="9" s="1"/>
  <c r="K20" i="9"/>
  <c r="V20" i="9"/>
  <c r="E86" i="9"/>
  <c r="P86" i="9"/>
  <c r="BA81" i="9"/>
  <c r="BL81" i="9"/>
  <c r="BA49" i="9"/>
  <c r="BL49" i="9"/>
  <c r="Q52" i="9"/>
  <c r="Q67" i="9" s="1"/>
  <c r="CL20" i="9" s="1" a="1"/>
  <c r="AB52" i="9"/>
  <c r="P67" i="9"/>
  <c r="H21" i="7"/>
  <c r="H59" i="7" s="1"/>
  <c r="D87" i="9" s="1"/>
  <c r="G7" i="35"/>
  <c r="G8" i="35"/>
  <c r="AP82" i="9"/>
  <c r="AZ82" i="9"/>
  <c r="BG49" i="9"/>
  <c r="BR49" i="9"/>
  <c r="P20" i="9"/>
  <c r="E20" i="9"/>
  <c r="BF19" i="9"/>
  <c r="BR19" i="9" s="1"/>
  <c r="AU19" i="9"/>
  <c r="AP100" i="9"/>
  <c r="CN7" i="9"/>
  <c r="CN6" i="9"/>
  <c r="D7" i="35"/>
  <c r="V86" i="9"/>
  <c r="K86" i="9"/>
  <c r="BT15" i="9"/>
  <c r="CD15" i="9"/>
  <c r="CF15" i="9" s="1"/>
  <c r="CF34" i="9" s="1"/>
  <c r="BP92" i="9"/>
  <c r="BV59" i="9"/>
  <c r="BT81" i="9"/>
  <c r="CD81" i="9"/>
  <c r="CF81" i="9" s="1"/>
  <c r="CF100" i="9" s="1"/>
  <c r="AB53" i="9"/>
  <c r="Q53" i="9"/>
  <c r="AT18" i="9"/>
  <c r="AI18" i="9"/>
  <c r="AI34" i="9" s="1"/>
  <c r="CM11" i="9" s="1" a="1"/>
  <c r="AH34" i="9"/>
  <c r="AO83" i="9"/>
  <c r="AZ83" i="9"/>
  <c r="AC18" i="9"/>
  <c r="AC34" i="9" s="1"/>
  <c r="CL11" i="9" s="1" a="1"/>
  <c r="AN18" i="9"/>
  <c r="P34" i="9"/>
  <c r="AB19" i="9"/>
  <c r="Q19" i="9"/>
  <c r="Q34" i="9" s="1"/>
  <c r="CL8" i="9" s="1" a="1"/>
  <c r="BA50" i="9"/>
  <c r="BL50" i="9"/>
  <c r="BJ21" i="9"/>
  <c r="BP21" i="9"/>
  <c r="AF87" i="9"/>
  <c r="BD54" i="9"/>
  <c r="H54" i="9"/>
  <c r="H21" i="9"/>
  <c r="B21" i="9"/>
  <c r="AR87" i="9"/>
  <c r="Z87" i="9"/>
  <c r="Z54" i="9"/>
  <c r="Z21" i="9"/>
  <c r="BV21" i="9"/>
  <c r="N21" i="9"/>
  <c r="AR54" i="9"/>
  <c r="T54" i="9"/>
  <c r="AL54" i="9"/>
  <c r="BD21" i="9"/>
  <c r="BD87" i="9"/>
  <c r="CB21" i="9"/>
  <c r="AX21" i="9"/>
  <c r="AX54" i="9" s="1"/>
  <c r="AX87" i="9" s="1"/>
  <c r="BJ87" i="9"/>
  <c r="T21" i="9"/>
  <c r="B54" i="9"/>
  <c r="H87" i="9"/>
  <c r="AR21" i="9"/>
  <c r="BJ54" i="9"/>
  <c r="BV87" i="9"/>
  <c r="T87" i="9"/>
  <c r="N87" i="9"/>
  <c r="CB54" i="9"/>
  <c r="AL87" i="9"/>
  <c r="BP54" i="9"/>
  <c r="CB87" i="9"/>
  <c r="B87" i="9"/>
  <c r="AF21" i="9"/>
  <c r="AL21" i="9"/>
  <c r="AF54" i="9"/>
  <c r="N54" i="9"/>
  <c r="E21" i="7"/>
  <c r="E59" i="7" s="1"/>
  <c r="J21" i="9" s="1"/>
  <c r="D21" i="7"/>
  <c r="D59" i="7" s="1"/>
  <c r="D21" i="9" s="1"/>
  <c r="AD544" i="4"/>
  <c r="AC572" i="4" s="1"/>
  <c r="B24" i="3"/>
  <c r="B23" i="6"/>
  <c r="W84" i="9"/>
  <c r="AH84" i="9"/>
  <c r="W34" i="9"/>
  <c r="CM8" i="9" s="1" a="1"/>
  <c r="Q84" i="9"/>
  <c r="AB84" i="9"/>
  <c r="AI83" i="9"/>
  <c r="AT83" i="9"/>
  <c r="AO17" i="9"/>
  <c r="AZ17" i="9"/>
  <c r="BR50" i="9"/>
  <c r="BG50" i="9"/>
  <c r="K54" i="9"/>
  <c r="V54" i="9"/>
  <c r="F21" i="7"/>
  <c r="F59" i="7" s="1"/>
  <c r="D54" i="9" s="1"/>
  <c r="BN16" i="9"/>
  <c r="BX16" i="9"/>
  <c r="BY16" i="9" s="1"/>
  <c r="B22" i="7"/>
  <c r="D22" i="6"/>
  <c r="H22" i="6"/>
  <c r="I22" i="6"/>
  <c r="J22" i="6"/>
  <c r="C22" i="6"/>
  <c r="C22" i="7" s="1"/>
  <c r="C60" i="7" s="1"/>
  <c r="L22" i="6"/>
  <c r="O22" i="6"/>
  <c r="K22" i="6"/>
  <c r="F22" i="6"/>
  <c r="N22" i="6"/>
  <c r="G22" i="6"/>
  <c r="B60" i="7"/>
  <c r="M22" i="6"/>
  <c r="E22" i="6"/>
  <c r="W53" i="9"/>
  <c r="AH53" i="9"/>
  <c r="BG17" i="9"/>
  <c r="BR17" i="9"/>
  <c r="BZ48" i="9"/>
  <c r="BZ67" i="9" s="1"/>
  <c r="BZ15" i="9"/>
  <c r="BZ34" i="9" s="1"/>
  <c r="CF48" i="9"/>
  <c r="CF67" i="9" s="1"/>
  <c r="CL23" i="9"/>
  <c r="CL24" i="9"/>
  <c r="D25" i="35" s="1"/>
  <c r="B22" i="56"/>
  <c r="H21" i="56"/>
  <c r="AO51" i="9"/>
  <c r="AZ51" i="9"/>
  <c r="H25" i="60"/>
  <c r="B26" i="60"/>
  <c r="CD16" i="9"/>
  <c r="BT16" i="9"/>
  <c r="H22" i="57"/>
  <c r="B23" i="57"/>
  <c r="AT52" i="9"/>
  <c r="AH67" i="9"/>
  <c r="V87" i="9" l="1"/>
  <c r="CM21" i="9"/>
  <c r="E22" i="35" s="1"/>
  <c r="BG82" i="9"/>
  <c r="BR82" i="9"/>
  <c r="BF51" i="9"/>
  <c r="AU51" i="9"/>
  <c r="P100" i="9"/>
  <c r="AB85" i="9"/>
  <c r="Q85" i="9"/>
  <c r="Q100" i="9" s="1"/>
  <c r="CL30" i="9" s="1" a="1"/>
  <c r="CM23" i="9"/>
  <c r="CM24" i="9"/>
  <c r="E25" i="35" s="1"/>
  <c r="W20" i="9"/>
  <c r="AH20" i="9"/>
  <c r="I22" i="7"/>
  <c r="I60" i="7" s="1"/>
  <c r="J88" i="9" s="1"/>
  <c r="F22" i="7"/>
  <c r="F60" i="7" s="1"/>
  <c r="D55" i="9" s="1"/>
  <c r="C18" i="38"/>
  <c r="G18" i="38" s="1"/>
  <c r="H18" i="39" s="1"/>
  <c r="E22" i="7"/>
  <c r="E60" i="7" s="1"/>
  <c r="J22" i="9" s="1"/>
  <c r="K22" i="9" s="1"/>
  <c r="W85" i="9"/>
  <c r="W100" i="9" s="1"/>
  <c r="CM30" i="9" s="1" a="1"/>
  <c r="CM30" i="9" s="1"/>
  <c r="V100" i="9"/>
  <c r="AH85" i="9"/>
  <c r="CL12" i="9"/>
  <c r="D13" i="35" s="1"/>
  <c r="CL11" i="9"/>
  <c r="BT17" i="9"/>
  <c r="BT34" i="9" s="1"/>
  <c r="CD17" i="9"/>
  <c r="CE17" i="9" s="1"/>
  <c r="H22" i="7"/>
  <c r="H60" i="7" s="1"/>
  <c r="D88" i="9" s="1"/>
  <c r="AH54" i="9"/>
  <c r="W54" i="9"/>
  <c r="BA17" i="9"/>
  <c r="BL17" i="9"/>
  <c r="B61" i="7"/>
  <c r="J23" i="6"/>
  <c r="M23" i="6"/>
  <c r="I23" i="6"/>
  <c r="E23" i="6"/>
  <c r="L23" i="6"/>
  <c r="H23" i="6"/>
  <c r="C23" i="6"/>
  <c r="C23" i="7" s="1"/>
  <c r="C61" i="7" s="1"/>
  <c r="O23" i="6"/>
  <c r="D23" i="6"/>
  <c r="K23" i="6"/>
  <c r="B23" i="7"/>
  <c r="G23" i="6"/>
  <c r="N23" i="6"/>
  <c r="F23" i="6"/>
  <c r="V21" i="9"/>
  <c r="K21" i="9"/>
  <c r="AO18" i="9"/>
  <c r="AZ18" i="9"/>
  <c r="CM11" i="9"/>
  <c r="CM12" i="9"/>
  <c r="E13" i="35" s="1"/>
  <c r="F8" i="35"/>
  <c r="F7" i="35"/>
  <c r="CL21" i="9"/>
  <c r="D22" i="35" s="1"/>
  <c r="CL20" i="9"/>
  <c r="D22" i="7"/>
  <c r="D60" i="7" s="1"/>
  <c r="D22" i="9" s="1"/>
  <c r="E54" i="9"/>
  <c r="P54" i="9"/>
  <c r="AU83" i="9"/>
  <c r="BF83" i="9"/>
  <c r="CM9" i="9"/>
  <c r="E10" i="35" s="1"/>
  <c r="CM8" i="9"/>
  <c r="AD574" i="4"/>
  <c r="AC602" i="4" s="1"/>
  <c r="B25" i="3"/>
  <c r="B24" i="6"/>
  <c r="CL8" i="9"/>
  <c r="CL9" i="9"/>
  <c r="D10" i="35" s="1"/>
  <c r="BL83" i="9"/>
  <c r="BA83" i="9"/>
  <c r="BF18" i="9"/>
  <c r="AU18" i="9"/>
  <c r="AU34" i="9" s="1"/>
  <c r="CM13" i="9" s="1" a="1"/>
  <c r="AT34" i="9"/>
  <c r="BS19" i="9"/>
  <c r="CD19" i="9"/>
  <c r="CD49" i="9"/>
  <c r="CE49" i="9" s="1"/>
  <c r="BT49" i="9"/>
  <c r="BL82" i="9"/>
  <c r="BA82" i="9"/>
  <c r="E87" i="9"/>
  <c r="P87" i="9"/>
  <c r="BX49" i="9"/>
  <c r="BY49" i="9" s="1"/>
  <c r="BN49" i="9"/>
  <c r="Q86" i="9"/>
  <c r="AB86" i="9"/>
  <c r="AT53" i="9"/>
  <c r="AJ53" i="9"/>
  <c r="BV60" i="9"/>
  <c r="BP93" i="9"/>
  <c r="G22" i="7"/>
  <c r="G60" i="7" s="1"/>
  <c r="J55" i="9" s="1"/>
  <c r="BV22" i="9"/>
  <c r="N55" i="9"/>
  <c r="B55" i="9"/>
  <c r="AX22" i="9"/>
  <c r="AX55" i="9" s="1"/>
  <c r="AX88" i="9" s="1"/>
  <c r="BJ22" i="9"/>
  <c r="T55" i="9"/>
  <c r="N88" i="9"/>
  <c r="Z55" i="9"/>
  <c r="BV88" i="9"/>
  <c r="Z88" i="9"/>
  <c r="B88" i="9"/>
  <c r="AR55" i="9"/>
  <c r="CB88" i="9"/>
  <c r="AL22" i="9"/>
  <c r="BP22" i="9"/>
  <c r="AL55" i="9"/>
  <c r="BD55" i="9"/>
  <c r="BD22" i="9"/>
  <c r="AF22" i="9"/>
  <c r="CB22" i="9"/>
  <c r="CB55" i="9"/>
  <c r="AR88" i="9"/>
  <c r="N22" i="9"/>
  <c r="AF55" i="9"/>
  <c r="Z22" i="9"/>
  <c r="BP55" i="9"/>
  <c r="BD88" i="9"/>
  <c r="B22" i="9"/>
  <c r="AR22" i="9"/>
  <c r="H88" i="9"/>
  <c r="T22" i="9"/>
  <c r="AF88" i="9"/>
  <c r="H55" i="9"/>
  <c r="AL88" i="9"/>
  <c r="BJ88" i="9"/>
  <c r="H22" i="9"/>
  <c r="BJ55" i="9"/>
  <c r="T88" i="9"/>
  <c r="AT84" i="9"/>
  <c r="AI84" i="9"/>
  <c r="AI100" i="9" s="1"/>
  <c r="CM33" i="9" s="1" a="1"/>
  <c r="AN19" i="9"/>
  <c r="AB34" i="9"/>
  <c r="W87" i="9"/>
  <c r="AH87" i="9"/>
  <c r="CD50" i="9"/>
  <c r="CE50" i="9" s="1"/>
  <c r="BT50" i="9"/>
  <c r="AC84" i="9"/>
  <c r="AC100" i="9" s="1"/>
  <c r="CL33" i="9" s="1" a="1"/>
  <c r="AN84" i="9"/>
  <c r="E21" i="9"/>
  <c r="P21" i="9"/>
  <c r="BX50" i="9"/>
  <c r="BY50" i="9" s="1"/>
  <c r="BN50" i="9"/>
  <c r="AN53" i="9"/>
  <c r="AD53" i="9"/>
  <c r="W86" i="9"/>
  <c r="AH86" i="9"/>
  <c r="AB20" i="9"/>
  <c r="Q20" i="9"/>
  <c r="AN52" i="9"/>
  <c r="AB67" i="9"/>
  <c r="BX81" i="9"/>
  <c r="BZ81" i="9" s="1"/>
  <c r="BZ100" i="9" s="1"/>
  <c r="BN81" i="9"/>
  <c r="CE16" i="9"/>
  <c r="H23" i="57"/>
  <c r="B24" i="57"/>
  <c r="BL51" i="9"/>
  <c r="BA51" i="9"/>
  <c r="BA67" i="9" s="1"/>
  <c r="CL28" i="9" s="1" a="1"/>
  <c r="CN24" i="9"/>
  <c r="CN23" i="9"/>
  <c r="D24" i="35"/>
  <c r="BF52" i="9"/>
  <c r="AU52" i="9"/>
  <c r="AT67" i="9"/>
  <c r="H26" i="60"/>
  <c r="B27" i="60"/>
  <c r="E21" i="35"/>
  <c r="CO20" i="9"/>
  <c r="B23" i="56"/>
  <c r="H22" i="56"/>
  <c r="CO21" i="9" l="1"/>
  <c r="F18" i="38"/>
  <c r="G18" i="39" s="1"/>
  <c r="H23" i="7"/>
  <c r="H61" i="7" s="1"/>
  <c r="D89" i="9" s="1"/>
  <c r="P89" i="9" s="1"/>
  <c r="H18" i="38"/>
  <c r="I18" i="39" s="1"/>
  <c r="D18" i="38"/>
  <c r="E18" i="39" s="1"/>
  <c r="E18" i="38"/>
  <c r="F18" i="39" s="1"/>
  <c r="K18" i="38"/>
  <c r="L18" i="39" s="1"/>
  <c r="J18" i="38"/>
  <c r="K18" i="39" s="1"/>
  <c r="I18" i="38"/>
  <c r="J18" i="39" s="1"/>
  <c r="D18" i="39"/>
  <c r="V22" i="9"/>
  <c r="W22" i="9" s="1"/>
  <c r="AU67" i="9"/>
  <c r="CM25" i="9" s="1" a="1"/>
  <c r="CM26" i="9" s="1"/>
  <c r="E27" i="35" s="1"/>
  <c r="E23" i="7"/>
  <c r="E61" i="7" s="1"/>
  <c r="J23" i="9" s="1"/>
  <c r="K23" i="9" s="1"/>
  <c r="I23" i="7"/>
  <c r="I61" i="7" s="1"/>
  <c r="J89" i="9" s="1"/>
  <c r="K89" i="9" s="1"/>
  <c r="D23" i="7"/>
  <c r="D61" i="7" s="1"/>
  <c r="D23" i="9" s="1"/>
  <c r="E23" i="9" s="1"/>
  <c r="BT82" i="9"/>
  <c r="CD82" i="9"/>
  <c r="CE82" i="9" s="1"/>
  <c r="CL30" i="9"/>
  <c r="D31" i="35" s="1"/>
  <c r="CL31" i="9"/>
  <c r="D32" i="35" s="1"/>
  <c r="CO24" i="9"/>
  <c r="E24" i="35"/>
  <c r="CO23" i="9"/>
  <c r="BG51" i="9"/>
  <c r="BG67" i="9" s="1"/>
  <c r="CM28" i="9" s="1" a="1"/>
  <c r="BR51" i="9"/>
  <c r="AN85" i="9"/>
  <c r="AB100" i="9"/>
  <c r="E31" i="35"/>
  <c r="G32" i="35" s="1"/>
  <c r="F23" i="7"/>
  <c r="F61" i="7" s="1"/>
  <c r="D56" i="9" s="1"/>
  <c r="P56" i="9" s="1"/>
  <c r="AT85" i="9"/>
  <c r="AH100" i="9"/>
  <c r="CM31" i="9"/>
  <c r="E32" i="35" s="1"/>
  <c r="V88" i="9"/>
  <c r="K88" i="9"/>
  <c r="AJ20" i="9"/>
  <c r="AT20" i="9"/>
  <c r="P55" i="9"/>
  <c r="E55" i="9"/>
  <c r="AB21" i="9"/>
  <c r="Q21" i="9"/>
  <c r="AD86" i="9"/>
  <c r="AN86" i="9"/>
  <c r="AB87" i="9"/>
  <c r="Q87" i="9"/>
  <c r="BT67" i="9"/>
  <c r="BN83" i="9"/>
  <c r="BX83" i="9"/>
  <c r="BY83" i="9" s="1"/>
  <c r="B26" i="3"/>
  <c r="B25" i="6"/>
  <c r="AD604" i="4"/>
  <c r="AC632" i="4" s="1"/>
  <c r="BG83" i="9"/>
  <c r="BR83" i="9"/>
  <c r="E22" i="9"/>
  <c r="P22" i="9"/>
  <c r="BP94" i="9"/>
  <c r="BV61" i="9"/>
  <c r="AT54" i="9"/>
  <c r="AJ54" i="9"/>
  <c r="CN11" i="9"/>
  <c r="CN12" i="9"/>
  <c r="D12" i="35"/>
  <c r="AD20" i="9"/>
  <c r="AN20" i="9"/>
  <c r="AO53" i="9"/>
  <c r="AZ53" i="9"/>
  <c r="AU84" i="9"/>
  <c r="BF84" i="9"/>
  <c r="K55" i="9"/>
  <c r="V55" i="9"/>
  <c r="BF53" i="9"/>
  <c r="AU53" i="9"/>
  <c r="CM13" i="9"/>
  <c r="CM14" i="9"/>
  <c r="E15" i="35" s="1"/>
  <c r="E12" i="35"/>
  <c r="CO11" i="9"/>
  <c r="CO12" i="9"/>
  <c r="AH21" i="9"/>
  <c r="W21" i="9"/>
  <c r="B23" i="9"/>
  <c r="BP23" i="9"/>
  <c r="AR23" i="9"/>
  <c r="AF23" i="9"/>
  <c r="AR56" i="9"/>
  <c r="Z89" i="9"/>
  <c r="CB56" i="9"/>
  <c r="BD89" i="9"/>
  <c r="AX23" i="9"/>
  <c r="AX56" i="9" s="1"/>
  <c r="AX89" i="9" s="1"/>
  <c r="AF89" i="9"/>
  <c r="AL23" i="9"/>
  <c r="AL89" i="9"/>
  <c r="N56" i="9"/>
  <c r="H56" i="9"/>
  <c r="BJ23" i="9"/>
  <c r="T56" i="9"/>
  <c r="AL56" i="9"/>
  <c r="BD56" i="9"/>
  <c r="B56" i="9"/>
  <c r="Z56" i="9"/>
  <c r="BJ89" i="9"/>
  <c r="CB23" i="9"/>
  <c r="AR89" i="9"/>
  <c r="B89" i="9"/>
  <c r="N89" i="9"/>
  <c r="N23" i="9"/>
  <c r="BJ56" i="9"/>
  <c r="BD23" i="9"/>
  <c r="T89" i="9"/>
  <c r="CB89" i="9"/>
  <c r="BV89" i="9"/>
  <c r="H89" i="9"/>
  <c r="Z23" i="9"/>
  <c r="BV23" i="9"/>
  <c r="H23" i="9"/>
  <c r="BP56" i="9"/>
  <c r="T23" i="9"/>
  <c r="AF56" i="9"/>
  <c r="BX17" i="9"/>
  <c r="BY17" i="9" s="1"/>
  <c r="BN17" i="9"/>
  <c r="BN34" i="9" s="1"/>
  <c r="P88" i="9"/>
  <c r="E88" i="9"/>
  <c r="AT86" i="9"/>
  <c r="AJ86" i="9"/>
  <c r="AZ84" i="9"/>
  <c r="AO84" i="9"/>
  <c r="AT87" i="9"/>
  <c r="AJ87" i="9"/>
  <c r="CM34" i="9"/>
  <c r="E35" i="35" s="1"/>
  <c r="CM33" i="9"/>
  <c r="BN67" i="9"/>
  <c r="BR18" i="9"/>
  <c r="BG18" i="9"/>
  <c r="BG34" i="9" s="1"/>
  <c r="CM16" i="9" s="1" a="1"/>
  <c r="BF34" i="9"/>
  <c r="D9" i="35"/>
  <c r="CN9" i="9"/>
  <c r="CN8" i="9"/>
  <c r="CO9" i="9"/>
  <c r="E9" i="35"/>
  <c r="CO8" i="9"/>
  <c r="Q54" i="9"/>
  <c r="AB54" i="9"/>
  <c r="C9" i="38"/>
  <c r="BL18" i="9"/>
  <c r="BA18" i="9"/>
  <c r="BA34" i="9" s="1"/>
  <c r="CL16" i="9" s="1" a="1"/>
  <c r="AO52" i="9"/>
  <c r="AO67" i="9" s="1"/>
  <c r="CL25" i="9" s="1" a="1"/>
  <c r="AZ52" i="9"/>
  <c r="AN67" i="9"/>
  <c r="CL34" i="9"/>
  <c r="D35" i="35" s="1"/>
  <c r="CL33" i="9"/>
  <c r="AZ19" i="9"/>
  <c r="AO19" i="9"/>
  <c r="AO34" i="9" s="1"/>
  <c r="CL13" i="9" s="1" a="1"/>
  <c r="AN34" i="9"/>
  <c r="BX82" i="9"/>
  <c r="BY82" i="9" s="1"/>
  <c r="BN82" i="9"/>
  <c r="E24" i="6"/>
  <c r="F24" i="6"/>
  <c r="I24" i="6"/>
  <c r="B62" i="7"/>
  <c r="G24" i="6"/>
  <c r="H24" i="6"/>
  <c r="K24" i="6"/>
  <c r="B24" i="7"/>
  <c r="O24" i="6"/>
  <c r="J24" i="6"/>
  <c r="D24" i="6"/>
  <c r="C24" i="6"/>
  <c r="C24" i="7" s="1"/>
  <c r="C62" i="7" s="1"/>
  <c r="L24" i="6"/>
  <c r="N24" i="6"/>
  <c r="M24" i="6"/>
  <c r="CN21" i="9"/>
  <c r="D21" i="35"/>
  <c r="CN20" i="9"/>
  <c r="P23" i="9"/>
  <c r="E89" i="9"/>
  <c r="G23" i="7"/>
  <c r="G61" i="7" s="1"/>
  <c r="J56" i="9" s="1"/>
  <c r="H27" i="60"/>
  <c r="B28" i="60"/>
  <c r="F25" i="35"/>
  <c r="F24" i="35"/>
  <c r="CL28" i="9"/>
  <c r="CL29" i="9"/>
  <c r="D30" i="35" s="1"/>
  <c r="B25" i="57"/>
  <c r="H24" i="57"/>
  <c r="H23" i="56"/>
  <c r="B24" i="56"/>
  <c r="BX51" i="9"/>
  <c r="BM51" i="9"/>
  <c r="BR52" i="9"/>
  <c r="BF67" i="9"/>
  <c r="G21" i="35"/>
  <c r="G22" i="35"/>
  <c r="CM25" i="9" l="1"/>
  <c r="V89" i="9"/>
  <c r="X89" i="9" s="1"/>
  <c r="V23" i="9"/>
  <c r="G31" i="35"/>
  <c r="AH22" i="9"/>
  <c r="AT22" i="9" s="1"/>
  <c r="F32" i="35"/>
  <c r="E56" i="9"/>
  <c r="CN31" i="9"/>
  <c r="F31" i="35"/>
  <c r="D24" i="7"/>
  <c r="D62" i="7" s="1"/>
  <c r="D24" i="9" s="1"/>
  <c r="E24" i="9" s="1"/>
  <c r="BN100" i="9"/>
  <c r="I24" i="7"/>
  <c r="I62" i="7" s="1"/>
  <c r="J90" i="9" s="1"/>
  <c r="K90" i="9" s="1"/>
  <c r="G24" i="7"/>
  <c r="G62" i="7" s="1"/>
  <c r="J57" i="9" s="1"/>
  <c r="K57" i="9" s="1"/>
  <c r="F24" i="7"/>
  <c r="F62" i="7" s="1"/>
  <c r="D57" i="9" s="1"/>
  <c r="CN30" i="9"/>
  <c r="AN100" i="9"/>
  <c r="AO85" i="9"/>
  <c r="AO100" i="9" s="1"/>
  <c r="AZ85" i="9"/>
  <c r="G24" i="35"/>
  <c r="G25" i="35"/>
  <c r="BS51" i="9"/>
  <c r="CD51" i="9"/>
  <c r="CE51" i="9" s="1"/>
  <c r="CE67" i="9" s="1"/>
  <c r="CM28" i="9"/>
  <c r="CM29" i="9"/>
  <c r="E30" i="35" s="1"/>
  <c r="BF20" i="9"/>
  <c r="AU20" i="9"/>
  <c r="W88" i="9"/>
  <c r="AH88" i="9"/>
  <c r="CO30" i="9"/>
  <c r="Q55" i="9"/>
  <c r="AB55" i="9"/>
  <c r="AT100" i="9"/>
  <c r="BF85" i="9"/>
  <c r="AU85" i="9"/>
  <c r="AU100" i="9" s="1"/>
  <c r="CO31" i="9"/>
  <c r="K56" i="9"/>
  <c r="V56" i="9"/>
  <c r="F22" i="35"/>
  <c r="F21" i="35"/>
  <c r="H24" i="7"/>
  <c r="H62" i="7" s="1"/>
  <c r="D90" i="9" s="1"/>
  <c r="CL14" i="9"/>
  <c r="D15" i="35" s="1"/>
  <c r="CL13" i="9"/>
  <c r="E9" i="38"/>
  <c r="F9" i="39" s="1"/>
  <c r="H9" i="38"/>
  <c r="I9" i="39" s="1"/>
  <c r="D9" i="38"/>
  <c r="E9" i="39" s="1"/>
  <c r="D9" i="39"/>
  <c r="F9" i="38"/>
  <c r="G9" i="39" s="1"/>
  <c r="K9" i="38"/>
  <c r="L9" i="39" s="1"/>
  <c r="I9" i="38"/>
  <c r="J9" i="39" s="1"/>
  <c r="G9" i="38"/>
  <c r="H9" i="39" s="1"/>
  <c r="J9" i="38"/>
  <c r="K9" i="39" s="1"/>
  <c r="G9" i="35"/>
  <c r="G10" i="35"/>
  <c r="F9" i="35"/>
  <c r="F10" i="35"/>
  <c r="AU87" i="9"/>
  <c r="BF87" i="9"/>
  <c r="AU86" i="9"/>
  <c r="BF86" i="9"/>
  <c r="AJ21" i="9"/>
  <c r="AT21" i="9"/>
  <c r="AJ22" i="9"/>
  <c r="BG84" i="9"/>
  <c r="BG100" i="9" s="1"/>
  <c r="BR84" i="9"/>
  <c r="AZ20" i="9"/>
  <c r="AO20" i="9"/>
  <c r="BT83" i="9"/>
  <c r="BT100" i="9" s="1"/>
  <c r="CD83" i="9"/>
  <c r="CE83" i="9" s="1"/>
  <c r="B27" i="3"/>
  <c r="AD634" i="4"/>
  <c r="AC662" i="4" s="1"/>
  <c r="B26" i="6"/>
  <c r="B90" i="9"/>
  <c r="BD57" i="9"/>
  <c r="AF90" i="9"/>
  <c r="BV90" i="9"/>
  <c r="BP57" i="9"/>
  <c r="AX24" i="9"/>
  <c r="AX57" i="9" s="1"/>
  <c r="AX90" i="9" s="1"/>
  <c r="B24" i="9"/>
  <c r="AR24" i="9"/>
  <c r="Z90" i="9"/>
  <c r="CB90" i="9"/>
  <c r="T57" i="9"/>
  <c r="N57" i="9"/>
  <c r="CB24" i="9"/>
  <c r="AF57" i="9"/>
  <c r="AR90" i="9"/>
  <c r="AF24" i="9"/>
  <c r="H24" i="9"/>
  <c r="Z57" i="9"/>
  <c r="AL24" i="9"/>
  <c r="BD24" i="9"/>
  <c r="BJ90" i="9"/>
  <c r="AL57" i="9"/>
  <c r="N90" i="9"/>
  <c r="BJ57" i="9"/>
  <c r="T90" i="9"/>
  <c r="H90" i="9"/>
  <c r="AL90" i="9"/>
  <c r="B57" i="9"/>
  <c r="BJ24" i="9"/>
  <c r="T24" i="9"/>
  <c r="BD90" i="9"/>
  <c r="BP24" i="9"/>
  <c r="Z24" i="9"/>
  <c r="H57" i="9"/>
  <c r="AR57" i="9"/>
  <c r="CB57" i="9"/>
  <c r="N24" i="9"/>
  <c r="BV24" i="9"/>
  <c r="BV62" i="9"/>
  <c r="BP95" i="9"/>
  <c r="BL19" i="9"/>
  <c r="AZ34" i="9"/>
  <c r="BL52" i="9"/>
  <c r="AZ67" i="9"/>
  <c r="CL17" i="9"/>
  <c r="D18" i="35" s="1"/>
  <c r="CL16" i="9"/>
  <c r="X23" i="9"/>
  <c r="AH23" i="9"/>
  <c r="AD54" i="9"/>
  <c r="AN54" i="9"/>
  <c r="CO33" i="9"/>
  <c r="CO34" i="9"/>
  <c r="E34" i="35"/>
  <c r="BR53" i="9"/>
  <c r="BH53" i="9"/>
  <c r="AD87" i="9"/>
  <c r="AN87" i="9"/>
  <c r="AD21" i="9"/>
  <c r="AN21" i="9"/>
  <c r="AB89" i="9"/>
  <c r="R89" i="9"/>
  <c r="CN34" i="9"/>
  <c r="CN33" i="9"/>
  <c r="D34" i="35"/>
  <c r="CL26" i="9"/>
  <c r="D27" i="35" s="1"/>
  <c r="CL25" i="9"/>
  <c r="R56" i="9"/>
  <c r="AB56" i="9"/>
  <c r="CM17" i="9"/>
  <c r="E18" i="35" s="1"/>
  <c r="CM16" i="9"/>
  <c r="BA84" i="9"/>
  <c r="BA100" i="9" s="1"/>
  <c r="BL84" i="9"/>
  <c r="AB88" i="9"/>
  <c r="Q88" i="9"/>
  <c r="W55" i="9"/>
  <c r="AH55" i="9"/>
  <c r="BB53" i="9"/>
  <c r="BL53" i="9"/>
  <c r="Q22" i="9"/>
  <c r="AB22" i="9"/>
  <c r="AO86" i="9"/>
  <c r="AZ86" i="9"/>
  <c r="R23" i="9"/>
  <c r="AB23" i="9"/>
  <c r="V57" i="9"/>
  <c r="E24" i="7"/>
  <c r="E62" i="7" s="1"/>
  <c r="J24" i="9" s="1"/>
  <c r="BM18" i="9"/>
  <c r="BX18" i="9"/>
  <c r="BY18" i="9" s="1"/>
  <c r="BY34" i="9" s="1"/>
  <c r="CD18" i="9"/>
  <c r="BS18" i="9"/>
  <c r="BS34" i="9" s="1"/>
  <c r="BR34" i="9"/>
  <c r="G13" i="35"/>
  <c r="G12" i="35"/>
  <c r="CO14" i="9"/>
  <c r="E14" i="35"/>
  <c r="CO13" i="9"/>
  <c r="F13" i="35"/>
  <c r="F12" i="35"/>
  <c r="AU54" i="9"/>
  <c r="BF54" i="9"/>
  <c r="B63" i="7"/>
  <c r="K25" i="6"/>
  <c r="M25" i="6"/>
  <c r="O25" i="6"/>
  <c r="L25" i="6"/>
  <c r="G25" i="6"/>
  <c r="C25" i="6"/>
  <c r="C25" i="7" s="1"/>
  <c r="C63" i="7" s="1"/>
  <c r="H25" i="6"/>
  <c r="E25" i="6"/>
  <c r="F25" i="6"/>
  <c r="B25" i="7"/>
  <c r="D25" i="6"/>
  <c r="J25" i="6"/>
  <c r="N25" i="6"/>
  <c r="I25" i="6"/>
  <c r="C22" i="38"/>
  <c r="D22" i="39" s="1"/>
  <c r="BY51" i="9"/>
  <c r="BY67" i="9" s="1"/>
  <c r="CN29" i="9"/>
  <c r="D29" i="35"/>
  <c r="CN28" i="9"/>
  <c r="H24" i="56"/>
  <c r="B25" i="56"/>
  <c r="H28" i="60"/>
  <c r="B29" i="60"/>
  <c r="CD52" i="9"/>
  <c r="BS52" i="9"/>
  <c r="BR67" i="9"/>
  <c r="CO25" i="9"/>
  <c r="CO26" i="9"/>
  <c r="E26" i="35"/>
  <c r="G26" i="35" s="1"/>
  <c r="B26" i="57"/>
  <c r="H25" i="57"/>
  <c r="V90" i="9" l="1"/>
  <c r="AH90" i="9" s="1"/>
  <c r="AH89" i="9"/>
  <c r="H25" i="7"/>
  <c r="H63" i="7" s="1"/>
  <c r="D91" i="9" s="1"/>
  <c r="E91" i="9" s="1"/>
  <c r="I25" i="7"/>
  <c r="I63" i="7" s="1"/>
  <c r="J91" i="9" s="1"/>
  <c r="V91" i="9" s="1"/>
  <c r="CD67" i="9"/>
  <c r="D25" i="7"/>
  <c r="D63" i="7" s="1"/>
  <c r="D25" i="9" s="1"/>
  <c r="P24" i="9"/>
  <c r="R24" i="9" s="1"/>
  <c r="BS67" i="9"/>
  <c r="P57" i="9"/>
  <c r="E57" i="9"/>
  <c r="BL85" i="9"/>
  <c r="AZ100" i="9"/>
  <c r="E25" i="7"/>
  <c r="E63" i="7" s="1"/>
  <c r="J25" i="9" s="1"/>
  <c r="K25" i="9" s="1"/>
  <c r="G25" i="7"/>
  <c r="G63" i="7" s="1"/>
  <c r="J58" i="9" s="1"/>
  <c r="K58" i="9" s="1"/>
  <c r="E29" i="35"/>
  <c r="CO29" i="9"/>
  <c r="CO28" i="9"/>
  <c r="AN55" i="9"/>
  <c r="AD55" i="9"/>
  <c r="AT88" i="9"/>
  <c r="AJ88" i="9"/>
  <c r="BR85" i="9"/>
  <c r="BF100" i="9"/>
  <c r="BH20" i="9"/>
  <c r="BR20" i="9"/>
  <c r="K91" i="9"/>
  <c r="V24" i="9"/>
  <c r="K24" i="9"/>
  <c r="AN88" i="9"/>
  <c r="AD88" i="9"/>
  <c r="AO87" i="9"/>
  <c r="AZ87" i="9"/>
  <c r="CD53" i="9"/>
  <c r="CF53" i="9" s="1"/>
  <c r="BS53" i="9"/>
  <c r="AO54" i="9"/>
  <c r="AZ54" i="9"/>
  <c r="CN17" i="9"/>
  <c r="CN16" i="9"/>
  <c r="D17" i="35"/>
  <c r="AV22" i="9"/>
  <c r="BF22" i="9"/>
  <c r="BH86" i="9"/>
  <c r="BR86" i="9"/>
  <c r="C13" i="38"/>
  <c r="P91" i="9"/>
  <c r="BV63" i="9"/>
  <c r="BP96" i="9"/>
  <c r="CE18" i="9"/>
  <c r="CE34" i="9" s="1"/>
  <c r="CD34" i="9"/>
  <c r="AN23" i="9"/>
  <c r="AD23" i="9"/>
  <c r="AN22" i="9"/>
  <c r="AD22" i="9"/>
  <c r="AJ55" i="9"/>
  <c r="AT55" i="9"/>
  <c r="BX84" i="9"/>
  <c r="BY84" i="9" s="1"/>
  <c r="BY100" i="9" s="1"/>
  <c r="CL38" i="9" s="1" a="1"/>
  <c r="BM84" i="9"/>
  <c r="AD56" i="9"/>
  <c r="AN56" i="9"/>
  <c r="F35" i="35"/>
  <c r="F34" i="35"/>
  <c r="AB24" i="9"/>
  <c r="AD89" i="9"/>
  <c r="AN89" i="9"/>
  <c r="G35" i="35"/>
  <c r="G34" i="35"/>
  <c r="BX19" i="9"/>
  <c r="BX34" i="9" s="1"/>
  <c r="BM19" i="9"/>
  <c r="BM34" i="9" s="1"/>
  <c r="BL34" i="9"/>
  <c r="B28" i="3"/>
  <c r="B27" i="6"/>
  <c r="AD664" i="4"/>
  <c r="AC692" i="4" s="1"/>
  <c r="BL20" i="9"/>
  <c r="BB20" i="9"/>
  <c r="C10" i="38"/>
  <c r="D14" i="35"/>
  <c r="CN13" i="9"/>
  <c r="CN14" i="9"/>
  <c r="E25" i="9"/>
  <c r="P25" i="9"/>
  <c r="F25" i="7"/>
  <c r="F63" i="7" s="1"/>
  <c r="D58" i="9" s="1"/>
  <c r="BR54" i="9"/>
  <c r="BH54" i="9"/>
  <c r="X57" i="9"/>
  <c r="AH57" i="9"/>
  <c r="AJ89" i="9"/>
  <c r="AT89" i="9"/>
  <c r="AO21" i="9"/>
  <c r="AZ21" i="9"/>
  <c r="AJ23" i="9"/>
  <c r="AT23" i="9"/>
  <c r="BS84" i="9"/>
  <c r="CD84" i="9"/>
  <c r="CE84" i="9" s="1"/>
  <c r="CE100" i="9" s="1"/>
  <c r="CM38" i="9" s="1" a="1"/>
  <c r="BF21" i="9"/>
  <c r="AU21" i="9"/>
  <c r="BH87" i="9"/>
  <c r="BR87" i="9"/>
  <c r="AH56" i="9"/>
  <c r="X56" i="9"/>
  <c r="AR25" i="9"/>
  <c r="BD25" i="9"/>
  <c r="AF58" i="9"/>
  <c r="AL91" i="9"/>
  <c r="AL25" i="9"/>
  <c r="B91" i="9"/>
  <c r="AF91" i="9"/>
  <c r="N25" i="9"/>
  <c r="AX25" i="9"/>
  <c r="AX58" i="9" s="1"/>
  <c r="AX91" i="9" s="1"/>
  <c r="B25" i="9"/>
  <c r="T91" i="9"/>
  <c r="Z91" i="9"/>
  <c r="CB25" i="9"/>
  <c r="AR58" i="9"/>
  <c r="T25" i="9"/>
  <c r="BJ91" i="9"/>
  <c r="AR91" i="9"/>
  <c r="BP25" i="9"/>
  <c r="BD91" i="9"/>
  <c r="AF25" i="9"/>
  <c r="CB91" i="9"/>
  <c r="H91" i="9"/>
  <c r="H25" i="9"/>
  <c r="H58" i="9"/>
  <c r="BD58" i="9"/>
  <c r="T58" i="9"/>
  <c r="N58" i="9"/>
  <c r="Z25" i="9"/>
  <c r="BJ25" i="9"/>
  <c r="AL58" i="9"/>
  <c r="BV25" i="9"/>
  <c r="CB58" i="9"/>
  <c r="BJ58" i="9"/>
  <c r="BV91" i="9"/>
  <c r="BP58" i="9"/>
  <c r="N91" i="9"/>
  <c r="Z58" i="9"/>
  <c r="B58" i="9"/>
  <c r="G14" i="35"/>
  <c r="G15" i="35"/>
  <c r="BB86" i="9"/>
  <c r="BL86" i="9"/>
  <c r="BX53" i="9"/>
  <c r="BZ53" i="9" s="1"/>
  <c r="BM53" i="9"/>
  <c r="E17" i="35"/>
  <c r="CO17" i="9"/>
  <c r="CO16" i="9"/>
  <c r="D26" i="35"/>
  <c r="CN25" i="9"/>
  <c r="CN26" i="9"/>
  <c r="BM52" i="9"/>
  <c r="BM67" i="9" s="1"/>
  <c r="BX52" i="9"/>
  <c r="BX67" i="9" s="1"/>
  <c r="BL67" i="9"/>
  <c r="F26" i="6"/>
  <c r="I26" i="6"/>
  <c r="E26" i="6"/>
  <c r="N26" i="6"/>
  <c r="J26" i="6"/>
  <c r="C26" i="6"/>
  <c r="C26" i="7" s="1"/>
  <c r="C64" i="7" s="1"/>
  <c r="M26" i="6"/>
  <c r="B26" i="7"/>
  <c r="H26" i="6"/>
  <c r="G26" i="6"/>
  <c r="O26" i="6"/>
  <c r="B64" i="7"/>
  <c r="D26" i="6"/>
  <c r="K26" i="6"/>
  <c r="L26" i="6"/>
  <c r="C19" i="38"/>
  <c r="E90" i="9"/>
  <c r="P90" i="9"/>
  <c r="I22" i="38"/>
  <c r="J22" i="39" s="1"/>
  <c r="H22" i="38"/>
  <c r="I22" i="39" s="1"/>
  <c r="K22" i="38"/>
  <c r="L22" i="39" s="1"/>
  <c r="E22" i="38"/>
  <c r="F22" i="39" s="1"/>
  <c r="G22" i="38"/>
  <c r="H22" i="39" s="1"/>
  <c r="J22" i="38"/>
  <c r="K22" i="39" s="1"/>
  <c r="D22" i="38"/>
  <c r="E22" i="39" s="1"/>
  <c r="F22" i="38"/>
  <c r="G22" i="39" s="1"/>
  <c r="G27" i="35"/>
  <c r="H29" i="60"/>
  <c r="B30" i="60"/>
  <c r="B26" i="56"/>
  <c r="H25" i="56"/>
  <c r="H26" i="57"/>
  <c r="B27" i="57"/>
  <c r="F29" i="35"/>
  <c r="F30" i="35"/>
  <c r="V58" i="9" l="1"/>
  <c r="X90" i="9"/>
  <c r="H26" i="7"/>
  <c r="H64" i="7" s="1"/>
  <c r="D92" i="9" s="1"/>
  <c r="D26" i="7"/>
  <c r="D64" i="7" s="1"/>
  <c r="D26" i="9" s="1"/>
  <c r="P26" i="9" s="1"/>
  <c r="F26" i="7"/>
  <c r="F64" i="7" s="1"/>
  <c r="D59" i="9" s="1"/>
  <c r="P59" i="9" s="1"/>
  <c r="AB57" i="9"/>
  <c r="R57" i="9"/>
  <c r="C24" i="38"/>
  <c r="I24" i="38" s="1"/>
  <c r="J24" i="39" s="1"/>
  <c r="C15" i="38"/>
  <c r="H15" i="38" s="1"/>
  <c r="I15" i="39" s="1"/>
  <c r="V25" i="9"/>
  <c r="AH25" i="9" s="1"/>
  <c r="G30" i="35"/>
  <c r="G29" i="35"/>
  <c r="BM85" i="9"/>
  <c r="BM100" i="9" s="1"/>
  <c r="CL35" i="9" s="1" a="1"/>
  <c r="BL100" i="9"/>
  <c r="BX85" i="9"/>
  <c r="BX100" i="9" s="1"/>
  <c r="CD20" i="9"/>
  <c r="CF20" i="9" s="1"/>
  <c r="BS20" i="9"/>
  <c r="AV88" i="9"/>
  <c r="BF88" i="9"/>
  <c r="CD85" i="9"/>
  <c r="CD100" i="9" s="1"/>
  <c r="BS85" i="9"/>
  <c r="BS100" i="9" s="1"/>
  <c r="CM35" i="9" s="1" a="1"/>
  <c r="BR100" i="9"/>
  <c r="AP55" i="9"/>
  <c r="AZ55" i="9"/>
  <c r="CM38" i="9"/>
  <c r="CM39" i="9"/>
  <c r="E40" i="35" s="1"/>
  <c r="E92" i="9"/>
  <c r="P92" i="9"/>
  <c r="F26" i="35"/>
  <c r="F27" i="35"/>
  <c r="AT90" i="9"/>
  <c r="AJ90" i="9"/>
  <c r="AB25" i="9"/>
  <c r="R25" i="9"/>
  <c r="BX20" i="9"/>
  <c r="BZ20" i="9" s="1"/>
  <c r="BM20" i="9"/>
  <c r="AP23" i="9"/>
  <c r="AZ23" i="9"/>
  <c r="X58" i="9"/>
  <c r="AH58" i="9"/>
  <c r="BR22" i="9"/>
  <c r="BH22" i="9"/>
  <c r="AP88" i="9"/>
  <c r="AZ88" i="9"/>
  <c r="AB90" i="9"/>
  <c r="R90" i="9"/>
  <c r="AJ56" i="9"/>
  <c r="AT56" i="9"/>
  <c r="BH21" i="9"/>
  <c r="BR21" i="9"/>
  <c r="AV23" i="9"/>
  <c r="BF23" i="9"/>
  <c r="AV89" i="9"/>
  <c r="BF89" i="9"/>
  <c r="F15" i="35"/>
  <c r="F14" i="35"/>
  <c r="AZ89" i="9"/>
  <c r="AP89" i="9"/>
  <c r="R91" i="9"/>
  <c r="AB91" i="9"/>
  <c r="E13" i="38"/>
  <c r="F13" i="39" s="1"/>
  <c r="K13" i="38"/>
  <c r="L13" i="39" s="1"/>
  <c r="I13" i="38"/>
  <c r="J13" i="39" s="1"/>
  <c r="F13" i="38"/>
  <c r="G13" i="39" s="1"/>
  <c r="J13" i="38"/>
  <c r="K13" i="39" s="1"/>
  <c r="G13" i="38"/>
  <c r="H13" i="39" s="1"/>
  <c r="D13" i="39"/>
  <c r="H13" i="38"/>
  <c r="I13" i="39" s="1"/>
  <c r="D13" i="38"/>
  <c r="E13" i="39" s="1"/>
  <c r="BL54" i="9"/>
  <c r="BB54" i="9"/>
  <c r="BB87" i="9"/>
  <c r="BL87" i="9"/>
  <c r="AH91" i="9"/>
  <c r="X91" i="9"/>
  <c r="E26" i="9"/>
  <c r="E59" i="9"/>
  <c r="G26" i="7"/>
  <c r="G64" i="7" s="1"/>
  <c r="J59" i="9" s="1"/>
  <c r="E26" i="7"/>
  <c r="E64" i="7" s="1"/>
  <c r="J26" i="9" s="1"/>
  <c r="BM86" i="9"/>
  <c r="BX86" i="9"/>
  <c r="BZ86" i="9" s="1"/>
  <c r="CD87" i="9"/>
  <c r="CF87" i="9" s="1"/>
  <c r="BT87" i="9"/>
  <c r="BT54" i="9"/>
  <c r="CD54" i="9"/>
  <c r="CF54" i="9" s="1"/>
  <c r="E10" i="38"/>
  <c r="F10" i="39" s="1"/>
  <c r="H10" i="38"/>
  <c r="I10" i="39" s="1"/>
  <c r="D10" i="39"/>
  <c r="K10" i="38"/>
  <c r="L10" i="39" s="1"/>
  <c r="F10" i="38"/>
  <c r="G10" i="39" s="1"/>
  <c r="I10" i="38"/>
  <c r="J10" i="39" s="1"/>
  <c r="G10" i="38"/>
  <c r="H10" i="39" s="1"/>
  <c r="J10" i="38"/>
  <c r="K10" i="39" s="1"/>
  <c r="D10" i="38"/>
  <c r="E10" i="39" s="1"/>
  <c r="B27" i="7"/>
  <c r="K27" i="6"/>
  <c r="I27" i="6"/>
  <c r="F27" i="6"/>
  <c r="B65" i="7"/>
  <c r="M27" i="6"/>
  <c r="L27" i="6"/>
  <c r="C27" i="6"/>
  <c r="C27" i="7" s="1"/>
  <c r="C65" i="7" s="1"/>
  <c r="E27" i="6"/>
  <c r="H27" i="6"/>
  <c r="O27" i="6"/>
  <c r="J27" i="6"/>
  <c r="D27" i="6"/>
  <c r="D27" i="7" s="1"/>
  <c r="D65" i="7" s="1"/>
  <c r="D27" i="9" s="1"/>
  <c r="N27" i="6"/>
  <c r="G27" i="6"/>
  <c r="CL38" i="9"/>
  <c r="CL39" i="9"/>
  <c r="D40" i="35" s="1"/>
  <c r="AZ22" i="9"/>
  <c r="AP22" i="9"/>
  <c r="CD86" i="9"/>
  <c r="CF86" i="9" s="1"/>
  <c r="BS86" i="9"/>
  <c r="F17" i="35"/>
  <c r="F18" i="35"/>
  <c r="AH24" i="9"/>
  <c r="X24" i="9"/>
  <c r="E19" i="38"/>
  <c r="F19" i="39" s="1"/>
  <c r="D19" i="38"/>
  <c r="E19" i="39" s="1"/>
  <c r="G19" i="38"/>
  <c r="H19" i="39" s="1"/>
  <c r="H19" i="38"/>
  <c r="I19" i="39" s="1"/>
  <c r="F19" i="38"/>
  <c r="G19" i="39" s="1"/>
  <c r="K19" i="38"/>
  <c r="L19" i="39" s="1"/>
  <c r="D19" i="39"/>
  <c r="J19" i="38"/>
  <c r="K19" i="39" s="1"/>
  <c r="I19" i="38"/>
  <c r="J19" i="39" s="1"/>
  <c r="BP97" i="9"/>
  <c r="BV64" i="9"/>
  <c r="N26" i="9"/>
  <c r="AL92" i="9"/>
  <c r="AL59" i="9"/>
  <c r="CB92" i="9"/>
  <c r="AF59" i="9"/>
  <c r="BP26" i="9"/>
  <c r="H59" i="9"/>
  <c r="T92" i="9"/>
  <c r="BJ26" i="9"/>
  <c r="B59" i="9"/>
  <c r="T26" i="9"/>
  <c r="AR92" i="9"/>
  <c r="CB26" i="9"/>
  <c r="AR26" i="9"/>
  <c r="N59" i="9"/>
  <c r="H26" i="9"/>
  <c r="N92" i="9"/>
  <c r="CB59" i="9"/>
  <c r="BD26" i="9"/>
  <c r="BD92" i="9"/>
  <c r="BJ92" i="9"/>
  <c r="BV26" i="9"/>
  <c r="T59" i="9"/>
  <c r="BP59" i="9"/>
  <c r="AX26" i="9"/>
  <c r="AX59" i="9" s="1"/>
  <c r="AX92" i="9" s="1"/>
  <c r="BD59" i="9"/>
  <c r="AL26" i="9"/>
  <c r="Z26" i="9"/>
  <c r="Z92" i="9"/>
  <c r="Z59" i="9"/>
  <c r="AF26" i="9"/>
  <c r="BJ59" i="9"/>
  <c r="AF92" i="9"/>
  <c r="BV92" i="9"/>
  <c r="B26" i="9"/>
  <c r="B92" i="9"/>
  <c r="H92" i="9"/>
  <c r="AR59" i="9"/>
  <c r="I26" i="7"/>
  <c r="I64" i="7" s="1"/>
  <c r="J92" i="9" s="1"/>
  <c r="G18" i="35"/>
  <c r="G17" i="35"/>
  <c r="BL21" i="9"/>
  <c r="BB21" i="9"/>
  <c r="AT57" i="9"/>
  <c r="AJ57" i="9"/>
  <c r="E58" i="9"/>
  <c r="P58" i="9"/>
  <c r="B29" i="3"/>
  <c r="AD694" i="4"/>
  <c r="AC722" i="4" s="1"/>
  <c r="B28" i="6"/>
  <c r="AD24" i="9"/>
  <c r="AN24" i="9"/>
  <c r="AP56" i="9"/>
  <c r="AZ56" i="9"/>
  <c r="AV55" i="9"/>
  <c r="BF55" i="9"/>
  <c r="C23" i="38"/>
  <c r="H30" i="60"/>
  <c r="B31" i="60"/>
  <c r="H27" i="57"/>
  <c r="B28" i="57"/>
  <c r="H26" i="56"/>
  <c r="B27" i="56"/>
  <c r="G27" i="7" l="1"/>
  <c r="G65" i="7" s="1"/>
  <c r="J60" i="9" s="1"/>
  <c r="V60" i="9" s="1"/>
  <c r="J15" i="38"/>
  <c r="K15" i="39" s="1"/>
  <c r="D15" i="38"/>
  <c r="E15" i="39" s="1"/>
  <c r="E15" i="38"/>
  <c r="F15" i="39" s="1"/>
  <c r="X25" i="9"/>
  <c r="C20" i="38"/>
  <c r="D20" i="38" s="1"/>
  <c r="E20" i="39" s="1"/>
  <c r="I27" i="7"/>
  <c r="I65" i="7" s="1"/>
  <c r="J93" i="9" s="1"/>
  <c r="V93" i="9" s="1"/>
  <c r="F27" i="7"/>
  <c r="F65" i="7" s="1"/>
  <c r="D60" i="9" s="1"/>
  <c r="E60" i="9" s="1"/>
  <c r="G15" i="38"/>
  <c r="H15" i="39" s="1"/>
  <c r="AN57" i="9"/>
  <c r="AD57" i="9"/>
  <c r="F15" i="38"/>
  <c r="G15" i="39" s="1"/>
  <c r="I15" i="38"/>
  <c r="J15" i="39" s="1"/>
  <c r="D15" i="39"/>
  <c r="K15" i="38"/>
  <c r="L15" i="39" s="1"/>
  <c r="K24" i="38"/>
  <c r="L24" i="39" s="1"/>
  <c r="E24" i="38"/>
  <c r="F24" i="39" s="1"/>
  <c r="J24" i="38"/>
  <c r="K24" i="39" s="1"/>
  <c r="D24" i="38"/>
  <c r="E24" i="39" s="1"/>
  <c r="F24" i="38"/>
  <c r="G24" i="39" s="1"/>
  <c r="G24" i="38"/>
  <c r="H24" i="39" s="1"/>
  <c r="H24" i="38"/>
  <c r="I24" i="39" s="1"/>
  <c r="D24" i="39"/>
  <c r="H27" i="7"/>
  <c r="H65" i="7" s="1"/>
  <c r="D93" i="9" s="1"/>
  <c r="P93" i="9" s="1"/>
  <c r="CL35" i="9"/>
  <c r="CL36" i="9"/>
  <c r="D37" i="35" s="1"/>
  <c r="CM35" i="9"/>
  <c r="CM36" i="9"/>
  <c r="E37" i="35" s="1"/>
  <c r="BL55" i="9"/>
  <c r="BB55" i="9"/>
  <c r="C14" i="38"/>
  <c r="BR88" i="9"/>
  <c r="BH88" i="9"/>
  <c r="AJ25" i="9"/>
  <c r="AT25" i="9"/>
  <c r="BL22" i="9"/>
  <c r="BB22" i="9"/>
  <c r="P60" i="9"/>
  <c r="R59" i="9"/>
  <c r="AB59" i="9"/>
  <c r="AN59" i="9" s="1"/>
  <c r="AT91" i="9"/>
  <c r="AJ91" i="9"/>
  <c r="BX54" i="9"/>
  <c r="BZ54" i="9" s="1"/>
  <c r="BN54" i="9"/>
  <c r="BR89" i="9"/>
  <c r="BH89" i="9"/>
  <c r="CD21" i="9"/>
  <c r="CF21" i="9" s="1"/>
  <c r="BT21" i="9"/>
  <c r="BL23" i="9"/>
  <c r="BB23" i="9"/>
  <c r="BH55" i="9"/>
  <c r="BR55" i="9"/>
  <c r="AZ24" i="9"/>
  <c r="AP24" i="9"/>
  <c r="B30" i="3"/>
  <c r="B29" i="6"/>
  <c r="AD724" i="4"/>
  <c r="AC752" i="4" s="1"/>
  <c r="BF57" i="9"/>
  <c r="AV57" i="9"/>
  <c r="E27" i="9"/>
  <c r="P27" i="9"/>
  <c r="BP98" i="9"/>
  <c r="BV65" i="9"/>
  <c r="AX27" i="9"/>
  <c r="AX60" i="9" s="1"/>
  <c r="AX93" i="9" s="1"/>
  <c r="CB93" i="9"/>
  <c r="N93" i="9"/>
  <c r="BV27" i="9"/>
  <c r="H27" i="9"/>
  <c r="BJ60" i="9"/>
  <c r="BJ93" i="9"/>
  <c r="BD60" i="9"/>
  <c r="T27" i="9"/>
  <c r="BD93" i="9"/>
  <c r="AF60" i="9"/>
  <c r="N27" i="9"/>
  <c r="CB60" i="9"/>
  <c r="AL93" i="9"/>
  <c r="T60" i="9"/>
  <c r="AF93" i="9"/>
  <c r="B60" i="9"/>
  <c r="H60" i="9"/>
  <c r="BP60" i="9"/>
  <c r="Z60" i="9"/>
  <c r="BP27" i="9"/>
  <c r="BJ27" i="9"/>
  <c r="BV93" i="9"/>
  <c r="BD27" i="9"/>
  <c r="AL60" i="9"/>
  <c r="AF27" i="9"/>
  <c r="B27" i="9"/>
  <c r="AL27" i="9"/>
  <c r="AR93" i="9"/>
  <c r="CB27" i="9"/>
  <c r="AR60" i="9"/>
  <c r="Z27" i="9"/>
  <c r="AR27" i="9"/>
  <c r="H93" i="9"/>
  <c r="B93" i="9"/>
  <c r="N60" i="9"/>
  <c r="Z93" i="9"/>
  <c r="T93" i="9"/>
  <c r="K26" i="9"/>
  <c r="V26" i="9"/>
  <c r="AB26" i="9"/>
  <c r="AN26" i="9" s="1"/>
  <c r="R26" i="9"/>
  <c r="BN87" i="9"/>
  <c r="BX87" i="9"/>
  <c r="BZ87" i="9" s="1"/>
  <c r="BL89" i="9"/>
  <c r="BB89" i="9"/>
  <c r="AN90" i="9"/>
  <c r="AD90" i="9"/>
  <c r="BT22" i="9"/>
  <c r="CD22" i="9"/>
  <c r="CF22" i="9" s="1"/>
  <c r="AD25" i="9"/>
  <c r="AN25" i="9"/>
  <c r="AB58" i="9"/>
  <c r="R58" i="9"/>
  <c r="AJ24" i="9"/>
  <c r="AT24" i="9"/>
  <c r="D39" i="35"/>
  <c r="CN38" i="9"/>
  <c r="CN39" i="9"/>
  <c r="K60" i="9"/>
  <c r="E27" i="7"/>
  <c r="E65" i="7" s="1"/>
  <c r="J27" i="9" s="1"/>
  <c r="V59" i="9"/>
  <c r="K59" i="9"/>
  <c r="AD91" i="9"/>
  <c r="AN91" i="9"/>
  <c r="C11" i="38"/>
  <c r="BH23" i="9"/>
  <c r="BR23" i="9"/>
  <c r="BF56" i="9"/>
  <c r="AV56" i="9"/>
  <c r="BL88" i="9"/>
  <c r="BB88" i="9"/>
  <c r="AJ58" i="9"/>
  <c r="AT58" i="9"/>
  <c r="R92" i="9"/>
  <c r="AB92" i="9"/>
  <c r="AN92" i="9" s="1"/>
  <c r="BL56" i="9"/>
  <c r="BB56" i="9"/>
  <c r="C28" i="6"/>
  <c r="C28" i="7" s="1"/>
  <c r="C66" i="7" s="1"/>
  <c r="O28" i="6"/>
  <c r="K28" i="6"/>
  <c r="M28" i="6"/>
  <c r="D28" i="6"/>
  <c r="G28" i="6"/>
  <c r="N28" i="6"/>
  <c r="B28" i="7"/>
  <c r="L28" i="6"/>
  <c r="J28" i="6"/>
  <c r="H28" i="6"/>
  <c r="B66" i="7"/>
  <c r="E28" i="6"/>
  <c r="I28" i="6"/>
  <c r="F28" i="6"/>
  <c r="BN21" i="9"/>
  <c r="BX21" i="9"/>
  <c r="BZ21" i="9" s="1"/>
  <c r="V92" i="9"/>
  <c r="K92" i="9"/>
  <c r="E93" i="9"/>
  <c r="BF90" i="9"/>
  <c r="AV90" i="9"/>
  <c r="CO39" i="9"/>
  <c r="E39" i="35"/>
  <c r="CO38" i="9"/>
  <c r="H27" i="56"/>
  <c r="B28" i="56"/>
  <c r="B29" i="57"/>
  <c r="H28" i="57"/>
  <c r="I23" i="38"/>
  <c r="J23" i="39" s="1"/>
  <c r="K23" i="38"/>
  <c r="L23" i="39" s="1"/>
  <c r="D23" i="38"/>
  <c r="E23" i="39" s="1"/>
  <c r="J23" i="38"/>
  <c r="K23" i="39" s="1"/>
  <c r="D23" i="39"/>
  <c r="G23" i="38"/>
  <c r="H23" i="38"/>
  <c r="I23" i="39" s="1"/>
  <c r="E23" i="38"/>
  <c r="F23" i="39" s="1"/>
  <c r="F23" i="38"/>
  <c r="G23" i="39" s="1"/>
  <c r="H31" i="60"/>
  <c r="B32" i="60"/>
  <c r="K93" i="9" l="1"/>
  <c r="D20" i="39"/>
  <c r="I20" i="38"/>
  <c r="J20" i="39" s="1"/>
  <c r="F20" i="38"/>
  <c r="G20" i="39" s="1"/>
  <c r="E20" i="38"/>
  <c r="F20" i="39" s="1"/>
  <c r="K20" i="38"/>
  <c r="L20" i="39" s="1"/>
  <c r="J20" i="38"/>
  <c r="K20" i="39" s="1"/>
  <c r="G20" i="38"/>
  <c r="H20" i="39" s="1"/>
  <c r="H20" i="38"/>
  <c r="I20" i="39" s="1"/>
  <c r="AP57" i="9"/>
  <c r="AZ57" i="9"/>
  <c r="H28" i="7"/>
  <c r="H66" i="7" s="1"/>
  <c r="D94" i="9" s="1"/>
  <c r="E94" i="9" s="1"/>
  <c r="E28" i="7"/>
  <c r="E66" i="7" s="1"/>
  <c r="J28" i="9" s="1"/>
  <c r="V28" i="9" s="1"/>
  <c r="I28" i="7"/>
  <c r="I66" i="7" s="1"/>
  <c r="J94" i="9" s="1"/>
  <c r="V94" i="9" s="1"/>
  <c r="CN36" i="9"/>
  <c r="D36" i="35"/>
  <c r="CN35" i="9"/>
  <c r="E14" i="38"/>
  <c r="F14" i="39" s="1"/>
  <c r="I14" i="38"/>
  <c r="J14" i="39" s="1"/>
  <c r="J14" i="38"/>
  <c r="K14" i="39" s="1"/>
  <c r="D14" i="38"/>
  <c r="E14" i="39" s="1"/>
  <c r="D14" i="39"/>
  <c r="K14" i="38"/>
  <c r="L14" i="39" s="1"/>
  <c r="H14" i="38"/>
  <c r="I14" i="39" s="1"/>
  <c r="G14" i="38"/>
  <c r="H14" i="39" s="1"/>
  <c r="F14" i="38"/>
  <c r="G14" i="39" s="1"/>
  <c r="CO36" i="9"/>
  <c r="E36" i="35"/>
  <c r="CO35" i="9"/>
  <c r="BX55" i="9"/>
  <c r="BZ55" i="9" s="1"/>
  <c r="BN55" i="9"/>
  <c r="G28" i="7"/>
  <c r="G66" i="7" s="1"/>
  <c r="J61" i="9" s="1"/>
  <c r="K61" i="9" s="1"/>
  <c r="CD88" i="9"/>
  <c r="CF88" i="9" s="1"/>
  <c r="BT88" i="9"/>
  <c r="F28" i="7"/>
  <c r="F66" i="7" s="1"/>
  <c r="D61" i="9" s="1"/>
  <c r="BX56" i="9"/>
  <c r="BY56" i="9" s="1"/>
  <c r="BN56" i="9"/>
  <c r="BH56" i="9"/>
  <c r="BR56" i="9"/>
  <c r="AZ91" i="9"/>
  <c r="AP91" i="9"/>
  <c r="V27" i="9"/>
  <c r="K27" i="9"/>
  <c r="R27" i="9"/>
  <c r="AB27" i="9"/>
  <c r="BL24" i="9"/>
  <c r="BA24" i="9"/>
  <c r="BN23" i="9"/>
  <c r="BX23" i="9"/>
  <c r="BY23" i="9" s="1"/>
  <c r="BT89" i="9"/>
  <c r="CD89" i="9"/>
  <c r="CE89" i="9" s="1"/>
  <c r="AV91" i="9"/>
  <c r="BF91" i="9"/>
  <c r="BX22" i="9"/>
  <c r="BZ22" i="9" s="1"/>
  <c r="BN22" i="9"/>
  <c r="BR90" i="9"/>
  <c r="BG90" i="9"/>
  <c r="X92" i="9"/>
  <c r="AH92" i="9"/>
  <c r="AT92" i="9" s="1"/>
  <c r="AZ92" i="9"/>
  <c r="AP92" i="9"/>
  <c r="CD23" i="9"/>
  <c r="CE23" i="9" s="1"/>
  <c r="BT23" i="9"/>
  <c r="F40" i="35"/>
  <c r="F39" i="35"/>
  <c r="AD58" i="9"/>
  <c r="AN58" i="9"/>
  <c r="BX89" i="9"/>
  <c r="BY89" i="9" s="1"/>
  <c r="BN89" i="9"/>
  <c r="AP26" i="9"/>
  <c r="AZ26" i="9"/>
  <c r="B29" i="7"/>
  <c r="N29" i="6"/>
  <c r="M29" i="6"/>
  <c r="G29" i="6"/>
  <c r="B67" i="7"/>
  <c r="J29" i="6"/>
  <c r="E29" i="6"/>
  <c r="D29" i="6"/>
  <c r="H29" i="6"/>
  <c r="F29" i="6"/>
  <c r="I29" i="6"/>
  <c r="L29" i="6"/>
  <c r="O29" i="6"/>
  <c r="C29" i="6"/>
  <c r="C29" i="7" s="1"/>
  <c r="C67" i="7" s="1"/>
  <c r="K29" i="6"/>
  <c r="BT55" i="9"/>
  <c r="CD55" i="9"/>
  <c r="CF55" i="9" s="1"/>
  <c r="AP59" i="9"/>
  <c r="AZ59" i="9"/>
  <c r="AH93" i="9"/>
  <c r="X93" i="9"/>
  <c r="D28" i="7"/>
  <c r="D66" i="7" s="1"/>
  <c r="D28" i="9" s="1"/>
  <c r="BN88" i="9"/>
  <c r="BX88" i="9"/>
  <c r="BZ88" i="9" s="1"/>
  <c r="AH60" i="9"/>
  <c r="X60" i="9"/>
  <c r="BF24" i="9"/>
  <c r="AV24" i="9"/>
  <c r="AP25" i="9"/>
  <c r="AZ25" i="9"/>
  <c r="AH26" i="9"/>
  <c r="AT26" i="9" s="1"/>
  <c r="X26" i="9"/>
  <c r="AD754" i="4"/>
  <c r="AC782" i="4" s="1"/>
  <c r="B30" i="6"/>
  <c r="B31" i="3"/>
  <c r="AV25" i="9"/>
  <c r="BF25" i="9"/>
  <c r="G40" i="35"/>
  <c r="G39" i="35"/>
  <c r="R93" i="9"/>
  <c r="AB93" i="9"/>
  <c r="BV66" i="9"/>
  <c r="BP99" i="9"/>
  <c r="B61" i="9"/>
  <c r="B28" i="9"/>
  <c r="AF61" i="9"/>
  <c r="Z61" i="9"/>
  <c r="H94" i="9"/>
  <c r="BP61" i="9"/>
  <c r="N28" i="9"/>
  <c r="AR61" i="9"/>
  <c r="BV28" i="9"/>
  <c r="AF28" i="9"/>
  <c r="N61" i="9"/>
  <c r="AL94" i="9"/>
  <c r="AR94" i="9"/>
  <c r="Z28" i="9"/>
  <c r="BD28" i="9"/>
  <c r="BP28" i="9"/>
  <c r="BJ61" i="9"/>
  <c r="BD94" i="9"/>
  <c r="BJ28" i="9"/>
  <c r="BJ94" i="9"/>
  <c r="H61" i="9"/>
  <c r="H28" i="9"/>
  <c r="AL61" i="9"/>
  <c r="N94" i="9"/>
  <c r="B94" i="9"/>
  <c r="T94" i="9"/>
  <c r="Z94" i="9"/>
  <c r="CB61" i="9"/>
  <c r="CB28" i="9"/>
  <c r="CB94" i="9"/>
  <c r="AF94" i="9"/>
  <c r="AR28" i="9"/>
  <c r="AX28" i="9"/>
  <c r="AX61" i="9" s="1"/>
  <c r="AX94" i="9" s="1"/>
  <c r="AL28" i="9"/>
  <c r="T28" i="9"/>
  <c r="BD61" i="9"/>
  <c r="BV94" i="9"/>
  <c r="T61" i="9"/>
  <c r="BF58" i="9"/>
  <c r="AV58" i="9"/>
  <c r="D11" i="39"/>
  <c r="F11" i="38"/>
  <c r="G11" i="39" s="1"/>
  <c r="D11" i="38"/>
  <c r="E11" i="39" s="1"/>
  <c r="K11" i="38"/>
  <c r="L11" i="39" s="1"/>
  <c r="J11" i="38"/>
  <c r="K11" i="39" s="1"/>
  <c r="G11" i="38"/>
  <c r="H11" i="39" s="1"/>
  <c r="E11" i="38"/>
  <c r="F11" i="39" s="1"/>
  <c r="H11" i="38"/>
  <c r="I11" i="39" s="1"/>
  <c r="I11" i="38"/>
  <c r="J11" i="39" s="1"/>
  <c r="AH59" i="9"/>
  <c r="AT59" i="9" s="1"/>
  <c r="X59" i="9"/>
  <c r="AP90" i="9"/>
  <c r="AZ90" i="9"/>
  <c r="BG57" i="9"/>
  <c r="BR57" i="9"/>
  <c r="AB60" i="9"/>
  <c r="R60" i="9"/>
  <c r="H23" i="39"/>
  <c r="B30" i="57"/>
  <c r="H29" i="57"/>
  <c r="B29" i="56"/>
  <c r="H28" i="56"/>
  <c r="H32" i="60"/>
  <c r="B33" i="60"/>
  <c r="K94" i="9" l="1"/>
  <c r="E29" i="7"/>
  <c r="E67" i="7" s="1"/>
  <c r="J29" i="9" s="1"/>
  <c r="V29" i="9" s="1"/>
  <c r="P94" i="9"/>
  <c r="AB94" i="9" s="1"/>
  <c r="K28" i="9"/>
  <c r="BL57" i="9"/>
  <c r="BA57" i="9"/>
  <c r="V61" i="9"/>
  <c r="X61" i="9" s="1"/>
  <c r="H29" i="7"/>
  <c r="H67" i="7" s="1"/>
  <c r="D95" i="9" s="1"/>
  <c r="P95" i="9" s="1"/>
  <c r="F36" i="35"/>
  <c r="F37" i="35"/>
  <c r="D29" i="7"/>
  <c r="D67" i="7" s="1"/>
  <c r="D29" i="9" s="1"/>
  <c r="P29" i="9" s="1"/>
  <c r="G36" i="35"/>
  <c r="G37" i="35"/>
  <c r="AN60" i="9"/>
  <c r="AC60" i="9"/>
  <c r="B32" i="3"/>
  <c r="AD784" i="4"/>
  <c r="AC812" i="4" s="1"/>
  <c r="B31" i="6"/>
  <c r="AV26" i="9"/>
  <c r="BF26" i="9"/>
  <c r="BR24" i="9"/>
  <c r="BG24" i="9"/>
  <c r="F29" i="7"/>
  <c r="F67" i="7" s="1"/>
  <c r="D62" i="9" s="1"/>
  <c r="AF29" i="9"/>
  <c r="BD95" i="9"/>
  <c r="CB62" i="9"/>
  <c r="H29" i="9"/>
  <c r="BD62" i="9"/>
  <c r="T95" i="9"/>
  <c r="AF62" i="9"/>
  <c r="CB95" i="9"/>
  <c r="N95" i="9"/>
  <c r="T62" i="9"/>
  <c r="BJ29" i="9"/>
  <c r="AR29" i="9"/>
  <c r="AR62" i="9"/>
  <c r="AL95" i="9"/>
  <c r="AX29" i="9"/>
  <c r="AX62" i="9" s="1"/>
  <c r="AX95" i="9" s="1"/>
  <c r="AF95" i="9"/>
  <c r="AL62" i="9"/>
  <c r="BP29" i="9"/>
  <c r="N29" i="9"/>
  <c r="Z95" i="9"/>
  <c r="BV29" i="9"/>
  <c r="BP62" i="9"/>
  <c r="BV95" i="9"/>
  <c r="H95" i="9"/>
  <c r="T29" i="9"/>
  <c r="B95" i="9"/>
  <c r="N62" i="9"/>
  <c r="Z62" i="9"/>
  <c r="B62" i="9"/>
  <c r="B29" i="9"/>
  <c r="BJ62" i="9"/>
  <c r="AL29" i="9"/>
  <c r="CB29" i="9"/>
  <c r="Z29" i="9"/>
  <c r="BD29" i="9"/>
  <c r="BJ95" i="9"/>
  <c r="H62" i="9"/>
  <c r="AR95" i="9"/>
  <c r="BL92" i="9"/>
  <c r="BA92" i="9"/>
  <c r="BN24" i="9"/>
  <c r="BX24" i="9"/>
  <c r="BY24" i="9" s="1"/>
  <c r="AH27" i="9"/>
  <c r="X27" i="9"/>
  <c r="BT57" i="9"/>
  <c r="CD57" i="9"/>
  <c r="CE57" i="9" s="1"/>
  <c r="BG58" i="9"/>
  <c r="BR58" i="9"/>
  <c r="N30" i="6"/>
  <c r="G30" i="6"/>
  <c r="J30" i="6"/>
  <c r="D30" i="6"/>
  <c r="M30" i="6"/>
  <c r="E30" i="6"/>
  <c r="F30" i="6"/>
  <c r="B30" i="7"/>
  <c r="O30" i="6"/>
  <c r="C30" i="6"/>
  <c r="C30" i="7" s="1"/>
  <c r="C68" i="7" s="1"/>
  <c r="I30" i="6"/>
  <c r="B68" i="7"/>
  <c r="K30" i="6"/>
  <c r="L30" i="6"/>
  <c r="H30" i="6"/>
  <c r="BL25" i="9"/>
  <c r="BA25" i="9"/>
  <c r="P28" i="9"/>
  <c r="E28" i="9"/>
  <c r="AI93" i="9"/>
  <c r="AT93" i="9"/>
  <c r="BL26" i="9"/>
  <c r="BA26" i="9"/>
  <c r="AP58" i="9"/>
  <c r="AZ58" i="9"/>
  <c r="BG91" i="9"/>
  <c r="BR91" i="9"/>
  <c r="AN27" i="9"/>
  <c r="AC27" i="9"/>
  <c r="P61" i="9"/>
  <c r="E61" i="9"/>
  <c r="BF59" i="9"/>
  <c r="AV59" i="9"/>
  <c r="AN93" i="9"/>
  <c r="AC93" i="9"/>
  <c r="BR25" i="9"/>
  <c r="BG25" i="9"/>
  <c r="AI60" i="9"/>
  <c r="AT60" i="9"/>
  <c r="BL59" i="9"/>
  <c r="BA59" i="9"/>
  <c r="BT90" i="9"/>
  <c r="CD90" i="9"/>
  <c r="CE90" i="9" s="1"/>
  <c r="BA91" i="9"/>
  <c r="BL91" i="9"/>
  <c r="BL90" i="9"/>
  <c r="BA90" i="9"/>
  <c r="G29" i="7"/>
  <c r="G67" i="7" s="1"/>
  <c r="J62" i="9" s="1"/>
  <c r="I29" i="7"/>
  <c r="I67" i="7" s="1"/>
  <c r="J95" i="9" s="1"/>
  <c r="AV92" i="9"/>
  <c r="BF92" i="9"/>
  <c r="CD56" i="9"/>
  <c r="CE56" i="9" s="1"/>
  <c r="BT56" i="9"/>
  <c r="AH94" i="9"/>
  <c r="X94" i="9"/>
  <c r="X28" i="9"/>
  <c r="AH28" i="9"/>
  <c r="B30" i="56"/>
  <c r="H29" i="56"/>
  <c r="H30" i="57"/>
  <c r="B31" i="57"/>
  <c r="H33" i="60"/>
  <c r="B34" i="60"/>
  <c r="F30" i="7" l="1"/>
  <c r="F68" i="7" s="1"/>
  <c r="D63" i="9" s="1"/>
  <c r="AH61" i="9"/>
  <c r="R94" i="9"/>
  <c r="E29" i="9"/>
  <c r="K29" i="9"/>
  <c r="E95" i="9"/>
  <c r="H30" i="7"/>
  <c r="H68" i="7" s="1"/>
  <c r="D96" i="9" s="1"/>
  <c r="E96" i="9" s="1"/>
  <c r="BN57" i="9"/>
  <c r="BX57" i="9"/>
  <c r="BY57" i="9" s="1"/>
  <c r="C16" i="38"/>
  <c r="I16" i="38" s="1"/>
  <c r="J16" i="39" s="1"/>
  <c r="E30" i="7"/>
  <c r="E68" i="7" s="1"/>
  <c r="J30" i="9" s="1"/>
  <c r="V30" i="9" s="1"/>
  <c r="C25" i="38"/>
  <c r="K62" i="9"/>
  <c r="V62" i="9"/>
  <c r="BN90" i="9"/>
  <c r="BX90" i="9"/>
  <c r="BY90" i="9" s="1"/>
  <c r="BX59" i="9"/>
  <c r="BM59" i="9"/>
  <c r="AZ93" i="9"/>
  <c r="AO93" i="9"/>
  <c r="AB61" i="9"/>
  <c r="R61" i="9"/>
  <c r="BM26" i="9"/>
  <c r="BX26" i="9"/>
  <c r="R95" i="9"/>
  <c r="AB95" i="9"/>
  <c r="R28" i="9"/>
  <c r="AB28" i="9"/>
  <c r="CD24" i="9"/>
  <c r="CE24" i="9" s="1"/>
  <c r="BT24" i="9"/>
  <c r="BR92" i="9"/>
  <c r="BG92" i="9"/>
  <c r="X29" i="9"/>
  <c r="AH29" i="9"/>
  <c r="BX91" i="9"/>
  <c r="BY91" i="9" s="1"/>
  <c r="BM91" i="9"/>
  <c r="AI61" i="9"/>
  <c r="AT61" i="9"/>
  <c r="BL58" i="9"/>
  <c r="BA58" i="9"/>
  <c r="R29" i="9"/>
  <c r="AB29" i="9"/>
  <c r="AU93" i="9"/>
  <c r="BF93" i="9"/>
  <c r="I30" i="7"/>
  <c r="I68" i="7" s="1"/>
  <c r="J96" i="9" s="1"/>
  <c r="BR26" i="9"/>
  <c r="BG26" i="9"/>
  <c r="B32" i="6"/>
  <c r="AD814" i="4"/>
  <c r="AC842" i="4" s="1"/>
  <c r="B33" i="3"/>
  <c r="AT94" i="9"/>
  <c r="AI94" i="9"/>
  <c r="AC94" i="9"/>
  <c r="AN94" i="9"/>
  <c r="CD25" i="9"/>
  <c r="CE25" i="9" s="1"/>
  <c r="BS25" i="9"/>
  <c r="BR59" i="9"/>
  <c r="BG59" i="9"/>
  <c r="AZ27" i="9"/>
  <c r="AO27" i="9"/>
  <c r="BM25" i="9"/>
  <c r="BX25" i="9"/>
  <c r="BY25" i="9" s="1"/>
  <c r="AF30" i="9"/>
  <c r="AL96" i="9"/>
  <c r="AR96" i="9"/>
  <c r="H63" i="9"/>
  <c r="AL63" i="9"/>
  <c r="BD30" i="9"/>
  <c r="AF63" i="9"/>
  <c r="B63" i="9"/>
  <c r="T96" i="9"/>
  <c r="H96" i="9"/>
  <c r="BP63" i="9"/>
  <c r="Z30" i="9"/>
  <c r="BJ30" i="9"/>
  <c r="CB63" i="9"/>
  <c r="T30" i="9"/>
  <c r="AF96" i="9"/>
  <c r="AR30" i="9"/>
  <c r="T63" i="9"/>
  <c r="AR63" i="9"/>
  <c r="BV96" i="9"/>
  <c r="BP30" i="9"/>
  <c r="BJ63" i="9"/>
  <c r="N63" i="9"/>
  <c r="BV30" i="9"/>
  <c r="CB96" i="9"/>
  <c r="BD63" i="9"/>
  <c r="AX30" i="9"/>
  <c r="AX63" i="9" s="1"/>
  <c r="AX96" i="9" s="1"/>
  <c r="Z96" i="9"/>
  <c r="BD96" i="9"/>
  <c r="B96" i="9"/>
  <c r="B30" i="9"/>
  <c r="AL30" i="9"/>
  <c r="H30" i="9"/>
  <c r="N96" i="9"/>
  <c r="CB30" i="9"/>
  <c r="N30" i="9"/>
  <c r="Z63" i="9"/>
  <c r="BJ96" i="9"/>
  <c r="D30" i="7"/>
  <c r="D68" i="7" s="1"/>
  <c r="D30" i="9" s="1"/>
  <c r="CD58" i="9"/>
  <c r="CE58" i="9" s="1"/>
  <c r="BS58" i="9"/>
  <c r="P62" i="9"/>
  <c r="E62" i="9"/>
  <c r="AI28" i="9"/>
  <c r="AT28" i="9"/>
  <c r="K95" i="9"/>
  <c r="V95" i="9"/>
  <c r="BF60" i="9"/>
  <c r="AU60" i="9"/>
  <c r="BS91" i="9"/>
  <c r="CD91" i="9"/>
  <c r="CE91" i="9" s="1"/>
  <c r="P63" i="9"/>
  <c r="E63" i="9"/>
  <c r="G30" i="7"/>
  <c r="G68" i="7" s="1"/>
  <c r="J63" i="9" s="1"/>
  <c r="AT27" i="9"/>
  <c r="AI27" i="9"/>
  <c r="BX92" i="9"/>
  <c r="BM92" i="9"/>
  <c r="B31" i="7"/>
  <c r="M31" i="6"/>
  <c r="H31" i="6"/>
  <c r="J31" i="6"/>
  <c r="B69" i="7"/>
  <c r="C31" i="6"/>
  <c r="C31" i="7" s="1"/>
  <c r="C69" i="7" s="1"/>
  <c r="F31" i="6"/>
  <c r="E31" i="7" s="1"/>
  <c r="E69" i="7" s="1"/>
  <c r="J31" i="9" s="1"/>
  <c r="L31" i="6"/>
  <c r="D31" i="6"/>
  <c r="I31" i="6"/>
  <c r="N31" i="6"/>
  <c r="O31" i="6"/>
  <c r="G31" i="6"/>
  <c r="E31" i="6"/>
  <c r="K31" i="6"/>
  <c r="AZ60" i="9"/>
  <c r="AO60" i="9"/>
  <c r="H31" i="57"/>
  <c r="B32" i="57"/>
  <c r="H30" i="56"/>
  <c r="B31" i="56"/>
  <c r="H34" i="60"/>
  <c r="B35" i="60"/>
  <c r="K30" i="9" l="1"/>
  <c r="P96" i="9"/>
  <c r="Q96" i="9" s="1"/>
  <c r="G16" i="38"/>
  <c r="H16" i="39" s="1"/>
  <c r="D16" i="38"/>
  <c r="E16" i="39" s="1"/>
  <c r="D16" i="39"/>
  <c r="K16" i="38"/>
  <c r="L16" i="39" s="1"/>
  <c r="J16" i="38"/>
  <c r="K16" i="39" s="1"/>
  <c r="E16" i="38"/>
  <c r="F16" i="39" s="1"/>
  <c r="H16" i="38"/>
  <c r="I16" i="39" s="1"/>
  <c r="F16" i="38"/>
  <c r="G16" i="39" s="1"/>
  <c r="H31" i="7"/>
  <c r="H69" i="7" s="1"/>
  <c r="D97" i="9" s="1"/>
  <c r="P97" i="9" s="1"/>
  <c r="I31" i="7"/>
  <c r="I69" i="7" s="1"/>
  <c r="J97" i="9" s="1"/>
  <c r="V97" i="9" s="1"/>
  <c r="G25" i="38"/>
  <c r="H25" i="39" s="1"/>
  <c r="D25" i="39"/>
  <c r="F25" i="38"/>
  <c r="G25" i="39" s="1"/>
  <c r="D25" i="38"/>
  <c r="E25" i="39" s="1"/>
  <c r="K25" i="38"/>
  <c r="L25" i="39" s="1"/>
  <c r="E25" i="38"/>
  <c r="F25" i="39" s="1"/>
  <c r="I25" i="38"/>
  <c r="J25" i="39" s="1"/>
  <c r="J25" i="38"/>
  <c r="K25" i="39" s="1"/>
  <c r="H25" i="38"/>
  <c r="I25" i="39" s="1"/>
  <c r="BL60" i="9"/>
  <c r="BA60" i="9"/>
  <c r="G31" i="7"/>
  <c r="G69" i="7" s="1"/>
  <c r="J64" i="9" s="1"/>
  <c r="V63" i="9"/>
  <c r="K63" i="9"/>
  <c r="AB63" i="9"/>
  <c r="Q63" i="9"/>
  <c r="BR60" i="9"/>
  <c r="BG60" i="9"/>
  <c r="AO94" i="9"/>
  <c r="AZ94" i="9"/>
  <c r="B33" i="6"/>
  <c r="AD844" i="4"/>
  <c r="AC872" i="4" s="1"/>
  <c r="CD26" i="9"/>
  <c r="BS26" i="9"/>
  <c r="AN29" i="9"/>
  <c r="AC29" i="9"/>
  <c r="AU61" i="9"/>
  <c r="BF61" i="9"/>
  <c r="AI29" i="9"/>
  <c r="AT29" i="9"/>
  <c r="AN28" i="9"/>
  <c r="AC28" i="9"/>
  <c r="K31" i="9"/>
  <c r="V31" i="9"/>
  <c r="F31" i="7"/>
  <c r="AH95" i="9"/>
  <c r="X95" i="9"/>
  <c r="P30" i="9"/>
  <c r="E30" i="9"/>
  <c r="CD59" i="9"/>
  <c r="BS59" i="9"/>
  <c r="V96" i="9"/>
  <c r="K96" i="9"/>
  <c r="BL93" i="9"/>
  <c r="BA93" i="9"/>
  <c r="AH30" i="9"/>
  <c r="W30" i="9"/>
  <c r="AB62" i="9"/>
  <c r="R62" i="9"/>
  <c r="G32" i="6"/>
  <c r="I32" i="6"/>
  <c r="N32" i="6"/>
  <c r="C32" i="6"/>
  <c r="C32" i="7" s="1"/>
  <c r="O32" i="6"/>
  <c r="M32" i="6"/>
  <c r="D32" i="6"/>
  <c r="K32" i="6"/>
  <c r="B32" i="7"/>
  <c r="L32" i="6"/>
  <c r="F32" i="6"/>
  <c r="J32" i="6"/>
  <c r="G32" i="7" s="1"/>
  <c r="G70" i="7" s="1"/>
  <c r="J65" i="9" s="1"/>
  <c r="B70" i="7"/>
  <c r="H32" i="6"/>
  <c r="E32" i="6"/>
  <c r="BR93" i="9"/>
  <c r="BG93" i="9"/>
  <c r="AN95" i="9"/>
  <c r="AC95" i="9"/>
  <c r="AH62" i="9"/>
  <c r="X62" i="9"/>
  <c r="D31" i="7"/>
  <c r="H31" i="9"/>
  <c r="CB97" i="9"/>
  <c r="H97" i="9"/>
  <c r="T64" i="9"/>
  <c r="AR97" i="9"/>
  <c r="CB31" i="9"/>
  <c r="AL31" i="9"/>
  <c r="B97" i="9"/>
  <c r="CB64" i="9"/>
  <c r="BV97" i="9"/>
  <c r="T31" i="9"/>
  <c r="BD31" i="9"/>
  <c r="AX31" i="9"/>
  <c r="AX64" i="9" s="1"/>
  <c r="AX97" i="9" s="1"/>
  <c r="AR31" i="9"/>
  <c r="BD64" i="9"/>
  <c r="BJ97" i="9"/>
  <c r="AL64" i="9"/>
  <c r="BJ64" i="9"/>
  <c r="AF64" i="9"/>
  <c r="AF97" i="9"/>
  <c r="AL97" i="9"/>
  <c r="N64" i="9"/>
  <c r="H64" i="9"/>
  <c r="AF31" i="9"/>
  <c r="B31" i="9"/>
  <c r="AR64" i="9"/>
  <c r="BV31" i="9"/>
  <c r="B64" i="9"/>
  <c r="BD97" i="9"/>
  <c r="BP31" i="9"/>
  <c r="Z97" i="9"/>
  <c r="N31" i="9"/>
  <c r="BJ31" i="9"/>
  <c r="BP64" i="9"/>
  <c r="Z64" i="9"/>
  <c r="T97" i="9"/>
  <c r="N97" i="9"/>
  <c r="Z31" i="9"/>
  <c r="BF27" i="9"/>
  <c r="AU27" i="9"/>
  <c r="AU28" i="9"/>
  <c r="BF28" i="9"/>
  <c r="BA27" i="9"/>
  <c r="BL27" i="9"/>
  <c r="BF94" i="9"/>
  <c r="AU94" i="9"/>
  <c r="BM58" i="9"/>
  <c r="BX58" i="9"/>
  <c r="BY58" i="9" s="1"/>
  <c r="CD92" i="9"/>
  <c r="BS92" i="9"/>
  <c r="AC61" i="9"/>
  <c r="AN61" i="9"/>
  <c r="H35" i="60"/>
  <c r="B36" i="60"/>
  <c r="B33" i="57"/>
  <c r="H32" i="57"/>
  <c r="H31" i="56"/>
  <c r="B32" i="56"/>
  <c r="E32" i="7" l="1"/>
  <c r="E70" i="7" s="1"/>
  <c r="J32" i="9" s="1"/>
  <c r="F32" i="7"/>
  <c r="F70" i="7" s="1"/>
  <c r="D65" i="9" s="1"/>
  <c r="AB96" i="9"/>
  <c r="AN96" i="9" s="1"/>
  <c r="K97" i="9"/>
  <c r="H32" i="7"/>
  <c r="H70" i="7" s="1"/>
  <c r="D98" i="9" s="1"/>
  <c r="E98" i="9" s="1"/>
  <c r="E97" i="9"/>
  <c r="AO61" i="9"/>
  <c r="AZ61" i="9"/>
  <c r="BX27" i="9"/>
  <c r="BZ27" i="9" s="1"/>
  <c r="BM27" i="9"/>
  <c r="D69" i="7"/>
  <c r="AZ95" i="9"/>
  <c r="AO95" i="9"/>
  <c r="CD93" i="9"/>
  <c r="CF93" i="9" s="1"/>
  <c r="BS93" i="9"/>
  <c r="V65" i="9"/>
  <c r="K65" i="9"/>
  <c r="C70" i="7"/>
  <c r="AO28" i="9"/>
  <c r="AZ28" i="9"/>
  <c r="AC63" i="9"/>
  <c r="AN63" i="9"/>
  <c r="AC96" i="9"/>
  <c r="K32" i="9"/>
  <c r="V32" i="9"/>
  <c r="D32" i="7"/>
  <c r="D70" i="7" s="1"/>
  <c r="D32" i="9" s="1"/>
  <c r="I32" i="7"/>
  <c r="AC62" i="9"/>
  <c r="AN62" i="9"/>
  <c r="BX93" i="9"/>
  <c r="BZ93" i="9" s="1"/>
  <c r="BM93" i="9"/>
  <c r="AT95" i="9"/>
  <c r="AI95" i="9"/>
  <c r="AU29" i="9"/>
  <c r="BF29" i="9"/>
  <c r="AB97" i="9"/>
  <c r="Q97" i="9"/>
  <c r="BG27" i="9"/>
  <c r="BR27" i="9"/>
  <c r="BR28" i="9"/>
  <c r="BG28" i="9"/>
  <c r="AT62" i="9"/>
  <c r="AI62" i="9"/>
  <c r="P65" i="9"/>
  <c r="E65" i="9"/>
  <c r="F69" i="7"/>
  <c r="W97" i="9"/>
  <c r="AH97" i="9"/>
  <c r="AZ29" i="9"/>
  <c r="AO29" i="9"/>
  <c r="B33" i="7"/>
  <c r="I33" i="6"/>
  <c r="F33" i="6"/>
  <c r="H33" i="6"/>
  <c r="B71" i="7"/>
  <c r="J33" i="6"/>
  <c r="K33" i="6"/>
  <c r="G33" i="6"/>
  <c r="C33" i="6"/>
  <c r="C33" i="7" s="1"/>
  <c r="C71" i="7" s="1"/>
  <c r="C72" i="7" s="1"/>
  <c r="CL5" i="9" s="1"/>
  <c r="E33" i="6"/>
  <c r="N33" i="6"/>
  <c r="O33" i="6"/>
  <c r="L33" i="6"/>
  <c r="M33" i="6"/>
  <c r="D33" i="6"/>
  <c r="BS60" i="9"/>
  <c r="CD60" i="9"/>
  <c r="CF60" i="9" s="1"/>
  <c r="AH63" i="9"/>
  <c r="W63" i="9"/>
  <c r="BR94" i="9"/>
  <c r="BG94" i="9"/>
  <c r="T65" i="9"/>
  <c r="BD65" i="9"/>
  <c r="AR32" i="9"/>
  <c r="AF98" i="9"/>
  <c r="CB32" i="9"/>
  <c r="H32" i="9"/>
  <c r="AX32" i="9"/>
  <c r="AX65" i="9" s="1"/>
  <c r="AX98" i="9" s="1"/>
  <c r="H65" i="9"/>
  <c r="AF65" i="9"/>
  <c r="BJ32" i="9"/>
  <c r="T32" i="9"/>
  <c r="Z32" i="9"/>
  <c r="N98" i="9"/>
  <c r="CB98" i="9"/>
  <c r="AL32" i="9"/>
  <c r="N32" i="9"/>
  <c r="BJ98" i="9"/>
  <c r="BJ65" i="9"/>
  <c r="B98" i="9"/>
  <c r="Z98" i="9"/>
  <c r="B32" i="9"/>
  <c r="BP32" i="9"/>
  <c r="BD98" i="9"/>
  <c r="AL65" i="9"/>
  <c r="AL98" i="9"/>
  <c r="BV98" i="9"/>
  <c r="AF32" i="9"/>
  <c r="AR98" i="9"/>
  <c r="H98" i="9"/>
  <c r="CB65" i="9"/>
  <c r="BP65" i="9"/>
  <c r="Z65" i="9"/>
  <c r="T98" i="9"/>
  <c r="AR65" i="9"/>
  <c r="N65" i="9"/>
  <c r="BV32" i="9"/>
  <c r="B65" i="9"/>
  <c r="BD32" i="9"/>
  <c r="AT30" i="9"/>
  <c r="AI30" i="9"/>
  <c r="AH96" i="9"/>
  <c r="W96" i="9"/>
  <c r="AB30" i="9"/>
  <c r="Q30" i="9"/>
  <c r="AH31" i="9"/>
  <c r="W31" i="9"/>
  <c r="BR61" i="9"/>
  <c r="BG61" i="9"/>
  <c r="BA94" i="9"/>
  <c r="BL94" i="9"/>
  <c r="V64" i="9"/>
  <c r="K64" i="9"/>
  <c r="BX60" i="9"/>
  <c r="BZ60" i="9" s="1"/>
  <c r="BM60" i="9"/>
  <c r="B33" i="56"/>
  <c r="H32" i="56"/>
  <c r="B34" i="57"/>
  <c r="H33" i="57"/>
  <c r="H36" i="60"/>
  <c r="B37" i="60"/>
  <c r="F33" i="7" l="1"/>
  <c r="F71" i="7" s="1"/>
  <c r="D66" i="9" s="1"/>
  <c r="E66" i="9" s="1"/>
  <c r="D33" i="7"/>
  <c r="D71" i="7" s="1"/>
  <c r="D33" i="9" s="1"/>
  <c r="P33" i="9" s="1"/>
  <c r="Q33" i="9" s="1"/>
  <c r="P98" i="9"/>
  <c r="Q98" i="9" s="1"/>
  <c r="I33" i="7"/>
  <c r="I71" i="7" s="1"/>
  <c r="J99" i="9" s="1"/>
  <c r="K99" i="9" s="1"/>
  <c r="AT31" i="9"/>
  <c r="AI31" i="9"/>
  <c r="AI96" i="9"/>
  <c r="AT96" i="9"/>
  <c r="AT63" i="9"/>
  <c r="AI63" i="9"/>
  <c r="G33" i="7"/>
  <c r="AI97" i="9"/>
  <c r="AT97" i="9"/>
  <c r="BS27" i="9"/>
  <c r="CD27" i="9"/>
  <c r="CF27" i="9" s="1"/>
  <c r="BH29" i="9"/>
  <c r="BR29" i="9"/>
  <c r="I70" i="7"/>
  <c r="AZ96" i="9"/>
  <c r="AO96" i="9"/>
  <c r="BA28" i="9"/>
  <c r="BL28" i="9"/>
  <c r="H33" i="7"/>
  <c r="CN5" i="9"/>
  <c r="D6" i="35"/>
  <c r="F6" i="35" s="1"/>
  <c r="C8" i="38" s="1"/>
  <c r="N99" i="9"/>
  <c r="BP66" i="9"/>
  <c r="AF66" i="9"/>
  <c r="BD99" i="9"/>
  <c r="AX33" i="9"/>
  <c r="AX66" i="9" s="1"/>
  <c r="AX99" i="9" s="1"/>
  <c r="AL99" i="9"/>
  <c r="Z33" i="9"/>
  <c r="BJ66" i="9"/>
  <c r="H99" i="9"/>
  <c r="B33" i="9"/>
  <c r="BJ33" i="9"/>
  <c r="T99" i="9"/>
  <c r="CB99" i="9"/>
  <c r="CB33" i="9"/>
  <c r="AL33" i="9"/>
  <c r="AF33" i="9"/>
  <c r="N33" i="9"/>
  <c r="H66" i="9"/>
  <c r="BJ99" i="9"/>
  <c r="T66" i="9"/>
  <c r="AF99" i="9"/>
  <c r="BP33" i="9"/>
  <c r="H33" i="9"/>
  <c r="BV99" i="9"/>
  <c r="T33" i="9"/>
  <c r="Z66" i="9"/>
  <c r="N66" i="9"/>
  <c r="B99" i="9"/>
  <c r="B66" i="9"/>
  <c r="AR66" i="9"/>
  <c r="BD66" i="9"/>
  <c r="BV33" i="9"/>
  <c r="BD33" i="9"/>
  <c r="AR99" i="9"/>
  <c r="CB66" i="9"/>
  <c r="AL66" i="9"/>
  <c r="AR33" i="9"/>
  <c r="Z99" i="9"/>
  <c r="BF62" i="9"/>
  <c r="AU62" i="9"/>
  <c r="E32" i="9"/>
  <c r="P32" i="9"/>
  <c r="W65" i="9"/>
  <c r="AH65" i="9"/>
  <c r="BL95" i="9"/>
  <c r="BB95" i="9"/>
  <c r="AH64" i="9"/>
  <c r="W64" i="9"/>
  <c r="BS61" i="9"/>
  <c r="CD61" i="9"/>
  <c r="CF61" i="9" s="1"/>
  <c r="AN30" i="9"/>
  <c r="AC30" i="9"/>
  <c r="BF30" i="9"/>
  <c r="AU30" i="9"/>
  <c r="CD94" i="9"/>
  <c r="CF94" i="9" s="1"/>
  <c r="BS94" i="9"/>
  <c r="AZ62" i="9"/>
  <c r="AO62" i="9"/>
  <c r="W32" i="9"/>
  <c r="AH32" i="9"/>
  <c r="AO63" i="9"/>
  <c r="AZ63" i="9"/>
  <c r="C34" i="7"/>
  <c r="BL61" i="9"/>
  <c r="BA61" i="9"/>
  <c r="BM94" i="9"/>
  <c r="BX94" i="9"/>
  <c r="BZ94" i="9" s="1"/>
  <c r="E33" i="7"/>
  <c r="BL29" i="9"/>
  <c r="BB29" i="9"/>
  <c r="D64" i="9"/>
  <c r="F74" i="7"/>
  <c r="AB65" i="9"/>
  <c r="Q65" i="9"/>
  <c r="BS28" i="9"/>
  <c r="CD28" i="9"/>
  <c r="CF28" i="9" s="1"/>
  <c r="AC97" i="9"/>
  <c r="AN97" i="9"/>
  <c r="AU95" i="9"/>
  <c r="BF95" i="9"/>
  <c r="D31" i="9"/>
  <c r="D74" i="7"/>
  <c r="AB33" i="9"/>
  <c r="AN33" i="9" s="1"/>
  <c r="B34" i="56"/>
  <c r="H33" i="56"/>
  <c r="H37" i="60"/>
  <c r="B38" i="60"/>
  <c r="V99" i="9"/>
  <c r="H34" i="57"/>
  <c r="B35" i="57"/>
  <c r="F72" i="7" l="1"/>
  <c r="CL18" i="9" s="1"/>
  <c r="CN19" i="9" s="1"/>
  <c r="F34" i="7"/>
  <c r="P66" i="9"/>
  <c r="AB98" i="9"/>
  <c r="AN98" i="9" s="1"/>
  <c r="D72" i="7"/>
  <c r="D34" i="7"/>
  <c r="E33" i="9"/>
  <c r="I34" i="7"/>
  <c r="P31" i="9"/>
  <c r="E31" i="9"/>
  <c r="AN65" i="9"/>
  <c r="AC65" i="9"/>
  <c r="AT65" i="9"/>
  <c r="AI65" i="9"/>
  <c r="I8" i="38"/>
  <c r="J8" i="39" s="1"/>
  <c r="D8" i="39"/>
  <c r="H8" i="38"/>
  <c r="I8" i="39" s="1"/>
  <c r="K8" i="38"/>
  <c r="L8" i="39" s="1"/>
  <c r="E8" i="38"/>
  <c r="F8" i="39" s="1"/>
  <c r="D8" i="38"/>
  <c r="E8" i="39" s="1"/>
  <c r="G8" i="38"/>
  <c r="H8" i="39" s="1"/>
  <c r="J8" i="38"/>
  <c r="K8" i="39" s="1"/>
  <c r="F8" i="38"/>
  <c r="G8" i="39" s="1"/>
  <c r="J98" i="9"/>
  <c r="I74" i="7"/>
  <c r="I72" i="7"/>
  <c r="AU96" i="9"/>
  <c r="BF96" i="9"/>
  <c r="BN29" i="9"/>
  <c r="BX29" i="9"/>
  <c r="BZ29" i="9" s="1"/>
  <c r="BB63" i="9"/>
  <c r="BL63" i="9"/>
  <c r="AZ30" i="9"/>
  <c r="AO30" i="9"/>
  <c r="AI64" i="9"/>
  <c r="AT64" i="9"/>
  <c r="BH62" i="9"/>
  <c r="BR62" i="9"/>
  <c r="CD29" i="9"/>
  <c r="CF29" i="9" s="1"/>
  <c r="BT29" i="9"/>
  <c r="G34" i="7"/>
  <c r="G71" i="7"/>
  <c r="BH95" i="9"/>
  <c r="BR95" i="9"/>
  <c r="CN18" i="9"/>
  <c r="D19" i="35"/>
  <c r="E34" i="7"/>
  <c r="E71" i="7"/>
  <c r="BX61" i="9"/>
  <c r="BZ61" i="9" s="1"/>
  <c r="BM61" i="9"/>
  <c r="BB62" i="9"/>
  <c r="BL62" i="9"/>
  <c r="AB32" i="9"/>
  <c r="Q32" i="9"/>
  <c r="H34" i="7"/>
  <c r="H71" i="7"/>
  <c r="BL96" i="9"/>
  <c r="BB96" i="9"/>
  <c r="AC98" i="9"/>
  <c r="AZ97" i="9"/>
  <c r="AO97" i="9"/>
  <c r="E64" i="9"/>
  <c r="P64" i="9"/>
  <c r="AI32" i="9"/>
  <c r="AT32" i="9"/>
  <c r="BH30" i="9"/>
  <c r="BR30" i="9"/>
  <c r="BN95" i="9"/>
  <c r="BX95" i="9"/>
  <c r="BZ95" i="9" s="1"/>
  <c r="BM28" i="9"/>
  <c r="BX28" i="9"/>
  <c r="BZ28" i="9" s="1"/>
  <c r="BF97" i="9"/>
  <c r="AU97" i="9"/>
  <c r="AU63" i="9"/>
  <c r="BF63" i="9"/>
  <c r="AU31" i="9"/>
  <c r="BF31" i="9"/>
  <c r="H38" i="60"/>
  <c r="B39" i="60"/>
  <c r="W99" i="9"/>
  <c r="AH99" i="9"/>
  <c r="AT99" i="9" s="1"/>
  <c r="H34" i="56"/>
  <c r="B35" i="56"/>
  <c r="AZ33" i="9"/>
  <c r="AP33" i="9"/>
  <c r="H35" i="57"/>
  <c r="B36" i="57"/>
  <c r="Q66" i="9" l="1"/>
  <c r="AB66" i="9"/>
  <c r="AN66" i="9" s="1"/>
  <c r="BH63" i="9"/>
  <c r="BR63" i="9"/>
  <c r="CD30" i="9"/>
  <c r="CE30" i="9" s="1"/>
  <c r="BT30" i="9"/>
  <c r="H74" i="7"/>
  <c r="H72" i="7"/>
  <c r="D99" i="9"/>
  <c r="E74" i="7"/>
  <c r="J33" i="9"/>
  <c r="E72" i="7"/>
  <c r="CD95" i="9"/>
  <c r="CF95" i="9" s="1"/>
  <c r="BT95" i="9"/>
  <c r="BF64" i="9"/>
  <c r="AU64" i="9"/>
  <c r="BX63" i="9"/>
  <c r="BY63" i="9" s="1"/>
  <c r="BN63" i="9"/>
  <c r="BR96" i="9"/>
  <c r="BH96" i="9"/>
  <c r="K98" i="9"/>
  <c r="V98" i="9"/>
  <c r="AP65" i="9"/>
  <c r="AZ65" i="9"/>
  <c r="BR31" i="9"/>
  <c r="BH31" i="9"/>
  <c r="BF32" i="9"/>
  <c r="AV32" i="9"/>
  <c r="F20" i="35"/>
  <c r="F19" i="35"/>
  <c r="BR97" i="9"/>
  <c r="BH97" i="9"/>
  <c r="BL97" i="9"/>
  <c r="BB97" i="9"/>
  <c r="BX96" i="9"/>
  <c r="BY96" i="9" s="1"/>
  <c r="BN96" i="9"/>
  <c r="AC32" i="9"/>
  <c r="AN32" i="9"/>
  <c r="G72" i="7"/>
  <c r="CM18" i="9" s="1"/>
  <c r="G74" i="7"/>
  <c r="J66" i="9"/>
  <c r="CD62" i="9"/>
  <c r="CF62" i="9" s="1"/>
  <c r="BT62" i="9"/>
  <c r="Q64" i="9"/>
  <c r="AB64" i="9"/>
  <c r="AZ98" i="9"/>
  <c r="AP98" i="9"/>
  <c r="BX62" i="9"/>
  <c r="BZ62" i="9" s="1"/>
  <c r="BN62" i="9"/>
  <c r="BB30" i="9"/>
  <c r="BL30" i="9"/>
  <c r="BF65" i="9"/>
  <c r="AV65" i="9"/>
  <c r="AB31" i="9"/>
  <c r="Q31" i="9"/>
  <c r="B37" i="57"/>
  <c r="H36" i="57"/>
  <c r="H35" i="56"/>
  <c r="B36" i="56"/>
  <c r="H39" i="60"/>
  <c r="B40" i="60"/>
  <c r="BL33" i="9"/>
  <c r="BB33" i="9"/>
  <c r="BF99" i="9"/>
  <c r="AV99" i="9"/>
  <c r="AP66" i="9" l="1"/>
  <c r="AZ66" i="9"/>
  <c r="C12" i="38"/>
  <c r="AC31" i="9"/>
  <c r="AN31" i="9"/>
  <c r="BL98" i="9"/>
  <c r="BB98" i="9"/>
  <c r="AZ32" i="9"/>
  <c r="AP32" i="9"/>
  <c r="AH98" i="9"/>
  <c r="W98" i="9"/>
  <c r="AN64" i="9"/>
  <c r="AC64" i="9"/>
  <c r="K66" i="9"/>
  <c r="V66" i="9"/>
  <c r="BX97" i="9"/>
  <c r="BY97" i="9" s="1"/>
  <c r="BN97" i="9"/>
  <c r="CD31" i="9"/>
  <c r="CE31" i="9" s="1"/>
  <c r="BT31" i="9"/>
  <c r="E99" i="9"/>
  <c r="P99" i="9"/>
  <c r="BH65" i="9"/>
  <c r="BR65" i="9"/>
  <c r="BB65" i="9"/>
  <c r="BL65" i="9"/>
  <c r="BT63" i="9"/>
  <c r="CD63" i="9"/>
  <c r="CE63" i="9" s="1"/>
  <c r="BX30" i="9"/>
  <c r="BY30" i="9" s="1"/>
  <c r="BN30" i="9"/>
  <c r="CO18" i="9"/>
  <c r="CO19" i="9"/>
  <c r="E19" i="35"/>
  <c r="CD97" i="9"/>
  <c r="CE97" i="9" s="1"/>
  <c r="BT97" i="9"/>
  <c r="BH32" i="9"/>
  <c r="BR32" i="9"/>
  <c r="CD96" i="9"/>
  <c r="CE96" i="9" s="1"/>
  <c r="BT96" i="9"/>
  <c r="BH64" i="9"/>
  <c r="BR64" i="9"/>
  <c r="V33" i="9"/>
  <c r="K33" i="9"/>
  <c r="H40" i="60"/>
  <c r="B41" i="60"/>
  <c r="B37" i="56"/>
  <c r="H36" i="56"/>
  <c r="B38" i="57"/>
  <c r="H37" i="57"/>
  <c r="BR99" i="9"/>
  <c r="BH99" i="9"/>
  <c r="BM33" i="9"/>
  <c r="BX33" i="9"/>
  <c r="BB66" i="9" l="1"/>
  <c r="BL66" i="9"/>
  <c r="G12" i="38"/>
  <c r="D12" i="39"/>
  <c r="E12" i="38"/>
  <c r="H12" i="38"/>
  <c r="K12" i="38"/>
  <c r="J12" i="38"/>
  <c r="I12" i="38"/>
  <c r="F12" i="38"/>
  <c r="D12" i="38"/>
  <c r="BS65" i="9"/>
  <c r="CD65" i="9"/>
  <c r="CE65" i="9" s="1"/>
  <c r="W66" i="9"/>
  <c r="AH66" i="9"/>
  <c r="AT66" i="9" s="1"/>
  <c r="AT98" i="9"/>
  <c r="AI98" i="9"/>
  <c r="BX98" i="9"/>
  <c r="BY98" i="9" s="1"/>
  <c r="BM98" i="9"/>
  <c r="AH33" i="9"/>
  <c r="AT33" i="9" s="1"/>
  <c r="W33" i="9"/>
  <c r="BX65" i="9"/>
  <c r="BY65" i="9" s="1"/>
  <c r="BM65" i="9"/>
  <c r="AB99" i="9"/>
  <c r="AN99" i="9" s="1"/>
  <c r="Q99" i="9"/>
  <c r="AZ31" i="9"/>
  <c r="AO31" i="9"/>
  <c r="CD64" i="9"/>
  <c r="CE64" i="9" s="1"/>
  <c r="BT64" i="9"/>
  <c r="BS32" i="9"/>
  <c r="CD32" i="9"/>
  <c r="CE32" i="9" s="1"/>
  <c r="G19" i="35"/>
  <c r="G20" i="35"/>
  <c r="AO64" i="9"/>
  <c r="AZ64" i="9"/>
  <c r="BB32" i="9"/>
  <c r="BL32" i="9"/>
  <c r="H41" i="60"/>
  <c r="B42" i="60"/>
  <c r="H38" i="57"/>
  <c r="B39" i="57"/>
  <c r="B38" i="56"/>
  <c r="H37" i="56"/>
  <c r="CD99" i="9"/>
  <c r="BS99" i="9"/>
  <c r="BM66" i="9" l="1"/>
  <c r="BX66" i="9"/>
  <c r="G12" i="39"/>
  <c r="G27" i="39" s="1"/>
  <c r="F26" i="38"/>
  <c r="I12" i="39"/>
  <c r="I27" i="39" s="1"/>
  <c r="H26" i="38"/>
  <c r="J12" i="39"/>
  <c r="J27" i="39" s="1"/>
  <c r="I26" i="38"/>
  <c r="F12" i="39"/>
  <c r="F27" i="39" s="1"/>
  <c r="E26" i="38"/>
  <c r="C21" i="38"/>
  <c r="D21" i="39" s="1"/>
  <c r="K12" i="39"/>
  <c r="K27" i="39" s="1"/>
  <c r="J26" i="38"/>
  <c r="D26" i="38"/>
  <c r="E12" i="39"/>
  <c r="E27" i="39" s="1"/>
  <c r="K26" i="38"/>
  <c r="L12" i="39"/>
  <c r="L27" i="39" s="1"/>
  <c r="G26" i="38"/>
  <c r="H12" i="39"/>
  <c r="H27" i="39" s="1"/>
  <c r="BB64" i="9"/>
  <c r="BL64" i="9"/>
  <c r="BF66" i="9"/>
  <c r="AV66" i="9"/>
  <c r="BB31" i="9"/>
  <c r="BL31" i="9"/>
  <c r="BM32" i="9"/>
  <c r="BX32" i="9"/>
  <c r="BY32" i="9" s="1"/>
  <c r="AP99" i="9"/>
  <c r="AZ99" i="9"/>
  <c r="BF33" i="9"/>
  <c r="AV33" i="9"/>
  <c r="AV98" i="9"/>
  <c r="BF98" i="9"/>
  <c r="H38" i="56"/>
  <c r="B39" i="56"/>
  <c r="H42" i="60"/>
  <c r="B43" i="60"/>
  <c r="H39" i="57"/>
  <c r="B40" i="57"/>
  <c r="K21" i="38" l="1"/>
  <c r="L21" i="39" s="1"/>
  <c r="L28" i="39" s="1"/>
  <c r="H21" i="38"/>
  <c r="H27" i="38" s="1"/>
  <c r="I21" i="38"/>
  <c r="J21" i="39" s="1"/>
  <c r="J28" i="39" s="1"/>
  <c r="D21" i="38"/>
  <c r="E21" i="38"/>
  <c r="E27" i="38" s="1"/>
  <c r="G21" i="38"/>
  <c r="H21" i="39" s="1"/>
  <c r="H28" i="39" s="1"/>
  <c r="G5" i="52"/>
  <c r="I4" i="49" s="1"/>
  <c r="G5" i="53"/>
  <c r="D5" i="53"/>
  <c r="D5" i="52"/>
  <c r="F4" i="49" s="1"/>
  <c r="E5" i="52"/>
  <c r="G4" i="49" s="1"/>
  <c r="E5" i="53"/>
  <c r="H5" i="52"/>
  <c r="J4" i="49" s="1"/>
  <c r="H5" i="53"/>
  <c r="J5" i="53"/>
  <c r="J5" i="52"/>
  <c r="L4" i="49" s="1"/>
  <c r="F21" i="38"/>
  <c r="G21" i="39" s="1"/>
  <c r="G28" i="39" s="1"/>
  <c r="J21" i="38"/>
  <c r="J27" i="38" s="1"/>
  <c r="K5" i="53"/>
  <c r="K5" i="52"/>
  <c r="M4" i="49" s="1"/>
  <c r="I5" i="52"/>
  <c r="K4" i="49" s="1"/>
  <c r="I5" i="53"/>
  <c r="F5" i="53"/>
  <c r="F5" i="52"/>
  <c r="H4" i="49" s="1"/>
  <c r="BH33" i="9"/>
  <c r="BR33" i="9"/>
  <c r="K27" i="38"/>
  <c r="I21" i="39"/>
  <c r="I28" i="39" s="1"/>
  <c r="BR98" i="9"/>
  <c r="BH98" i="9"/>
  <c r="BL99" i="9"/>
  <c r="BB99" i="9"/>
  <c r="BH66" i="9"/>
  <c r="BR66" i="9"/>
  <c r="E21" i="39"/>
  <c r="E28" i="39" s="1"/>
  <c r="D27" i="38"/>
  <c r="BX31" i="9"/>
  <c r="BY31" i="9" s="1"/>
  <c r="BN31" i="9"/>
  <c r="BX64" i="9"/>
  <c r="BY64" i="9" s="1"/>
  <c r="BN64" i="9"/>
  <c r="K21" i="39"/>
  <c r="K28" i="39" s="1"/>
  <c r="H39" i="56"/>
  <c r="B40" i="56"/>
  <c r="H43" i="60"/>
  <c r="B44" i="60"/>
  <c r="B41" i="57"/>
  <c r="H40" i="57"/>
  <c r="G27" i="38" l="1"/>
  <c r="F27" i="38"/>
  <c r="F6" i="52" s="1"/>
  <c r="I27" i="38"/>
  <c r="I6" i="52" s="1"/>
  <c r="F21" i="39"/>
  <c r="F28" i="39" s="1"/>
  <c r="D6" i="53"/>
  <c r="D6" i="52"/>
  <c r="CD66" i="9"/>
  <c r="BS66" i="9"/>
  <c r="E6" i="52"/>
  <c r="E6" i="53"/>
  <c r="J6" i="53"/>
  <c r="J6" i="52"/>
  <c r="CD98" i="9"/>
  <c r="CE98" i="9" s="1"/>
  <c r="BS98" i="9"/>
  <c r="K6" i="53"/>
  <c r="K6" i="52"/>
  <c r="G6" i="52"/>
  <c r="G6" i="53"/>
  <c r="CD33" i="9"/>
  <c r="BS33" i="9"/>
  <c r="I6" i="53"/>
  <c r="BX99" i="9"/>
  <c r="BM99" i="9"/>
  <c r="H6" i="52"/>
  <c r="H6" i="53"/>
  <c r="H44" i="60"/>
  <c r="B45" i="60"/>
  <c r="B41" i="56"/>
  <c r="H40" i="56"/>
  <c r="B42" i="57"/>
  <c r="H41" i="57"/>
  <c r="F6" i="53" l="1"/>
  <c r="K3" i="49"/>
  <c r="I7" i="52"/>
  <c r="M3" i="49"/>
  <c r="K7" i="52"/>
  <c r="L3" i="49"/>
  <c r="J7" i="52"/>
  <c r="J21" i="52" s="1"/>
  <c r="J3" i="49"/>
  <c r="H7" i="52"/>
  <c r="F3" i="49"/>
  <c r="D7" i="52"/>
  <c r="H3" i="49"/>
  <c r="F7" i="52"/>
  <c r="G7" i="52"/>
  <c r="I3" i="49"/>
  <c r="G3" i="49"/>
  <c r="E7" i="52"/>
  <c r="E21" i="52" s="1"/>
  <c r="H42" i="57"/>
  <c r="B43" i="57"/>
  <c r="B42" i="56"/>
  <c r="H41" i="56"/>
  <c r="H45" i="60"/>
  <c r="B46" i="60"/>
  <c r="F7" i="53" l="1"/>
  <c r="H7" i="53"/>
  <c r="G7" i="53"/>
  <c r="K7" i="53"/>
  <c r="E7" i="53"/>
  <c r="M6" i="49"/>
  <c r="M7" i="49" s="1"/>
  <c r="M8" i="49" s="1"/>
  <c r="K16" i="52" s="1"/>
  <c r="K18" i="53" s="1"/>
  <c r="M5" i="49"/>
  <c r="G5" i="49"/>
  <c r="G6" i="49"/>
  <c r="G7" i="49" s="1"/>
  <c r="G8" i="49" s="1"/>
  <c r="E16" i="52" s="1"/>
  <c r="E18" i="53" s="1"/>
  <c r="H6" i="49"/>
  <c r="H7" i="49" s="1"/>
  <c r="H8" i="49" s="1"/>
  <c r="F16" i="52" s="1"/>
  <c r="F18" i="53" s="1"/>
  <c r="H5" i="49"/>
  <c r="J6" i="49"/>
  <c r="J7" i="49" s="1"/>
  <c r="J8" i="49" s="1"/>
  <c r="H16" i="52" s="1"/>
  <c r="H18" i="53" s="1"/>
  <c r="J5" i="49"/>
  <c r="I5" i="49"/>
  <c r="I6" i="49"/>
  <c r="I7" i="49" s="1"/>
  <c r="I8" i="49" s="1"/>
  <c r="G16" i="52" s="1"/>
  <c r="G18" i="53" s="1"/>
  <c r="D27" i="52"/>
  <c r="D21" i="52"/>
  <c r="D7" i="53"/>
  <c r="J7" i="53"/>
  <c r="I7" i="53"/>
  <c r="L5" i="49"/>
  <c r="L6" i="49"/>
  <c r="L7" i="49" s="1"/>
  <c r="L8" i="49" s="1"/>
  <c r="J16" i="52" s="1"/>
  <c r="J18" i="53" s="1"/>
  <c r="K6" i="49"/>
  <c r="K7" i="49" s="1"/>
  <c r="K8" i="49" s="1"/>
  <c r="I16" i="52" s="1"/>
  <c r="I18" i="53" s="1"/>
  <c r="K5" i="49"/>
  <c r="H46" i="60"/>
  <c r="B47" i="60"/>
  <c r="H43" i="57"/>
  <c r="B44" i="57"/>
  <c r="H42" i="56"/>
  <c r="B43" i="56"/>
  <c r="J21" i="53" l="1"/>
  <c r="R5" i="65"/>
  <c r="P5" i="65"/>
  <c r="N62" i="65" s="1"/>
  <c r="I21" i="53"/>
  <c r="E5" i="65"/>
  <c r="D21" i="53"/>
  <c r="E21" i="53"/>
  <c r="G5" i="65"/>
  <c r="H43" i="56"/>
  <c r="B44" i="56"/>
  <c r="B45" i="57"/>
  <c r="H44" i="57"/>
  <c r="H47" i="60"/>
  <c r="B48" i="60"/>
  <c r="T65" i="65" l="1"/>
  <c r="U48" i="65"/>
  <c r="I15" i="65"/>
  <c r="J22" i="65" s="1"/>
  <c r="E29" i="65" s="1"/>
  <c r="N65" i="65"/>
  <c r="R55" i="65"/>
  <c r="O48" i="65"/>
  <c r="S15" i="65"/>
  <c r="T22" i="65" s="1"/>
  <c r="H28" i="65" s="1"/>
  <c r="F15" i="65"/>
  <c r="G22" i="65" s="1"/>
  <c r="J10" i="65"/>
  <c r="B46" i="57"/>
  <c r="H45" i="57"/>
  <c r="H48" i="60"/>
  <c r="B49" i="60"/>
  <c r="B45" i="56"/>
  <c r="H44" i="56"/>
  <c r="G65" i="65" l="1"/>
  <c r="R18" i="65"/>
  <c r="R147" i="65"/>
  <c r="G57" i="65"/>
  <c r="R72" i="65" s="1"/>
  <c r="H49" i="60"/>
  <c r="B50" i="60"/>
  <c r="B46" i="56"/>
  <c r="H45" i="56"/>
  <c r="H46" i="57"/>
  <c r="B47" i="57"/>
  <c r="AK72" i="65" l="1"/>
  <c r="AI72" i="65"/>
  <c r="AB72" i="65"/>
  <c r="G82" i="65"/>
  <c r="H92" i="65" s="1"/>
  <c r="Q98" i="65"/>
  <c r="D129" i="65" s="1"/>
  <c r="H50" i="60"/>
  <c r="B51" i="60"/>
  <c r="H46" i="56"/>
  <c r="B47" i="56"/>
  <c r="H47" i="57"/>
  <c r="B48" i="57"/>
  <c r="H51" i="60" l="1"/>
  <c r="B52" i="60"/>
  <c r="H47" i="56"/>
  <c r="B48" i="56"/>
  <c r="B49" i="57"/>
  <c r="H48" i="57"/>
  <c r="B49" i="56" l="1"/>
  <c r="H48" i="56"/>
  <c r="H52" i="60"/>
  <c r="B53" i="60"/>
  <c r="B50" i="57"/>
  <c r="H49" i="57"/>
  <c r="H53" i="60" l="1"/>
  <c r="B54" i="60"/>
  <c r="H50" i="57"/>
  <c r="B51" i="57"/>
  <c r="B50" i="56"/>
  <c r="H49" i="56"/>
  <c r="H54" i="60" l="1"/>
  <c r="B55" i="60"/>
  <c r="H51" i="57"/>
  <c r="B52" i="57"/>
  <c r="H50" i="56"/>
  <c r="B51" i="56"/>
  <c r="B53" i="57" l="1"/>
  <c r="H52" i="57"/>
  <c r="H51" i="56"/>
  <c r="B52" i="56"/>
  <c r="H55" i="60"/>
  <c r="B56" i="60"/>
  <c r="H56" i="60" l="1"/>
  <c r="B57" i="60"/>
  <c r="B53" i="56"/>
  <c r="H52" i="56"/>
  <c r="B54" i="57"/>
  <c r="H53" i="57"/>
  <c r="H57" i="60" l="1"/>
  <c r="B58" i="60"/>
  <c r="B54" i="56"/>
  <c r="H53" i="56"/>
  <c r="H54" i="57"/>
  <c r="B55" i="57"/>
  <c r="H54" i="56" l="1"/>
  <c r="B55" i="56"/>
  <c r="H58" i="60"/>
  <c r="B59" i="60"/>
  <c r="H55" i="57"/>
  <c r="B56" i="57"/>
  <c r="H55" i="56" l="1"/>
  <c r="B56" i="56"/>
  <c r="L4" i="60"/>
  <c r="B60" i="60"/>
  <c r="B57" i="57"/>
  <c r="H56" i="57"/>
  <c r="B61" i="60" l="1"/>
  <c r="L5" i="60"/>
  <c r="B57" i="56"/>
  <c r="H56" i="56"/>
  <c r="B58" i="57"/>
  <c r="H57" i="57"/>
  <c r="H58" i="57" l="1"/>
  <c r="B59" i="57"/>
  <c r="B58" i="56"/>
  <c r="H57" i="56"/>
  <c r="B62" i="60"/>
  <c r="L6" i="60"/>
  <c r="H58" i="56" l="1"/>
  <c r="B59" i="56"/>
  <c r="M4" i="57"/>
  <c r="B60" i="57"/>
  <c r="B63" i="60"/>
  <c r="L7" i="60"/>
  <c r="M5" i="57" l="1"/>
  <c r="B61" i="57"/>
  <c r="M4" i="56"/>
  <c r="B60" i="56"/>
  <c r="L8" i="60"/>
  <c r="B64" i="60"/>
  <c r="B65" i="60" l="1"/>
  <c r="L9" i="60"/>
  <c r="M5" i="56"/>
  <c r="B61" i="56"/>
  <c r="B62" i="57"/>
  <c r="M6" i="57"/>
  <c r="M6" i="56" l="1"/>
  <c r="B62" i="56"/>
  <c r="M7" i="57"/>
  <c r="B63" i="57"/>
  <c r="B66" i="60"/>
  <c r="L10" i="60"/>
  <c r="M8" i="57" l="1"/>
  <c r="B64" i="57"/>
  <c r="M7" i="56"/>
  <c r="B63" i="56"/>
  <c r="B67" i="60"/>
  <c r="L11" i="60"/>
  <c r="B65" i="57" l="1"/>
  <c r="M9" i="57"/>
  <c r="M8" i="56"/>
  <c r="B64" i="56"/>
  <c r="L12" i="60"/>
  <c r="B68" i="60"/>
  <c r="M9" i="56" l="1"/>
  <c r="B65" i="56"/>
  <c r="B69" i="60"/>
  <c r="L13" i="60"/>
  <c r="B66" i="57"/>
  <c r="M10" i="57"/>
  <c r="B70" i="60" l="1"/>
  <c r="L14" i="60"/>
  <c r="B66" i="56"/>
  <c r="M10" i="56"/>
  <c r="M11" i="57"/>
  <c r="B67" i="57"/>
  <c r="M12" i="57" l="1"/>
  <c r="B68" i="57"/>
  <c r="M11" i="56"/>
  <c r="B67" i="56"/>
  <c r="B71" i="60"/>
  <c r="L15" i="60"/>
  <c r="M12" i="56" l="1"/>
  <c r="B68" i="56"/>
  <c r="B69" i="57"/>
  <c r="M13" i="57"/>
  <c r="L16" i="60"/>
  <c r="B72" i="60"/>
  <c r="B70" i="57" l="1"/>
  <c r="M14" i="57"/>
  <c r="B73" i="60"/>
  <c r="L17" i="60"/>
  <c r="M13" i="56"/>
  <c r="B69" i="56"/>
  <c r="B74" i="60" l="1"/>
  <c r="L18" i="60"/>
  <c r="M14" i="56"/>
  <c r="B70" i="56"/>
  <c r="M15" i="57"/>
  <c r="B71" i="57"/>
  <c r="M16" i="57" l="1"/>
  <c r="B72" i="57"/>
  <c r="M15" i="56"/>
  <c r="B71" i="56"/>
  <c r="B75" i="60"/>
  <c r="L19" i="60"/>
  <c r="B73" i="57" l="1"/>
  <c r="M17" i="57"/>
  <c r="M16" i="56"/>
  <c r="B72" i="56"/>
  <c r="L20" i="60"/>
  <c r="B76" i="60"/>
  <c r="B77" i="60" l="1"/>
  <c r="L21" i="60"/>
  <c r="M17" i="56"/>
  <c r="B73" i="56"/>
  <c r="B74" i="57"/>
  <c r="M18" i="57"/>
  <c r="M18" i="56" l="1"/>
  <c r="B74" i="56"/>
  <c r="M19" i="57"/>
  <c r="B75" i="57"/>
  <c r="B78" i="60"/>
  <c r="L22" i="60"/>
  <c r="M20" i="57" l="1"/>
  <c r="B76" i="57"/>
  <c r="M19" i="56"/>
  <c r="B75" i="56"/>
  <c r="B79" i="60"/>
  <c r="L23" i="60"/>
  <c r="B77" i="57" l="1"/>
  <c r="M21" i="57"/>
  <c r="M20" i="56"/>
  <c r="B76" i="56"/>
  <c r="L24" i="60"/>
  <c r="B80" i="60"/>
  <c r="M21" i="56" l="1"/>
  <c r="B77" i="56"/>
  <c r="B81" i="60"/>
  <c r="L25" i="60"/>
  <c r="B78" i="57"/>
  <c r="M22" i="57"/>
  <c r="B82" i="60" l="1"/>
  <c r="L26" i="60"/>
  <c r="B78" i="56"/>
  <c r="M22" i="56"/>
  <c r="M23" i="57"/>
  <c r="B79" i="57"/>
  <c r="M24" i="57" l="1"/>
  <c r="B80" i="57"/>
  <c r="M23" i="56"/>
  <c r="B79" i="56"/>
  <c r="B83" i="60"/>
  <c r="L27" i="60"/>
  <c r="M24" i="56" l="1"/>
  <c r="B80" i="56"/>
  <c r="B81" i="57"/>
  <c r="M25" i="57"/>
  <c r="L28" i="60"/>
  <c r="B84" i="60"/>
  <c r="B82" i="57" l="1"/>
  <c r="M26" i="57"/>
  <c r="B85" i="60"/>
  <c r="L29" i="60"/>
  <c r="M25" i="56"/>
  <c r="B81" i="56"/>
  <c r="B86" i="60" l="1"/>
  <c r="L30" i="60"/>
  <c r="B82" i="56"/>
  <c r="M26" i="56"/>
  <c r="M27" i="57"/>
  <c r="B83" i="57"/>
  <c r="M27" i="56" l="1"/>
  <c r="B83" i="56"/>
  <c r="M28" i="57"/>
  <c r="B84" i="57"/>
  <c r="B87" i="60"/>
  <c r="L31" i="60"/>
  <c r="B85" i="57" l="1"/>
  <c r="M29" i="57"/>
  <c r="M28" i="56"/>
  <c r="B84" i="56"/>
  <c r="L32" i="60"/>
  <c r="B88" i="60"/>
  <c r="B85" i="56" l="1"/>
  <c r="M29" i="56"/>
  <c r="B89" i="60"/>
  <c r="L33" i="60"/>
  <c r="B86" i="57"/>
  <c r="M30" i="57"/>
  <c r="B90" i="60" l="1"/>
  <c r="L34" i="60"/>
  <c r="M31" i="57"/>
  <c r="B87" i="57"/>
  <c r="B86" i="56"/>
  <c r="M30" i="56"/>
  <c r="M32" i="57" l="1"/>
  <c r="B88" i="57"/>
  <c r="M31" i="56"/>
  <c r="B87" i="56"/>
  <c r="B91" i="60"/>
  <c r="L35" i="60"/>
  <c r="M32" i="56" l="1"/>
  <c r="B88" i="56"/>
  <c r="B89" i="57"/>
  <c r="M33" i="57"/>
  <c r="L36" i="60"/>
  <c r="B92" i="60"/>
  <c r="B90" i="57" l="1"/>
  <c r="M34" i="57"/>
  <c r="B93" i="60"/>
  <c r="L37" i="60"/>
  <c r="B89" i="56"/>
  <c r="M33" i="56"/>
  <c r="B94" i="60" l="1"/>
  <c r="L38" i="60"/>
  <c r="B90" i="56"/>
  <c r="M34" i="56"/>
  <c r="M35" i="57"/>
  <c r="B91" i="57"/>
  <c r="M35" i="56" l="1"/>
  <c r="B91" i="56"/>
  <c r="M36" i="57"/>
  <c r="B92" i="57"/>
  <c r="B95" i="60"/>
  <c r="L39" i="60"/>
  <c r="B93" i="57" l="1"/>
  <c r="M37" i="57"/>
  <c r="M36" i="56"/>
  <c r="B92" i="56"/>
  <c r="L40" i="60"/>
  <c r="B96" i="60"/>
  <c r="B93" i="56" l="1"/>
  <c r="M37" i="56"/>
  <c r="B97" i="60"/>
  <c r="L41" i="60"/>
  <c r="B94" i="57"/>
  <c r="M38" i="57"/>
  <c r="B98" i="60" l="1"/>
  <c r="L42" i="60"/>
  <c r="M39" i="57"/>
  <c r="B95" i="57"/>
  <c r="B94" i="56"/>
  <c r="M38" i="56"/>
  <c r="M40" i="57" l="1"/>
  <c r="B96" i="57"/>
  <c r="M39" i="56"/>
  <c r="B95" i="56"/>
  <c r="B99" i="60"/>
  <c r="L43" i="60"/>
  <c r="M40" i="56" l="1"/>
  <c r="B96" i="56"/>
  <c r="B97" i="57"/>
  <c r="M41" i="57"/>
  <c r="L44" i="60"/>
  <c r="B100" i="60"/>
  <c r="B98" i="57" l="1"/>
  <c r="M42" i="57"/>
  <c r="B101" i="60"/>
  <c r="L45" i="60"/>
  <c r="B97" i="56"/>
  <c r="M41" i="56"/>
  <c r="B102" i="60" l="1"/>
  <c r="L46" i="60"/>
  <c r="B98" i="56"/>
  <c r="M42" i="56"/>
  <c r="M43" i="57"/>
  <c r="B99" i="57"/>
  <c r="M43" i="56" l="1"/>
  <c r="B99" i="56"/>
  <c r="M44" i="57"/>
  <c r="B100" i="57"/>
  <c r="B103" i="60"/>
  <c r="L47" i="60"/>
  <c r="B101" i="57" l="1"/>
  <c r="M45" i="57"/>
  <c r="M44" i="56"/>
  <c r="B100" i="56"/>
  <c r="L48" i="60"/>
  <c r="B104" i="60"/>
  <c r="B101" i="56" l="1"/>
  <c r="M45" i="56"/>
  <c r="B105" i="60"/>
  <c r="L49" i="60"/>
  <c r="B102" i="57"/>
  <c r="M46" i="57"/>
  <c r="B106" i="60" l="1"/>
  <c r="L50" i="60"/>
  <c r="M47" i="57"/>
  <c r="B103" i="57"/>
  <c r="B102" i="56"/>
  <c r="M46" i="56"/>
  <c r="M48" i="57" l="1"/>
  <c r="B104" i="57"/>
  <c r="M47" i="56"/>
  <c r="B103" i="56"/>
  <c r="B107" i="60"/>
  <c r="L51" i="60"/>
  <c r="M48" i="56" l="1"/>
  <c r="B104" i="56"/>
  <c r="B105" i="57"/>
  <c r="M49" i="57"/>
  <c r="L52" i="60"/>
  <c r="B108" i="60"/>
  <c r="B106" i="57" l="1"/>
  <c r="M50" i="57"/>
  <c r="L53" i="60"/>
  <c r="B109" i="60"/>
  <c r="B105" i="56"/>
  <c r="M49" i="56"/>
  <c r="B110" i="60" l="1"/>
  <c r="L54" i="60"/>
  <c r="B106" i="56"/>
  <c r="M50" i="56"/>
  <c r="M51" i="57"/>
  <c r="B107" i="57"/>
  <c r="M51" i="56" l="1"/>
  <c r="B107" i="56"/>
  <c r="M52" i="57"/>
  <c r="B108" i="57"/>
  <c r="L55" i="60"/>
  <c r="B111" i="60"/>
  <c r="B112" i="60" l="1"/>
  <c r="L56" i="60"/>
  <c r="B109" i="57"/>
  <c r="M53" i="57"/>
  <c r="M52" i="56"/>
  <c r="B108" i="56"/>
  <c r="M54" i="57" l="1"/>
  <c r="B110" i="57"/>
  <c r="B109" i="56"/>
  <c r="M53" i="56"/>
  <c r="B113" i="60"/>
  <c r="L57" i="60"/>
  <c r="B110" i="56" l="1"/>
  <c r="M55" i="56" s="1"/>
  <c r="M54" i="56"/>
  <c r="M55" i="57"/>
  <c r="B111" i="57"/>
  <c r="H10" i="52"/>
  <c r="I10" i="52"/>
  <c r="E10" i="52"/>
  <c r="G10" i="52"/>
  <c r="B114" i="60"/>
  <c r="L58" i="60"/>
  <c r="G11" i="53" l="1"/>
  <c r="G14" i="53" s="1"/>
  <c r="G13" i="52"/>
  <c r="M56" i="57"/>
  <c r="B112" i="57"/>
  <c r="E13" i="52"/>
  <c r="E11" i="53"/>
  <c r="E14" i="53" s="1"/>
  <c r="I13" i="52"/>
  <c r="I19" i="52" s="1"/>
  <c r="I11" i="53"/>
  <c r="I14" i="53" s="1"/>
  <c r="B115" i="60"/>
  <c r="L59" i="60"/>
  <c r="B4" i="51"/>
  <c r="H13" i="52"/>
  <c r="H11" i="53"/>
  <c r="H14" i="53" s="1"/>
  <c r="B113" i="57" l="1"/>
  <c r="M57" i="57"/>
  <c r="B6" i="51"/>
  <c r="B7" i="51" s="1"/>
  <c r="B10" i="51"/>
  <c r="B12" i="51" s="1"/>
  <c r="B13" i="51" s="1"/>
  <c r="I24" i="52"/>
  <c r="I26" i="52" s="1"/>
  <c r="I20" i="52"/>
  <c r="I20" i="53" s="1"/>
  <c r="I19" i="53"/>
  <c r="C17" i="51"/>
  <c r="L60" i="60"/>
  <c r="B116" i="60"/>
  <c r="L61" i="60" s="1"/>
  <c r="K13" i="52"/>
  <c r="J13" i="52"/>
  <c r="J19" i="52" s="1"/>
  <c r="B16" i="51"/>
  <c r="E19" i="52"/>
  <c r="B114" i="57" l="1"/>
  <c r="M58" i="57"/>
  <c r="C18" i="51"/>
  <c r="C19" i="51" s="1"/>
  <c r="I22" i="52"/>
  <c r="E12" i="51"/>
  <c r="E13" i="51"/>
  <c r="J20" i="52"/>
  <c r="J20" i="53" s="1"/>
  <c r="J24" i="52"/>
  <c r="J26" i="52" s="1"/>
  <c r="J19" i="53"/>
  <c r="E6" i="51"/>
  <c r="E7" i="51"/>
  <c r="E19" i="53"/>
  <c r="E24" i="52"/>
  <c r="E26" i="52" s="1"/>
  <c r="E20" i="52"/>
  <c r="E20" i="53" s="1"/>
  <c r="J22" i="52" l="1"/>
  <c r="E22" i="52"/>
  <c r="G7" i="51"/>
  <c r="F7" i="51"/>
  <c r="P6" i="65"/>
  <c r="I22" i="53"/>
  <c r="J287" i="63"/>
  <c r="J185" i="63"/>
  <c r="J115" i="63"/>
  <c r="J340" i="63"/>
  <c r="J85" i="63"/>
  <c r="J234" i="63"/>
  <c r="J75" i="63"/>
  <c r="J164" i="63"/>
  <c r="J262" i="63"/>
  <c r="J93" i="63"/>
  <c r="J329" i="63"/>
  <c r="J70" i="63"/>
  <c r="J221" i="63"/>
  <c r="J208" i="63"/>
  <c r="J59" i="63"/>
  <c r="J18" i="63"/>
  <c r="J274" i="63"/>
  <c r="J228" i="63"/>
  <c r="J194" i="63"/>
  <c r="J282" i="63"/>
  <c r="J351" i="63"/>
  <c r="J109" i="63"/>
  <c r="J246" i="63"/>
  <c r="J217" i="63"/>
  <c r="J334" i="63"/>
  <c r="J141" i="63"/>
  <c r="J34" i="63"/>
  <c r="J171" i="63"/>
  <c r="J82" i="63"/>
  <c r="J220" i="63"/>
  <c r="J348" i="63"/>
  <c r="J375" i="63"/>
  <c r="J107" i="63"/>
  <c r="J57" i="63"/>
  <c r="J236" i="63"/>
  <c r="J206" i="63"/>
  <c r="J366" i="63"/>
  <c r="J110" i="63"/>
  <c r="J139" i="63"/>
  <c r="J174" i="63"/>
  <c r="J258" i="63"/>
  <c r="J72" i="63"/>
  <c r="J219" i="63"/>
  <c r="J357" i="63"/>
  <c r="J134" i="63"/>
  <c r="J22" i="63"/>
  <c r="J354" i="63"/>
  <c r="J297" i="63"/>
  <c r="J56" i="63"/>
  <c r="J328" i="63"/>
  <c r="J162" i="63"/>
  <c r="J128" i="63"/>
  <c r="J231" i="63"/>
  <c r="J356" i="63"/>
  <c r="J288" i="63"/>
  <c r="J285" i="63"/>
  <c r="J182" i="63"/>
  <c r="J140" i="63"/>
  <c r="J213" i="63"/>
  <c r="J338" i="63"/>
  <c r="J133" i="63"/>
  <c r="J251" i="63"/>
  <c r="J211" i="63"/>
  <c r="J355" i="63"/>
  <c r="J138" i="63"/>
  <c r="J103" i="63"/>
  <c r="J91" i="63"/>
  <c r="J123" i="63"/>
  <c r="J256" i="63"/>
  <c r="J159" i="63"/>
  <c r="J88" i="63"/>
  <c r="J119" i="63"/>
  <c r="J69" i="63"/>
  <c r="J130" i="63"/>
  <c r="J158" i="63"/>
  <c r="J331" i="63"/>
  <c r="J244" i="63"/>
  <c r="J201" i="63"/>
  <c r="J235" i="63"/>
  <c r="J290" i="63"/>
  <c r="J94" i="63"/>
  <c r="J377" i="63"/>
  <c r="J305" i="63"/>
  <c r="J42" i="63"/>
  <c r="J369" i="63"/>
  <c r="J227" i="63"/>
  <c r="J96" i="63"/>
  <c r="J47" i="63"/>
  <c r="J352" i="63"/>
  <c r="J179" i="63"/>
  <c r="J296" i="63"/>
  <c r="J322" i="63"/>
  <c r="J343" i="63"/>
  <c r="J214" i="63"/>
  <c r="J314" i="63"/>
  <c r="J49" i="63"/>
  <c r="J376" i="63"/>
  <c r="J25" i="63"/>
  <c r="J41" i="63"/>
  <c r="J165" i="63"/>
  <c r="J105" i="63"/>
  <c r="J97" i="63"/>
  <c r="J186" i="63"/>
  <c r="J124" i="63"/>
  <c r="J161" i="63"/>
  <c r="J273" i="63"/>
  <c r="J319" i="63"/>
  <c r="J248" i="63"/>
  <c r="J131" i="63"/>
  <c r="J23" i="63"/>
  <c r="J63" i="63"/>
  <c r="J218" i="63"/>
  <c r="J35" i="63"/>
  <c r="J180" i="63"/>
  <c r="J330" i="63"/>
  <c r="J205" i="63"/>
  <c r="J253" i="63"/>
  <c r="J121" i="63"/>
  <c r="J104" i="63"/>
  <c r="J226" i="63"/>
  <c r="J173" i="63"/>
  <c r="J156" i="63"/>
  <c r="J95" i="63"/>
  <c r="J184" i="63"/>
  <c r="J64" i="63"/>
  <c r="J67" i="63"/>
  <c r="J222" i="63"/>
  <c r="J324" i="63"/>
  <c r="J197" i="63"/>
  <c r="J232" i="63"/>
  <c r="J196" i="63"/>
  <c r="J358" i="63"/>
  <c r="J149" i="63"/>
  <c r="J157" i="63"/>
  <c r="J312" i="63"/>
  <c r="J26" i="63"/>
  <c r="J137" i="63"/>
  <c r="J148" i="63"/>
  <c r="J99" i="63"/>
  <c r="J102" i="63"/>
  <c r="J275" i="63"/>
  <c r="J160" i="63"/>
  <c r="J363" i="63"/>
  <c r="J301" i="63"/>
  <c r="J31" i="63"/>
  <c r="J261" i="63"/>
  <c r="J335" i="63"/>
  <c r="J272" i="63"/>
  <c r="J298" i="63"/>
  <c r="J142" i="63"/>
  <c r="J113" i="63"/>
  <c r="J318" i="63"/>
  <c r="J167" i="63"/>
  <c r="J303" i="63"/>
  <c r="J125" i="63"/>
  <c r="J202" i="63"/>
  <c r="J239" i="63"/>
  <c r="J349" i="63"/>
  <c r="J20" i="63"/>
  <c r="J252" i="63"/>
  <c r="J350" i="63"/>
  <c r="J370" i="63"/>
  <c r="J332" i="63"/>
  <c r="J364" i="63"/>
  <c r="J58" i="63"/>
  <c r="J145" i="63"/>
  <c r="J190" i="63"/>
  <c r="J212" i="63"/>
  <c r="J181" i="63"/>
  <c r="J127" i="63"/>
  <c r="J310" i="63"/>
  <c r="J71" i="63"/>
  <c r="J237" i="63"/>
  <c r="J245" i="63"/>
  <c r="J108" i="63"/>
  <c r="J203" i="63"/>
  <c r="J118" i="63"/>
  <c r="J21" i="63"/>
  <c r="J187" i="63"/>
  <c r="J209" i="63"/>
  <c r="J192" i="63"/>
  <c r="J360" i="63"/>
  <c r="J126" i="63"/>
  <c r="J89" i="63"/>
  <c r="J333" i="63"/>
  <c r="J254" i="63"/>
  <c r="J29" i="63"/>
  <c r="J78" i="63"/>
  <c r="J172" i="63"/>
  <c r="J54" i="63"/>
  <c r="J204" i="63"/>
  <c r="J169" i="63"/>
  <c r="J326" i="63"/>
  <c r="J77" i="63"/>
  <c r="J146" i="63"/>
  <c r="J325" i="63"/>
  <c r="J53" i="63"/>
  <c r="J299" i="63"/>
  <c r="J250" i="63"/>
  <c r="J120" i="63"/>
  <c r="J74" i="63"/>
  <c r="J151" i="63"/>
  <c r="J302" i="63"/>
  <c r="J255" i="63"/>
  <c r="J19" i="63"/>
  <c r="J81" i="63"/>
  <c r="J144" i="63"/>
  <c r="J210" i="63"/>
  <c r="J263" i="63"/>
  <c r="J225" i="63"/>
  <c r="J270" i="63"/>
  <c r="J51" i="63"/>
  <c r="J27" i="63"/>
  <c r="J153" i="63"/>
  <c r="J286" i="63"/>
  <c r="J284" i="63"/>
  <c r="J111" i="63"/>
  <c r="J73" i="63"/>
  <c r="J44" i="63"/>
  <c r="J249" i="63"/>
  <c r="J199" i="63"/>
  <c r="J276" i="63"/>
  <c r="J361" i="63"/>
  <c r="J143" i="63"/>
  <c r="J353" i="63"/>
  <c r="J106" i="63"/>
  <c r="J68" i="63"/>
  <c r="J188" i="63"/>
  <c r="J65" i="63"/>
  <c r="J342" i="63"/>
  <c r="J240" i="63"/>
  <c r="J166" i="63"/>
  <c r="J215" i="63"/>
  <c r="J283" i="63"/>
  <c r="J223" i="63"/>
  <c r="J320" i="63"/>
  <c r="J374" i="63"/>
  <c r="J50" i="63"/>
  <c r="J269" i="63"/>
  <c r="J242" i="63"/>
  <c r="J289" i="63"/>
  <c r="J60" i="63"/>
  <c r="J327" i="63"/>
  <c r="J367" i="63"/>
  <c r="J229" i="63"/>
  <c r="J313" i="63"/>
  <c r="J216" i="63"/>
  <c r="J316" i="63"/>
  <c r="J224" i="63"/>
  <c r="J198" i="63"/>
  <c r="J66" i="63"/>
  <c r="J46" i="63"/>
  <c r="J30" i="63"/>
  <c r="J114" i="63"/>
  <c r="J373" i="63"/>
  <c r="J83" i="63"/>
  <c r="J200" i="63"/>
  <c r="J259" i="63"/>
  <c r="J40" i="63"/>
  <c r="J306" i="63"/>
  <c r="J266" i="63"/>
  <c r="J101" i="63"/>
  <c r="J132" i="63"/>
  <c r="J247" i="63"/>
  <c r="J292" i="63"/>
  <c r="J260" i="63"/>
  <c r="J39" i="63"/>
  <c r="J241" i="63"/>
  <c r="J150" i="63"/>
  <c r="J191" i="63"/>
  <c r="J193" i="63"/>
  <c r="J33" i="63"/>
  <c r="J154" i="63"/>
  <c r="J48" i="63"/>
  <c r="J43" i="63"/>
  <c r="J321" i="63"/>
  <c r="J117" i="63"/>
  <c r="J243" i="63"/>
  <c r="J32" i="63"/>
  <c r="J92" i="63"/>
  <c r="J80" i="63"/>
  <c r="J315" i="63"/>
  <c r="J38" i="63"/>
  <c r="J339" i="63"/>
  <c r="J98" i="63"/>
  <c r="J178" i="63"/>
  <c r="J28" i="63"/>
  <c r="J122" i="63"/>
  <c r="J277" i="63"/>
  <c r="J323" i="63"/>
  <c r="J136" i="63"/>
  <c r="J62" i="63"/>
  <c r="J311" i="63"/>
  <c r="J152" i="63"/>
  <c r="J368" i="63"/>
  <c r="J291" i="63"/>
  <c r="J279" i="63"/>
  <c r="J177" i="63"/>
  <c r="J309" i="63"/>
  <c r="J129" i="63"/>
  <c r="J278" i="63"/>
  <c r="J155" i="63"/>
  <c r="J175" i="63"/>
  <c r="J304" i="63"/>
  <c r="J147" i="63"/>
  <c r="J24" i="63"/>
  <c r="J280" i="63"/>
  <c r="J84" i="63"/>
  <c r="J267" i="63"/>
  <c r="J90" i="63"/>
  <c r="J61" i="63"/>
  <c r="J36" i="63"/>
  <c r="J336" i="63"/>
  <c r="J112" i="63"/>
  <c r="J76" i="63"/>
  <c r="J37" i="63"/>
  <c r="J100" i="63"/>
  <c r="J257" i="63"/>
  <c r="J271" i="63"/>
  <c r="J168" i="63"/>
  <c r="J207" i="63"/>
  <c r="J293" i="63"/>
  <c r="J268" i="63"/>
  <c r="J372" i="63"/>
  <c r="J86" i="63"/>
  <c r="J300" i="63"/>
  <c r="J308" i="63"/>
  <c r="J176" i="63"/>
  <c r="J294" i="63"/>
  <c r="J195" i="63"/>
  <c r="J359" i="63"/>
  <c r="J281" i="63"/>
  <c r="J87" i="63"/>
  <c r="J233" i="63"/>
  <c r="J135" i="63"/>
  <c r="J183" i="63"/>
  <c r="J345" i="63"/>
  <c r="J238" i="63"/>
  <c r="J55" i="63"/>
  <c r="J362" i="63"/>
  <c r="J347" i="63"/>
  <c r="J116" i="63"/>
  <c r="J295" i="63"/>
  <c r="J163" i="63"/>
  <c r="J344" i="63"/>
  <c r="J45" i="63"/>
  <c r="J230" i="63"/>
  <c r="J265" i="63"/>
  <c r="J189" i="63"/>
  <c r="J307" i="63"/>
  <c r="J337" i="63"/>
  <c r="J170" i="63"/>
  <c r="J341" i="63"/>
  <c r="J371" i="63"/>
  <c r="J317" i="63"/>
  <c r="J264" i="63"/>
  <c r="J52" i="63"/>
  <c r="J79" i="63"/>
  <c r="J365" i="63"/>
  <c r="J346" i="63"/>
  <c r="F6" i="51"/>
  <c r="G6" i="51"/>
  <c r="J7" i="51" s="1"/>
  <c r="N7" i="51" s="1"/>
  <c r="E19" i="51"/>
  <c r="E18" i="51"/>
  <c r="R6" i="65"/>
  <c r="J22" i="53"/>
  <c r="K307" i="63"/>
  <c r="K22" i="63"/>
  <c r="K70" i="63"/>
  <c r="K139" i="63"/>
  <c r="K184" i="63"/>
  <c r="K182" i="63"/>
  <c r="K269" i="63"/>
  <c r="K238" i="63"/>
  <c r="K315" i="63"/>
  <c r="K62" i="63"/>
  <c r="K230" i="63"/>
  <c r="K21" i="63"/>
  <c r="K260" i="63"/>
  <c r="K23" i="63"/>
  <c r="K60" i="63"/>
  <c r="K267" i="63"/>
  <c r="K244" i="63"/>
  <c r="K361" i="63"/>
  <c r="K57" i="63"/>
  <c r="K18" i="63"/>
  <c r="K353" i="63"/>
  <c r="K150" i="63"/>
  <c r="K145" i="63"/>
  <c r="K195" i="63"/>
  <c r="K137" i="63"/>
  <c r="K168" i="63"/>
  <c r="K64" i="63"/>
  <c r="K20" i="63"/>
  <c r="K175" i="63"/>
  <c r="K215" i="63"/>
  <c r="K157" i="63"/>
  <c r="K170" i="63"/>
  <c r="K27" i="63"/>
  <c r="K136" i="63"/>
  <c r="K84" i="63"/>
  <c r="K243" i="63"/>
  <c r="K98" i="63"/>
  <c r="K43" i="63"/>
  <c r="K55" i="63"/>
  <c r="K319" i="63"/>
  <c r="K174" i="63"/>
  <c r="K78" i="63"/>
  <c r="K304" i="63"/>
  <c r="K298" i="63"/>
  <c r="K104" i="63"/>
  <c r="K223" i="63"/>
  <c r="K97" i="63"/>
  <c r="K191" i="63"/>
  <c r="K221" i="63"/>
  <c r="K105" i="63"/>
  <c r="K88" i="63"/>
  <c r="K225" i="63"/>
  <c r="K95" i="63"/>
  <c r="K352" i="63"/>
  <c r="K338" i="63"/>
  <c r="K37" i="63"/>
  <c r="K54" i="63"/>
  <c r="K309" i="63"/>
  <c r="K366" i="63"/>
  <c r="K206" i="63"/>
  <c r="K341" i="63"/>
  <c r="K49" i="63"/>
  <c r="K216" i="63"/>
  <c r="K335" i="63"/>
  <c r="K152" i="63"/>
  <c r="K251" i="63"/>
  <c r="K125" i="63"/>
  <c r="K239" i="63"/>
  <c r="K164" i="63"/>
  <c r="K108" i="63"/>
  <c r="K172" i="63"/>
  <c r="K373" i="63"/>
  <c r="K211" i="63"/>
  <c r="K274" i="63"/>
  <c r="K77" i="63"/>
  <c r="K268" i="63"/>
  <c r="K71" i="63"/>
  <c r="K180" i="63"/>
  <c r="K249" i="63"/>
  <c r="K114" i="63"/>
  <c r="K65" i="63"/>
  <c r="K347" i="63"/>
  <c r="K122" i="63"/>
  <c r="K246" i="63"/>
  <c r="K273" i="63"/>
  <c r="K331" i="63"/>
  <c r="K48" i="63"/>
  <c r="K158" i="63"/>
  <c r="K358" i="63"/>
  <c r="K316" i="63"/>
  <c r="K252" i="63"/>
  <c r="K76" i="63"/>
  <c r="K365" i="63"/>
  <c r="K45" i="63"/>
  <c r="K275" i="63"/>
  <c r="K134" i="63"/>
  <c r="K209" i="63"/>
  <c r="K374" i="63"/>
  <c r="K110" i="63"/>
  <c r="K293" i="63"/>
  <c r="K280" i="63"/>
  <c r="K151" i="63"/>
  <c r="K350" i="63"/>
  <c r="K312" i="63"/>
  <c r="K118" i="63"/>
  <c r="K213" i="63"/>
  <c r="K356" i="63"/>
  <c r="K265" i="63"/>
  <c r="K91" i="63"/>
  <c r="K199" i="63"/>
  <c r="K220" i="63"/>
  <c r="K227" i="63"/>
  <c r="K212" i="63"/>
  <c r="K25" i="63"/>
  <c r="K82" i="63"/>
  <c r="K368" i="63"/>
  <c r="K247" i="63"/>
  <c r="K68" i="63"/>
  <c r="K377" i="63"/>
  <c r="K228" i="63"/>
  <c r="K141" i="63"/>
  <c r="K167" i="63"/>
  <c r="K229" i="63"/>
  <c r="K38" i="63"/>
  <c r="K161" i="63"/>
  <c r="K39" i="63"/>
  <c r="K299" i="63"/>
  <c r="K181" i="63"/>
  <c r="K52" i="63"/>
  <c r="K369" i="63"/>
  <c r="K155" i="63"/>
  <c r="K317" i="63"/>
  <c r="K207" i="63"/>
  <c r="K290" i="63"/>
  <c r="K359" i="63"/>
  <c r="K204" i="63"/>
  <c r="K264" i="63"/>
  <c r="K40" i="63"/>
  <c r="K284" i="63"/>
  <c r="K231" i="63"/>
  <c r="K235" i="63"/>
  <c r="K171" i="63"/>
  <c r="K301" i="63"/>
  <c r="K33" i="63"/>
  <c r="K53" i="63"/>
  <c r="K200" i="63"/>
  <c r="K318" i="63"/>
  <c r="K142" i="63"/>
  <c r="K205" i="63"/>
  <c r="K201" i="63"/>
  <c r="K310" i="63"/>
  <c r="K320" i="63"/>
  <c r="K29" i="63"/>
  <c r="K345" i="63"/>
  <c r="K193" i="63"/>
  <c r="K306" i="63"/>
  <c r="K344" i="63"/>
  <c r="K188" i="63"/>
  <c r="K291" i="63"/>
  <c r="K203" i="63"/>
  <c r="K58" i="63"/>
  <c r="K321" i="63"/>
  <c r="K294" i="63"/>
  <c r="K24" i="63"/>
  <c r="K336" i="63"/>
  <c r="K119" i="63"/>
  <c r="K372" i="63"/>
  <c r="K210" i="63"/>
  <c r="K237" i="63"/>
  <c r="K219" i="63"/>
  <c r="K190" i="63"/>
  <c r="K232" i="63"/>
  <c r="K178" i="63"/>
  <c r="K129" i="63"/>
  <c r="K73" i="63"/>
  <c r="K148" i="63"/>
  <c r="K240" i="63"/>
  <c r="K354" i="63"/>
  <c r="K355" i="63"/>
  <c r="K337" i="63"/>
  <c r="K292" i="63"/>
  <c r="K56" i="63"/>
  <c r="K258" i="63"/>
  <c r="K253" i="63"/>
  <c r="K375" i="63"/>
  <c r="K140" i="63"/>
  <c r="K276" i="63"/>
  <c r="K30" i="63"/>
  <c r="K376" i="63"/>
  <c r="K47" i="63"/>
  <c r="K313" i="63"/>
  <c r="K162" i="63"/>
  <c r="K287" i="63"/>
  <c r="K300" i="63"/>
  <c r="K143" i="63"/>
  <c r="K236" i="63"/>
  <c r="K214" i="63"/>
  <c r="K233" i="63"/>
  <c r="K109" i="63"/>
  <c r="K169" i="63"/>
  <c r="K226" i="63"/>
  <c r="K217" i="63"/>
  <c r="K257" i="63"/>
  <c r="K26" i="63"/>
  <c r="K349" i="63"/>
  <c r="K360" i="63"/>
  <c r="K163" i="63"/>
  <c r="K242" i="63"/>
  <c r="K28" i="63"/>
  <c r="K147" i="63"/>
  <c r="K177" i="63"/>
  <c r="K346" i="63"/>
  <c r="K362" i="63"/>
  <c r="K196" i="63"/>
  <c r="K34" i="63"/>
  <c r="K371" i="63"/>
  <c r="K343" i="63"/>
  <c r="K115" i="63"/>
  <c r="K35" i="63"/>
  <c r="K202" i="63"/>
  <c r="K106" i="63"/>
  <c r="K340" i="63"/>
  <c r="K186" i="63"/>
  <c r="K69" i="63"/>
  <c r="K179" i="63"/>
  <c r="K173" i="63"/>
  <c r="K285" i="63"/>
  <c r="K241" i="63"/>
  <c r="K101" i="63"/>
  <c r="K32" i="63"/>
  <c r="K255" i="63"/>
  <c r="K272" i="63"/>
  <c r="K159" i="63"/>
  <c r="K41" i="63"/>
  <c r="K250" i="63"/>
  <c r="K305" i="63"/>
  <c r="K46" i="63"/>
  <c r="K194" i="63"/>
  <c r="K367" i="63"/>
  <c r="K90" i="63"/>
  <c r="K36" i="63"/>
  <c r="K248" i="63"/>
  <c r="K81" i="63"/>
  <c r="K330" i="63"/>
  <c r="K59" i="63"/>
  <c r="K146" i="63"/>
  <c r="K86" i="63"/>
  <c r="K328" i="63"/>
  <c r="K282" i="63"/>
  <c r="K314" i="63"/>
  <c r="K44" i="63"/>
  <c r="K176" i="63"/>
  <c r="K51" i="63"/>
  <c r="K127" i="63"/>
  <c r="K332" i="63"/>
  <c r="K149" i="63"/>
  <c r="K160" i="63"/>
  <c r="K130" i="63"/>
  <c r="K66" i="63"/>
  <c r="K187" i="63"/>
  <c r="K197" i="63"/>
  <c r="K107" i="63"/>
  <c r="K222" i="63"/>
  <c r="K308" i="63"/>
  <c r="K323" i="63"/>
  <c r="K329" i="63"/>
  <c r="K72" i="63"/>
  <c r="K364" i="63"/>
  <c r="K123" i="63"/>
  <c r="K153" i="63"/>
  <c r="K156" i="63"/>
  <c r="K302" i="63"/>
  <c r="K234" i="63"/>
  <c r="K266" i="63"/>
  <c r="K94" i="63"/>
  <c r="K218" i="63"/>
  <c r="K117" i="63"/>
  <c r="K327" i="63"/>
  <c r="K112" i="63"/>
  <c r="K135" i="63"/>
  <c r="K296" i="63"/>
  <c r="K138" i="63"/>
  <c r="K256" i="63"/>
  <c r="K289" i="63"/>
  <c r="K120" i="63"/>
  <c r="K103" i="63"/>
  <c r="K116" i="63"/>
  <c r="K166" i="63"/>
  <c r="K74" i="63"/>
  <c r="K357" i="63"/>
  <c r="K254" i="63"/>
  <c r="K99" i="63"/>
  <c r="K262" i="63"/>
  <c r="K19" i="63"/>
  <c r="K31" i="63"/>
  <c r="K208" i="63"/>
  <c r="K303" i="63"/>
  <c r="K279" i="63"/>
  <c r="K61" i="63"/>
  <c r="K322" i="63"/>
  <c r="K283" i="63"/>
  <c r="K96" i="63"/>
  <c r="K87" i="63"/>
  <c r="K286" i="63"/>
  <c r="K50" i="63"/>
  <c r="K63" i="63"/>
  <c r="K144" i="63"/>
  <c r="K192" i="63"/>
  <c r="K92" i="63"/>
  <c r="K126" i="63"/>
  <c r="K363" i="63"/>
  <c r="K259" i="63"/>
  <c r="K183" i="63"/>
  <c r="K131" i="63"/>
  <c r="K113" i="63"/>
  <c r="K198" i="63"/>
  <c r="K295" i="63"/>
  <c r="K185" i="63"/>
  <c r="K93" i="63"/>
  <c r="K297" i="63"/>
  <c r="K89" i="63"/>
  <c r="K351" i="63"/>
  <c r="K224" i="63"/>
  <c r="K326" i="63"/>
  <c r="K83" i="63"/>
  <c r="K111" i="63"/>
  <c r="K133" i="63"/>
  <c r="K128" i="63"/>
  <c r="K334" i="63"/>
  <c r="K75" i="63"/>
  <c r="K79" i="63"/>
  <c r="K271" i="63"/>
  <c r="K270" i="63"/>
  <c r="K288" i="63"/>
  <c r="K189" i="63"/>
  <c r="K165" i="63"/>
  <c r="K342" i="63"/>
  <c r="K278" i="63"/>
  <c r="K121" i="63"/>
  <c r="K80" i="63"/>
  <c r="K100" i="63"/>
  <c r="K42" i="63"/>
  <c r="K85" i="63"/>
  <c r="K348" i="63"/>
  <c r="K245" i="63"/>
  <c r="K281" i="63"/>
  <c r="K261" i="63"/>
  <c r="K67" i="63"/>
  <c r="K132" i="63"/>
  <c r="K277" i="63"/>
  <c r="K311" i="63"/>
  <c r="K324" i="63"/>
  <c r="K370" i="63"/>
  <c r="K154" i="63"/>
  <c r="K325" i="63"/>
  <c r="K339" i="63"/>
  <c r="K263" i="63"/>
  <c r="K102" i="63"/>
  <c r="K333" i="63"/>
  <c r="K124" i="63"/>
  <c r="F13" i="51"/>
  <c r="G13" i="51"/>
  <c r="G12" i="51"/>
  <c r="F12" i="51"/>
  <c r="B115" i="57"/>
  <c r="M59" i="57"/>
  <c r="J6" i="51" l="1"/>
  <c r="K6" i="51" s="1"/>
  <c r="O6" i="51" s="1"/>
  <c r="K17" i="52" s="1"/>
  <c r="B116" i="57"/>
  <c r="M61" i="57" s="1"/>
  <c r="M60" i="57"/>
  <c r="F19" i="51"/>
  <c r="G19" i="51"/>
  <c r="J12" i="51"/>
  <c r="N12" i="51" s="1"/>
  <c r="H17" i="52" s="1"/>
  <c r="K7" i="51"/>
  <c r="F18" i="52"/>
  <c r="F21" i="52" s="1"/>
  <c r="J13" i="51"/>
  <c r="F18" i="51"/>
  <c r="G18" i="51"/>
  <c r="E22" i="53"/>
  <c r="G6" i="65"/>
  <c r="F116" i="63"/>
  <c r="F368" i="63"/>
  <c r="F158" i="63"/>
  <c r="F334" i="63"/>
  <c r="F247" i="63"/>
  <c r="F19" i="63"/>
  <c r="F324" i="63"/>
  <c r="F232" i="63"/>
  <c r="F213" i="63"/>
  <c r="F45" i="63"/>
  <c r="F87" i="63"/>
  <c r="F283" i="63"/>
  <c r="F229" i="63"/>
  <c r="F119" i="63"/>
  <c r="F270" i="63"/>
  <c r="F265" i="63"/>
  <c r="F328" i="63"/>
  <c r="F164" i="63"/>
  <c r="F286" i="63"/>
  <c r="F188" i="63"/>
  <c r="F310" i="63"/>
  <c r="F26" i="63"/>
  <c r="F174" i="63"/>
  <c r="F276" i="63"/>
  <c r="F73" i="63"/>
  <c r="F345" i="63"/>
  <c r="F169" i="63"/>
  <c r="F282" i="63"/>
  <c r="F287" i="63"/>
  <c r="F21" i="63"/>
  <c r="F314" i="63"/>
  <c r="F288" i="63"/>
  <c r="F191" i="63"/>
  <c r="F141" i="63"/>
  <c r="F354" i="63"/>
  <c r="F64" i="63"/>
  <c r="F198" i="63"/>
  <c r="F208" i="63"/>
  <c r="F284" i="63"/>
  <c r="F264" i="63"/>
  <c r="F66" i="63"/>
  <c r="F300" i="63"/>
  <c r="F304" i="63"/>
  <c r="F223" i="63"/>
  <c r="F168" i="63"/>
  <c r="F153" i="63"/>
  <c r="F81" i="63"/>
  <c r="F142" i="63"/>
  <c r="F372" i="63"/>
  <c r="F77" i="63"/>
  <c r="F322" i="63"/>
  <c r="F154" i="63"/>
  <c r="F308" i="63"/>
  <c r="F50" i="63"/>
  <c r="F137" i="63"/>
  <c r="F342" i="63"/>
  <c r="F341" i="63"/>
  <c r="F221" i="63"/>
  <c r="F176" i="63"/>
  <c r="F365" i="63"/>
  <c r="F339" i="63"/>
  <c r="F35" i="63"/>
  <c r="F83" i="63"/>
  <c r="F37" i="63"/>
  <c r="F319" i="63"/>
  <c r="F364" i="63"/>
  <c r="F189" i="63"/>
  <c r="F143" i="63"/>
  <c r="F106" i="63"/>
  <c r="F357" i="63"/>
  <c r="F228" i="63"/>
  <c r="F39" i="63"/>
  <c r="F155" i="63"/>
  <c r="F210" i="63"/>
  <c r="F263" i="63"/>
  <c r="F371" i="63"/>
  <c r="F376" i="63"/>
  <c r="F140" i="63"/>
  <c r="F31" i="63"/>
  <c r="F196" i="63"/>
  <c r="F280" i="63"/>
  <c r="F92" i="63"/>
  <c r="F163" i="63"/>
  <c r="F359" i="63"/>
  <c r="F326" i="63"/>
  <c r="F366" i="63"/>
  <c r="F289" i="63"/>
  <c r="F211" i="63"/>
  <c r="F237" i="63"/>
  <c r="F292" i="63"/>
  <c r="F69" i="63"/>
  <c r="F173" i="63"/>
  <c r="F68" i="63"/>
  <c r="F98" i="63"/>
  <c r="F330" i="63"/>
  <c r="F109" i="63"/>
  <c r="F250" i="63"/>
  <c r="F296" i="63"/>
  <c r="F93" i="63"/>
  <c r="F253" i="63"/>
  <c r="F115" i="63"/>
  <c r="F175" i="63"/>
  <c r="F356" i="63"/>
  <c r="F312" i="63"/>
  <c r="F362" i="63"/>
  <c r="F132" i="63"/>
  <c r="F162" i="63"/>
  <c r="F377" i="63"/>
  <c r="F225" i="63"/>
  <c r="F124" i="63"/>
  <c r="F123" i="63"/>
  <c r="F49" i="63"/>
  <c r="F171" i="63"/>
  <c r="F62" i="63"/>
  <c r="F29" i="63"/>
  <c r="F147" i="63"/>
  <c r="F113" i="63"/>
  <c r="F278" i="63"/>
  <c r="F67" i="63"/>
  <c r="F331" i="63"/>
  <c r="F220" i="63"/>
  <c r="F369" i="63"/>
  <c r="F344" i="63"/>
  <c r="F197" i="63"/>
  <c r="F186" i="63"/>
  <c r="F215" i="63"/>
  <c r="F24" i="63"/>
  <c r="F299" i="63"/>
  <c r="F367" i="63"/>
  <c r="F187" i="63"/>
  <c r="F347" i="63"/>
  <c r="F260" i="63"/>
  <c r="F249" i="63"/>
  <c r="F96" i="63"/>
  <c r="F266" i="63"/>
  <c r="F60" i="63"/>
  <c r="F53" i="63"/>
  <c r="F146" i="63"/>
  <c r="F206" i="63"/>
  <c r="F40" i="63"/>
  <c r="F167" i="63"/>
  <c r="F374" i="63"/>
  <c r="F327" i="63"/>
  <c r="F114" i="63"/>
  <c r="F71" i="63"/>
  <c r="F355" i="63"/>
  <c r="F216" i="63"/>
  <c r="F230" i="63"/>
  <c r="F84" i="63"/>
  <c r="F275" i="63"/>
  <c r="F85" i="63"/>
  <c r="F315" i="63"/>
  <c r="F257" i="63"/>
  <c r="F207" i="63"/>
  <c r="F279" i="63"/>
  <c r="F274" i="63"/>
  <c r="F219" i="63"/>
  <c r="F32" i="63"/>
  <c r="F222" i="63"/>
  <c r="F166" i="63"/>
  <c r="F165" i="63"/>
  <c r="F30" i="63"/>
  <c r="F172" i="63"/>
  <c r="F333" i="63"/>
  <c r="F349" i="63"/>
  <c r="F239" i="63"/>
  <c r="F55" i="63"/>
  <c r="F201" i="63"/>
  <c r="F351" i="63"/>
  <c r="F338" i="63"/>
  <c r="F41" i="63"/>
  <c r="F120" i="63"/>
  <c r="F306" i="63"/>
  <c r="F325" i="63"/>
  <c r="F138" i="63"/>
  <c r="F91" i="63"/>
  <c r="F78" i="63"/>
  <c r="F255" i="63"/>
  <c r="F309" i="63"/>
  <c r="F301" i="63"/>
  <c r="F343" i="63"/>
  <c r="F190" i="63"/>
  <c r="F192" i="63"/>
  <c r="F179" i="63"/>
  <c r="F57" i="63"/>
  <c r="F291" i="63"/>
  <c r="F134" i="63"/>
  <c r="F107" i="63"/>
  <c r="F183" i="63"/>
  <c r="F102" i="63"/>
  <c r="F122" i="63"/>
  <c r="F200" i="63"/>
  <c r="F353" i="63"/>
  <c r="F246" i="63"/>
  <c r="F170" i="63"/>
  <c r="F75" i="63"/>
  <c r="F363" i="63"/>
  <c r="F23" i="63"/>
  <c r="F94" i="63"/>
  <c r="F329" i="63"/>
  <c r="F86" i="63"/>
  <c r="F152" i="63"/>
  <c r="F352" i="63"/>
  <c r="F44" i="63"/>
  <c r="F321" i="63"/>
  <c r="F268" i="63"/>
  <c r="F202" i="63"/>
  <c r="F139" i="63"/>
  <c r="F63" i="63"/>
  <c r="F235" i="63"/>
  <c r="F82" i="63"/>
  <c r="F199" i="63"/>
  <c r="F335" i="63"/>
  <c r="F361" i="63"/>
  <c r="F136" i="63"/>
  <c r="F157" i="63"/>
  <c r="F337" i="63"/>
  <c r="F101" i="63"/>
  <c r="F88" i="63"/>
  <c r="F320" i="63"/>
  <c r="F99" i="63"/>
  <c r="F129" i="63"/>
  <c r="F128" i="63"/>
  <c r="F181" i="63"/>
  <c r="F56" i="63"/>
  <c r="F195" i="63"/>
  <c r="F105" i="63"/>
  <c r="F298" i="63"/>
  <c r="F52" i="63"/>
  <c r="F217" i="63"/>
  <c r="F145" i="63"/>
  <c r="F241" i="63"/>
  <c r="F111" i="63"/>
  <c r="F313" i="63"/>
  <c r="F150" i="63"/>
  <c r="F234" i="63"/>
  <c r="F248" i="63"/>
  <c r="F90" i="63"/>
  <c r="F302" i="63"/>
  <c r="F226" i="63"/>
  <c r="F18" i="63"/>
  <c r="F231" i="63"/>
  <c r="F160" i="63"/>
  <c r="F281" i="63"/>
  <c r="F110" i="63"/>
  <c r="F348" i="63"/>
  <c r="F295" i="63"/>
  <c r="F59" i="63"/>
  <c r="F151" i="63"/>
  <c r="F185" i="63"/>
  <c r="F254" i="63"/>
  <c r="F259" i="63"/>
  <c r="F269" i="63"/>
  <c r="F258" i="63"/>
  <c r="F332" i="63"/>
  <c r="F256" i="63"/>
  <c r="F125" i="63"/>
  <c r="F161" i="63"/>
  <c r="F262" i="63"/>
  <c r="F209" i="63"/>
  <c r="F34" i="63"/>
  <c r="F51" i="63"/>
  <c r="F95" i="63"/>
  <c r="F42" i="63"/>
  <c r="F182" i="63"/>
  <c r="F38" i="63"/>
  <c r="F251" i="63"/>
  <c r="F20" i="63"/>
  <c r="F224" i="63"/>
  <c r="F214" i="63"/>
  <c r="F360" i="63"/>
  <c r="F180" i="63"/>
  <c r="F65" i="63"/>
  <c r="F118" i="63"/>
  <c r="F121" i="63"/>
  <c r="F212" i="63"/>
  <c r="F205" i="63"/>
  <c r="F27" i="63"/>
  <c r="F252" i="63"/>
  <c r="F33" i="63"/>
  <c r="F36" i="63"/>
  <c r="F245" i="63"/>
  <c r="F133" i="63"/>
  <c r="F316" i="63"/>
  <c r="F46" i="63"/>
  <c r="F358" i="63"/>
  <c r="F317" i="63"/>
  <c r="F233" i="63"/>
  <c r="F271" i="63"/>
  <c r="F303" i="63"/>
  <c r="F238" i="63"/>
  <c r="F203" i="63"/>
  <c r="F240" i="63"/>
  <c r="F108" i="63"/>
  <c r="F117" i="63"/>
  <c r="F242" i="63"/>
  <c r="F336" i="63"/>
  <c r="F277" i="63"/>
  <c r="F290" i="63"/>
  <c r="F149" i="63"/>
  <c r="F144" i="63"/>
  <c r="F218" i="63"/>
  <c r="F70" i="63"/>
  <c r="F370" i="63"/>
  <c r="F156" i="63"/>
  <c r="F47" i="63"/>
  <c r="F148" i="63"/>
  <c r="F43" i="63"/>
  <c r="F350" i="63"/>
  <c r="F305" i="63"/>
  <c r="F243" i="63"/>
  <c r="F293" i="63"/>
  <c r="F375" i="63"/>
  <c r="F184" i="63"/>
  <c r="F340" i="63"/>
  <c r="F177" i="63"/>
  <c r="F227" i="63"/>
  <c r="F159" i="63"/>
  <c r="F130" i="63"/>
  <c r="F112" i="63"/>
  <c r="F135" i="63"/>
  <c r="F285" i="63"/>
  <c r="F100" i="63"/>
  <c r="F127" i="63"/>
  <c r="F323" i="63"/>
  <c r="F76" i="63"/>
  <c r="F373" i="63"/>
  <c r="F80" i="63"/>
  <c r="F22" i="63"/>
  <c r="F54" i="63"/>
  <c r="F74" i="63"/>
  <c r="F28" i="63"/>
  <c r="F178" i="63"/>
  <c r="F104" i="63"/>
  <c r="F61" i="63"/>
  <c r="F297" i="63"/>
  <c r="F236" i="63"/>
  <c r="F273" i="63"/>
  <c r="F25" i="63"/>
  <c r="F204" i="63"/>
  <c r="F193" i="63"/>
  <c r="F261" i="63"/>
  <c r="F194" i="63"/>
  <c r="F294" i="63"/>
  <c r="F311" i="63"/>
  <c r="F126" i="63"/>
  <c r="F307" i="63"/>
  <c r="F48" i="63"/>
  <c r="F89" i="63"/>
  <c r="F58" i="63"/>
  <c r="F79" i="63"/>
  <c r="F103" i="63"/>
  <c r="F72" i="63"/>
  <c r="F272" i="63"/>
  <c r="F97" i="63"/>
  <c r="F131" i="63"/>
  <c r="F244" i="63"/>
  <c r="F346" i="63"/>
  <c r="F267" i="63"/>
  <c r="F318" i="63"/>
  <c r="J19" i="51" l="1"/>
  <c r="G18" i="52" s="1"/>
  <c r="G21" i="52" s="1"/>
  <c r="N6" i="51"/>
  <c r="F17" i="52" s="1"/>
  <c r="F19" i="52" s="1"/>
  <c r="O7" i="51"/>
  <c r="K18" i="52" s="1"/>
  <c r="K21" i="52" s="1"/>
  <c r="N13" i="51"/>
  <c r="H18" i="52" s="1"/>
  <c r="J18" i="51"/>
  <c r="G17" i="52" s="1"/>
  <c r="G16" i="53" s="1"/>
  <c r="F10" i="53"/>
  <c r="F16" i="53"/>
  <c r="K16" i="53"/>
  <c r="K19" i="52"/>
  <c r="H16" i="53"/>
  <c r="H19" i="52"/>
  <c r="G19" i="52" l="1"/>
  <c r="G19" i="53" s="1"/>
  <c r="G10" i="53"/>
  <c r="H21" i="53"/>
  <c r="H10" i="53"/>
  <c r="T5" i="65"/>
  <c r="AD48" i="65" s="1"/>
  <c r="K10" i="53"/>
  <c r="H20" i="52"/>
  <c r="H20" i="53" s="1"/>
  <c r="H19" i="53"/>
  <c r="H24" i="52"/>
  <c r="H26" i="52" s="1"/>
  <c r="F21" i="53"/>
  <c r="L21" i="52"/>
  <c r="I5" i="65"/>
  <c r="F20" i="52"/>
  <c r="F20" i="53" s="1"/>
  <c r="F19" i="53"/>
  <c r="F24" i="52"/>
  <c r="F26" i="52" s="1"/>
  <c r="G21" i="53"/>
  <c r="L5" i="65"/>
  <c r="Z51" i="65" s="1"/>
  <c r="K20" i="52"/>
  <c r="K20" i="53" s="1"/>
  <c r="K24" i="52"/>
  <c r="K26" i="52" s="1"/>
  <c r="K19" i="53"/>
  <c r="G20" i="52"/>
  <c r="G20" i="53" s="1"/>
  <c r="W55" i="65" l="1"/>
  <c r="W65" i="65"/>
  <c r="M21" i="52"/>
  <c r="X5" i="65" s="1"/>
  <c r="Z65" i="65" s="1"/>
  <c r="G24" i="52"/>
  <c r="G26" i="52" s="1"/>
  <c r="N5" i="65"/>
  <c r="O59" i="65" s="1"/>
  <c r="K21" i="53"/>
  <c r="X48" i="65"/>
  <c r="F22" i="52"/>
  <c r="G30" i="63" s="1"/>
  <c r="G22" i="52"/>
  <c r="K22" i="52"/>
  <c r="H22" i="52"/>
  <c r="L21" i="53"/>
  <c r="V5" i="65"/>
  <c r="R48" i="65"/>
  <c r="L51" i="65"/>
  <c r="U55" i="65" s="1"/>
  <c r="M15" i="65"/>
  <c r="Q65" i="65"/>
  <c r="L59" i="65"/>
  <c r="AB48" i="65" l="1"/>
  <c r="AB55" i="65"/>
  <c r="X51" i="65"/>
  <c r="M21" i="53"/>
  <c r="P15" i="65"/>
  <c r="Q22" i="65" s="1"/>
  <c r="E28" i="65" s="1"/>
  <c r="G62" i="63"/>
  <c r="G264" i="63"/>
  <c r="G46" i="63"/>
  <c r="G307" i="63"/>
  <c r="G218" i="63"/>
  <c r="G314" i="63"/>
  <c r="G131" i="63"/>
  <c r="G362" i="63"/>
  <c r="G322" i="63"/>
  <c r="G302" i="63"/>
  <c r="G203" i="63"/>
  <c r="G212" i="63"/>
  <c r="G222" i="63"/>
  <c r="G213" i="63"/>
  <c r="G316" i="63"/>
  <c r="G326" i="63"/>
  <c r="G304" i="63"/>
  <c r="G69" i="63"/>
  <c r="G21" i="63"/>
  <c r="G296" i="63"/>
  <c r="G290" i="63"/>
  <c r="G73" i="63"/>
  <c r="G48" i="63"/>
  <c r="G28" i="63"/>
  <c r="G214" i="63"/>
  <c r="G149" i="63"/>
  <c r="G82" i="63"/>
  <c r="G284" i="63"/>
  <c r="G279" i="63"/>
  <c r="G175" i="63"/>
  <c r="G305" i="63"/>
  <c r="G366" i="63"/>
  <c r="G195" i="63"/>
  <c r="G255" i="63"/>
  <c r="G291" i="63"/>
  <c r="G135" i="63"/>
  <c r="G334" i="63"/>
  <c r="G58" i="63"/>
  <c r="G95" i="63"/>
  <c r="G182" i="63"/>
  <c r="G157" i="63"/>
  <c r="G337" i="63"/>
  <c r="G120" i="63"/>
  <c r="G96" i="63"/>
  <c r="G142" i="63"/>
  <c r="G160" i="63"/>
  <c r="G267" i="63"/>
  <c r="G259" i="63"/>
  <c r="G25" i="63"/>
  <c r="G191" i="63"/>
  <c r="G348" i="63"/>
  <c r="G274" i="63"/>
  <c r="G311" i="63"/>
  <c r="G132" i="63"/>
  <c r="G18" i="63"/>
  <c r="G178" i="63"/>
  <c r="G140" i="63"/>
  <c r="G23" i="63"/>
  <c r="G90" i="63"/>
  <c r="G145" i="63"/>
  <c r="G231" i="63"/>
  <c r="G335" i="63"/>
  <c r="G166" i="63"/>
  <c r="G325" i="63"/>
  <c r="G363" i="63"/>
  <c r="G361" i="63"/>
  <c r="J65" i="65"/>
  <c r="L48" i="65"/>
  <c r="G183" i="63"/>
  <c r="G189" i="63"/>
  <c r="G57" i="63"/>
  <c r="G151" i="63"/>
  <c r="G250" i="63"/>
  <c r="G162" i="63"/>
  <c r="G346" i="63"/>
  <c r="G323" i="63"/>
  <c r="G356" i="63"/>
  <c r="G56" i="63"/>
  <c r="G188" i="63"/>
  <c r="G209" i="63"/>
  <c r="G237" i="63"/>
  <c r="G185" i="63"/>
  <c r="G248" i="63"/>
  <c r="G84" i="63"/>
  <c r="G220" i="63"/>
  <c r="G206" i="63"/>
  <c r="G89" i="63"/>
  <c r="G47" i="63"/>
  <c r="G253" i="63"/>
  <c r="G88" i="63"/>
  <c r="G297" i="63"/>
  <c r="G238" i="63"/>
  <c r="G230" i="63"/>
  <c r="G232" i="63"/>
  <c r="G130" i="63"/>
  <c r="G372" i="63"/>
  <c r="G251" i="63"/>
  <c r="G79" i="63"/>
  <c r="G315" i="63"/>
  <c r="G65" i="63"/>
  <c r="G51" i="63"/>
  <c r="G210" i="63"/>
  <c r="G36" i="63"/>
  <c r="G60" i="63"/>
  <c r="G204" i="63"/>
  <c r="G105" i="63"/>
  <c r="G377" i="63"/>
  <c r="G192" i="63"/>
  <c r="G66" i="63"/>
  <c r="G59" i="63"/>
  <c r="G370" i="63"/>
  <c r="G286" i="63"/>
  <c r="G101" i="63"/>
  <c r="G332" i="63"/>
  <c r="G240" i="63"/>
  <c r="G161" i="63"/>
  <c r="G91" i="63"/>
  <c r="G376" i="63"/>
  <c r="G147" i="63"/>
  <c r="G67" i="63"/>
  <c r="G219" i="63"/>
  <c r="G374" i="63"/>
  <c r="G168" i="63"/>
  <c r="G184" i="63"/>
  <c r="G143" i="63"/>
  <c r="G271" i="63"/>
  <c r="G137" i="63"/>
  <c r="G113" i="63"/>
  <c r="G179" i="63"/>
  <c r="G22" i="63"/>
  <c r="G76" i="63"/>
  <c r="G275" i="63"/>
  <c r="G32" i="63"/>
  <c r="G173" i="63"/>
  <c r="G352" i="63"/>
  <c r="G285" i="63"/>
  <c r="G272" i="63"/>
  <c r="G115" i="63"/>
  <c r="G148" i="63"/>
  <c r="F22" i="53"/>
  <c r="G93" i="63"/>
  <c r="G31" i="63"/>
  <c r="G216" i="63"/>
  <c r="G134" i="63"/>
  <c r="G38" i="63"/>
  <c r="G86" i="63"/>
  <c r="G44" i="63"/>
  <c r="G294" i="63"/>
  <c r="G202" i="63"/>
  <c r="G221" i="63"/>
  <c r="G367" i="63"/>
  <c r="G234" i="63"/>
  <c r="G39" i="63"/>
  <c r="G282" i="63"/>
  <c r="G63" i="63"/>
  <c r="G320" i="63"/>
  <c r="G300" i="63"/>
  <c r="G139" i="63"/>
  <c r="G288" i="63"/>
  <c r="G81" i="63"/>
  <c r="G360" i="63"/>
  <c r="G128" i="63"/>
  <c r="G299" i="63"/>
  <c r="G136" i="63"/>
  <c r="G276" i="63"/>
  <c r="G169" i="63"/>
  <c r="G174" i="63"/>
  <c r="G224" i="63"/>
  <c r="G165" i="63"/>
  <c r="G198" i="63"/>
  <c r="G187" i="63"/>
  <c r="G241" i="63"/>
  <c r="G64" i="63"/>
  <c r="G75" i="63"/>
  <c r="G197" i="63"/>
  <c r="G261" i="63"/>
  <c r="G72" i="63"/>
  <c r="G215" i="63"/>
  <c r="G92" i="63"/>
  <c r="G199" i="63"/>
  <c r="G114" i="63"/>
  <c r="G42" i="63"/>
  <c r="G273" i="63"/>
  <c r="G158" i="63"/>
  <c r="G236" i="63"/>
  <c r="G70" i="63"/>
  <c r="G152" i="63"/>
  <c r="G80" i="63"/>
  <c r="G53" i="63"/>
  <c r="G125" i="63"/>
  <c r="G247" i="63"/>
  <c r="G303" i="63"/>
  <c r="G262" i="63"/>
  <c r="G163" i="63"/>
  <c r="G177" i="63"/>
  <c r="G235" i="63"/>
  <c r="G246" i="63"/>
  <c r="G119" i="63"/>
  <c r="G338" i="63"/>
  <c r="G154" i="63"/>
  <c r="G99" i="63"/>
  <c r="G103" i="63"/>
  <c r="G329" i="63"/>
  <c r="G124" i="63"/>
  <c r="G116" i="63"/>
  <c r="G318" i="63"/>
  <c r="G310" i="63"/>
  <c r="G170" i="63"/>
  <c r="G50" i="63"/>
  <c r="G85" i="63"/>
  <c r="G289" i="63"/>
  <c r="G29" i="63"/>
  <c r="G52" i="63"/>
  <c r="G355" i="63"/>
  <c r="G244" i="63"/>
  <c r="G146" i="63"/>
  <c r="G74" i="63"/>
  <c r="G242" i="63"/>
  <c r="G153" i="63"/>
  <c r="G365" i="63"/>
  <c r="G112" i="63"/>
  <c r="G83" i="63"/>
  <c r="G172" i="63"/>
  <c r="G287" i="63"/>
  <c r="G331" i="63"/>
  <c r="L22" i="52"/>
  <c r="M372" i="63" s="1"/>
  <c r="G78" i="63"/>
  <c r="G336" i="63"/>
  <c r="G283" i="63"/>
  <c r="G368" i="63"/>
  <c r="G205" i="63"/>
  <c r="G342" i="63"/>
  <c r="G102" i="63"/>
  <c r="G164" i="63"/>
  <c r="G295" i="63"/>
  <c r="G328" i="63"/>
  <c r="G87" i="63"/>
  <c r="G327" i="63"/>
  <c r="G239" i="63"/>
  <c r="G123" i="63"/>
  <c r="G117" i="63"/>
  <c r="G98" i="63"/>
  <c r="G263" i="63"/>
  <c r="G257" i="63"/>
  <c r="G292" i="63"/>
  <c r="G354" i="63"/>
  <c r="G243" i="63"/>
  <c r="G107" i="63"/>
  <c r="G225" i="63"/>
  <c r="G333" i="63"/>
  <c r="G156" i="63"/>
  <c r="G196" i="63"/>
  <c r="G61" i="63"/>
  <c r="G144" i="63"/>
  <c r="G118" i="63"/>
  <c r="G319" i="63"/>
  <c r="G49" i="63"/>
  <c r="G211" i="63"/>
  <c r="G350" i="63"/>
  <c r="G207" i="63"/>
  <c r="G150" i="63"/>
  <c r="G26" i="63"/>
  <c r="G108" i="63"/>
  <c r="G155" i="63"/>
  <c r="G265" i="63"/>
  <c r="G159" i="63"/>
  <c r="G167" i="63"/>
  <c r="G186" i="63"/>
  <c r="G110" i="63"/>
  <c r="G27" i="63"/>
  <c r="G339" i="63"/>
  <c r="G24" i="63"/>
  <c r="I6" i="65"/>
  <c r="G133" i="63"/>
  <c r="G193" i="63"/>
  <c r="G364" i="63"/>
  <c r="G254" i="63"/>
  <c r="G201" i="63"/>
  <c r="G357" i="63"/>
  <c r="G121" i="63"/>
  <c r="G126" i="63"/>
  <c r="G249" i="63"/>
  <c r="G35" i="63"/>
  <c r="G252" i="63"/>
  <c r="G345" i="63"/>
  <c r="G37" i="63"/>
  <c r="G229" i="63"/>
  <c r="G109" i="63"/>
  <c r="G245" i="63"/>
  <c r="G269" i="63"/>
  <c r="G351" i="63"/>
  <c r="G40" i="63"/>
  <c r="G106" i="63"/>
  <c r="G100" i="63"/>
  <c r="G233" i="63"/>
  <c r="G340" i="63"/>
  <c r="G306" i="63"/>
  <c r="G266" i="63"/>
  <c r="G330" i="63"/>
  <c r="G353" i="63"/>
  <c r="G19" i="63"/>
  <c r="G226" i="63"/>
  <c r="G129" i="63"/>
  <c r="G71" i="63"/>
  <c r="G227" i="63"/>
  <c r="G180" i="63"/>
  <c r="G359" i="63"/>
  <c r="G280" i="63"/>
  <c r="G324" i="63"/>
  <c r="G268" i="63"/>
  <c r="G347" i="63"/>
  <c r="G293" i="63"/>
  <c r="G281" i="63"/>
  <c r="G317" i="63"/>
  <c r="G104" i="63"/>
  <c r="G373" i="63"/>
  <c r="G94" i="63"/>
  <c r="G97" i="63"/>
  <c r="G313" i="63"/>
  <c r="G321" i="63"/>
  <c r="G33" i="63"/>
  <c r="Y55" i="65"/>
  <c r="G45" i="63"/>
  <c r="M266" i="63"/>
  <c r="G41" i="63"/>
  <c r="M216" i="63"/>
  <c r="M217" i="63"/>
  <c r="G301" i="63"/>
  <c r="G43" i="63"/>
  <c r="M310" i="63"/>
  <c r="M109" i="63"/>
  <c r="G54" i="63"/>
  <c r="G217" i="63"/>
  <c r="Z48" i="65"/>
  <c r="G228" i="63"/>
  <c r="G258" i="63"/>
  <c r="G190" i="63"/>
  <c r="M371" i="63"/>
  <c r="M359" i="63"/>
  <c r="M281" i="63"/>
  <c r="M41" i="63"/>
  <c r="M137" i="63"/>
  <c r="M177" i="63"/>
  <c r="M248" i="63"/>
  <c r="M122" i="63"/>
  <c r="M28" i="63"/>
  <c r="M349" i="63"/>
  <c r="M206" i="63"/>
  <c r="M132" i="63"/>
  <c r="M312" i="63"/>
  <c r="M367" i="63"/>
  <c r="M51" i="63"/>
  <c r="M49" i="63"/>
  <c r="M47" i="63"/>
  <c r="M163" i="63"/>
  <c r="M147" i="63"/>
  <c r="M182" i="63"/>
  <c r="M133" i="63"/>
  <c r="M44" i="63"/>
  <c r="M118" i="63"/>
  <c r="M292" i="63"/>
  <c r="M318" i="63"/>
  <c r="M181" i="63"/>
  <c r="M63" i="63"/>
  <c r="M93" i="63"/>
  <c r="M99" i="63"/>
  <c r="M283" i="63"/>
  <c r="M97" i="63"/>
  <c r="M205" i="63"/>
  <c r="M158" i="63"/>
  <c r="M174" i="63"/>
  <c r="M356" i="63"/>
  <c r="M77" i="63"/>
  <c r="M197" i="63"/>
  <c r="G341" i="63"/>
  <c r="G308" i="63"/>
  <c r="G312" i="63"/>
  <c r="M309" i="63"/>
  <c r="M30" i="63"/>
  <c r="M23" i="63"/>
  <c r="M144" i="63"/>
  <c r="M127" i="63"/>
  <c r="M240" i="63"/>
  <c r="M98" i="63"/>
  <c r="M236" i="63"/>
  <c r="M143" i="63"/>
  <c r="M289" i="63"/>
  <c r="M65" i="63"/>
  <c r="M224" i="63"/>
  <c r="M250" i="63"/>
  <c r="M64" i="63"/>
  <c r="M166" i="63"/>
  <c r="M33" i="63"/>
  <c r="M304" i="63"/>
  <c r="M245" i="63"/>
  <c r="M104" i="63"/>
  <c r="M366" i="63"/>
  <c r="M94" i="63"/>
  <c r="M258" i="63"/>
  <c r="M180" i="63"/>
  <c r="M150" i="63"/>
  <c r="M336" i="63"/>
  <c r="M334" i="63"/>
  <c r="M256" i="63"/>
  <c r="M141" i="63"/>
  <c r="M151" i="63"/>
  <c r="M368" i="63"/>
  <c r="M279" i="63"/>
  <c r="M272" i="63"/>
  <c r="M204" i="63"/>
  <c r="M52" i="63"/>
  <c r="M24" i="63"/>
  <c r="M31" i="63"/>
  <c r="M341" i="63"/>
  <c r="M162" i="63"/>
  <c r="M303" i="63"/>
  <c r="M229" i="63"/>
  <c r="M326" i="63"/>
  <c r="M100" i="63"/>
  <c r="M333" i="63"/>
  <c r="M316" i="63"/>
  <c r="M81" i="63"/>
  <c r="M78" i="63"/>
  <c r="M140" i="63"/>
  <c r="M58" i="63"/>
  <c r="M337" i="63"/>
  <c r="M343" i="63"/>
  <c r="M211" i="63"/>
  <c r="M214" i="63"/>
  <c r="M269" i="63"/>
  <c r="M139" i="63"/>
  <c r="M322" i="63"/>
  <c r="M297" i="63"/>
  <c r="M320" i="63"/>
  <c r="M300" i="63"/>
  <c r="M46" i="63"/>
  <c r="M40" i="63"/>
  <c r="M254" i="63"/>
  <c r="M119" i="63"/>
  <c r="M88" i="63"/>
  <c r="M117" i="63"/>
  <c r="M45" i="63"/>
  <c r="M91" i="63"/>
  <c r="M219" i="63"/>
  <c r="M374" i="63"/>
  <c r="M311" i="63"/>
  <c r="M331" i="63"/>
  <c r="M194" i="63"/>
  <c r="M34" i="63"/>
  <c r="M357" i="63"/>
  <c r="M354" i="63"/>
  <c r="M253" i="63"/>
  <c r="M306" i="63"/>
  <c r="M53" i="63"/>
  <c r="M22" i="63"/>
  <c r="M168" i="63"/>
  <c r="M176" i="63"/>
  <c r="M145" i="63"/>
  <c r="M339" i="63"/>
  <c r="M377" i="63"/>
  <c r="M123" i="63"/>
  <c r="M319" i="63"/>
  <c r="M178" i="63"/>
  <c r="M267" i="63"/>
  <c r="M221" i="63"/>
  <c r="M249" i="63"/>
  <c r="M173" i="63"/>
  <c r="M243" i="63"/>
  <c r="M255" i="63"/>
  <c r="M212" i="63"/>
  <c r="M340" i="63"/>
  <c r="M242" i="63"/>
  <c r="M208" i="63"/>
  <c r="M29" i="63"/>
  <c r="M156" i="63"/>
  <c r="M62" i="63"/>
  <c r="M293" i="63"/>
  <c r="M365" i="63"/>
  <c r="M187" i="63"/>
  <c r="M287" i="63"/>
  <c r="M27" i="63"/>
  <c r="M193" i="63"/>
  <c r="M222" i="63"/>
  <c r="M285" i="63"/>
  <c r="M37" i="63"/>
  <c r="M301" i="63"/>
  <c r="M56" i="63"/>
  <c r="M103" i="63"/>
  <c r="M215" i="63"/>
  <c r="M73" i="63"/>
  <c r="M305" i="63"/>
  <c r="M228" i="63"/>
  <c r="M189" i="63"/>
  <c r="M302" i="63"/>
  <c r="M120" i="63"/>
  <c r="M332" i="63"/>
  <c r="M257" i="63"/>
  <c r="M271" i="63"/>
  <c r="M19" i="63"/>
  <c r="M80" i="63"/>
  <c r="M68" i="63"/>
  <c r="M252" i="63"/>
  <c r="M358" i="63"/>
  <c r="M308" i="63"/>
  <c r="M54" i="63"/>
  <c r="M265" i="63"/>
  <c r="M89" i="63"/>
  <c r="M225" i="63"/>
  <c r="M296" i="63"/>
  <c r="M26" i="63"/>
  <c r="M171" i="63"/>
  <c r="M284" i="63"/>
  <c r="M235" i="63"/>
  <c r="M270" i="63"/>
  <c r="M124" i="63"/>
  <c r="M234" i="63"/>
  <c r="M129" i="63"/>
  <c r="M244" i="63"/>
  <c r="M298" i="63"/>
  <c r="M134" i="63"/>
  <c r="M203" i="63"/>
  <c r="M364" i="63"/>
  <c r="M75" i="63"/>
  <c r="M86" i="63"/>
  <c r="M299" i="63"/>
  <c r="M76" i="63"/>
  <c r="M259" i="63"/>
  <c r="M321" i="63"/>
  <c r="M200" i="63"/>
  <c r="M153" i="63"/>
  <c r="M149" i="63"/>
  <c r="M152" i="63"/>
  <c r="M294" i="63"/>
  <c r="M220" i="63"/>
  <c r="M373" i="63"/>
  <c r="M48" i="63"/>
  <c r="M230" i="63"/>
  <c r="M330" i="63"/>
  <c r="M363" i="63"/>
  <c r="M185" i="63"/>
  <c r="M39" i="63"/>
  <c r="M239" i="63"/>
  <c r="M186" i="63"/>
  <c r="M142" i="63"/>
  <c r="M251" i="63"/>
  <c r="M328" i="63"/>
  <c r="M175" i="63"/>
  <c r="M112" i="63"/>
  <c r="M274" i="63"/>
  <c r="M202" i="63"/>
  <c r="M260" i="63"/>
  <c r="M170" i="63"/>
  <c r="M210" i="63"/>
  <c r="M126" i="63"/>
  <c r="M25" i="63"/>
  <c r="M159" i="63"/>
  <c r="M273" i="63"/>
  <c r="M183" i="63"/>
  <c r="M108" i="63"/>
  <c r="M218" i="63"/>
  <c r="M352" i="63"/>
  <c r="M263" i="63"/>
  <c r="M160" i="63"/>
  <c r="M138" i="63"/>
  <c r="M342" i="63"/>
  <c r="M50" i="63"/>
  <c r="M95" i="63"/>
  <c r="M190" i="63"/>
  <c r="M96" i="63"/>
  <c r="M167" i="63"/>
  <c r="M329" i="63"/>
  <c r="M136" i="63"/>
  <c r="M146" i="63"/>
  <c r="M67" i="63"/>
  <c r="M192" i="63"/>
  <c r="G111" i="63"/>
  <c r="M317" i="63"/>
  <c r="M233" i="63"/>
  <c r="M21" i="63"/>
  <c r="M115" i="63"/>
  <c r="M247" i="63"/>
  <c r="M232" i="63"/>
  <c r="M199" i="63"/>
  <c r="M157" i="63"/>
  <c r="M335" i="63"/>
  <c r="M164" i="63"/>
  <c r="M87" i="63"/>
  <c r="M277" i="63"/>
  <c r="M237" i="63"/>
  <c r="M43" i="63"/>
  <c r="M327" i="63"/>
  <c r="M165" i="63"/>
  <c r="M348" i="63"/>
  <c r="M324" i="63"/>
  <c r="M345" i="63"/>
  <c r="M376" i="63"/>
  <c r="M111" i="63"/>
  <c r="M84" i="63"/>
  <c r="M106" i="63"/>
  <c r="M161" i="63"/>
  <c r="M188" i="63"/>
  <c r="M288" i="63"/>
  <c r="M346" i="63"/>
  <c r="M286" i="63"/>
  <c r="M35" i="63"/>
  <c r="M246" i="63"/>
  <c r="M209" i="63"/>
  <c r="M184" i="63"/>
  <c r="M264" i="63"/>
  <c r="M121" i="63"/>
  <c r="M113" i="63"/>
  <c r="M102" i="63"/>
  <c r="M42" i="63"/>
  <c r="M36" i="63"/>
  <c r="M169" i="63"/>
  <c r="M344" i="63"/>
  <c r="M71" i="63"/>
  <c r="M223" i="63"/>
  <c r="M79" i="63"/>
  <c r="M207" i="63"/>
  <c r="M282" i="63"/>
  <c r="M325" i="63"/>
  <c r="M128" i="63"/>
  <c r="M362" i="63"/>
  <c r="M110" i="63"/>
  <c r="M107" i="63"/>
  <c r="M350" i="63"/>
  <c r="M20" i="63"/>
  <c r="G369" i="63"/>
  <c r="G208" i="63"/>
  <c r="G127" i="63"/>
  <c r="G138" i="63"/>
  <c r="G77" i="63"/>
  <c r="M347" i="63"/>
  <c r="M18" i="63"/>
  <c r="M241" i="63"/>
  <c r="M276" i="63"/>
  <c r="M195" i="63"/>
  <c r="M154" i="63"/>
  <c r="M90" i="63"/>
  <c r="M198" i="63"/>
  <c r="M268" i="63"/>
  <c r="M313" i="63"/>
  <c r="M355" i="63"/>
  <c r="M179" i="63"/>
  <c r="M261" i="63"/>
  <c r="M85" i="63"/>
  <c r="M353" i="63"/>
  <c r="M155" i="63"/>
  <c r="M114" i="63"/>
  <c r="M262" i="63"/>
  <c r="M66" i="63"/>
  <c r="M196" i="63"/>
  <c r="M278" i="63"/>
  <c r="M83" i="63"/>
  <c r="M226" i="63"/>
  <c r="G171" i="63"/>
  <c r="G176" i="63"/>
  <c r="G68" i="63"/>
  <c r="G141" i="63"/>
  <c r="G223" i="63"/>
  <c r="G344" i="63"/>
  <c r="M275" i="63"/>
  <c r="M130" i="63"/>
  <c r="M55" i="63"/>
  <c r="M231" i="63"/>
  <c r="M125" i="63"/>
  <c r="M290" i="63"/>
  <c r="M307" i="63"/>
  <c r="M101" i="63"/>
  <c r="M338" i="63"/>
  <c r="G256" i="63"/>
  <c r="G298" i="63"/>
  <c r="G260" i="63"/>
  <c r="G349" i="63"/>
  <c r="G181" i="63"/>
  <c r="G375" i="63"/>
  <c r="G34" i="63"/>
  <c r="G270" i="63"/>
  <c r="G277" i="63"/>
  <c r="G200" i="63"/>
  <c r="G55" i="63"/>
  <c r="G194" i="63"/>
  <c r="G358" i="63"/>
  <c r="G371" i="63"/>
  <c r="G122" i="63"/>
  <c r="G278" i="63"/>
  <c r="G309" i="63"/>
  <c r="G20" i="63"/>
  <c r="G343" i="63"/>
  <c r="L22" i="53"/>
  <c r="V6" i="65"/>
  <c r="T6" i="65"/>
  <c r="K22" i="53"/>
  <c r="L347" i="63"/>
  <c r="L58" i="63"/>
  <c r="L186" i="63"/>
  <c r="L227" i="63"/>
  <c r="L191" i="63"/>
  <c r="L324" i="63"/>
  <c r="L152" i="63"/>
  <c r="L53" i="63"/>
  <c r="L63" i="63"/>
  <c r="L139" i="63"/>
  <c r="L133" i="63"/>
  <c r="L165" i="63"/>
  <c r="L285" i="63"/>
  <c r="L117" i="63"/>
  <c r="L376" i="63"/>
  <c r="L339" i="63"/>
  <c r="L97" i="63"/>
  <c r="L325" i="63"/>
  <c r="L46" i="63"/>
  <c r="L75" i="63"/>
  <c r="L109" i="63"/>
  <c r="L364" i="63"/>
  <c r="L315" i="63"/>
  <c r="L149" i="63"/>
  <c r="L258" i="63"/>
  <c r="L42" i="63"/>
  <c r="L304" i="63"/>
  <c r="L170" i="63"/>
  <c r="L36" i="63"/>
  <c r="L155" i="63"/>
  <c r="L192" i="63"/>
  <c r="L337" i="63"/>
  <c r="L303" i="63"/>
  <c r="L178" i="63"/>
  <c r="L289" i="63"/>
  <c r="L19" i="63"/>
  <c r="L102" i="63"/>
  <c r="L64" i="63"/>
  <c r="L166" i="63"/>
  <c r="L233" i="63"/>
  <c r="L240" i="63"/>
  <c r="L251" i="63"/>
  <c r="L164" i="63"/>
  <c r="L288" i="63"/>
  <c r="L143" i="63"/>
  <c r="L232" i="63"/>
  <c r="L273" i="63"/>
  <c r="L213" i="63"/>
  <c r="L190" i="63"/>
  <c r="L28" i="63"/>
  <c r="L122" i="63"/>
  <c r="L299" i="63"/>
  <c r="L99" i="63"/>
  <c r="L35" i="63"/>
  <c r="L270" i="63"/>
  <c r="L322" i="63"/>
  <c r="L372" i="63"/>
  <c r="L113" i="63"/>
  <c r="L335" i="63"/>
  <c r="L340" i="63"/>
  <c r="L198" i="63"/>
  <c r="L363" i="63"/>
  <c r="L176" i="63"/>
  <c r="L267" i="63"/>
  <c r="L368" i="63"/>
  <c r="L114" i="63"/>
  <c r="L73" i="63"/>
  <c r="L343" i="63"/>
  <c r="L56" i="63"/>
  <c r="L188" i="63"/>
  <c r="L308" i="63"/>
  <c r="L137" i="63"/>
  <c r="L182" i="63"/>
  <c r="L126" i="63"/>
  <c r="L43" i="63"/>
  <c r="L334" i="63"/>
  <c r="L183" i="63"/>
  <c r="L27" i="63"/>
  <c r="L274" i="63"/>
  <c r="L235" i="63"/>
  <c r="L135" i="63"/>
  <c r="L373" i="63"/>
  <c r="L312" i="63"/>
  <c r="L111" i="63"/>
  <c r="L146" i="63"/>
  <c r="L311" i="63"/>
  <c r="L266" i="63"/>
  <c r="L216" i="63"/>
  <c r="L125" i="63"/>
  <c r="L127" i="63"/>
  <c r="L140" i="63"/>
  <c r="L221" i="63"/>
  <c r="L57" i="63"/>
  <c r="L138" i="63"/>
  <c r="L338" i="63"/>
  <c r="L295" i="63"/>
  <c r="L101" i="63"/>
  <c r="L265" i="63"/>
  <c r="L352" i="63"/>
  <c r="L61" i="63"/>
  <c r="L377" i="63"/>
  <c r="L296" i="63"/>
  <c r="L264" i="63"/>
  <c r="L205" i="63"/>
  <c r="L355" i="63"/>
  <c r="L110" i="63"/>
  <c r="L313" i="63"/>
  <c r="L333" i="63"/>
  <c r="L76" i="63"/>
  <c r="L369" i="63"/>
  <c r="L252" i="63"/>
  <c r="L132" i="63"/>
  <c r="L354" i="63"/>
  <c r="L290" i="63"/>
  <c r="L282" i="63"/>
  <c r="L223" i="63"/>
  <c r="L70" i="63"/>
  <c r="L365" i="63"/>
  <c r="L83" i="63"/>
  <c r="L375" i="63"/>
  <c r="L45" i="63"/>
  <c r="L72" i="63"/>
  <c r="L160" i="63"/>
  <c r="L184" i="63"/>
  <c r="L291" i="63"/>
  <c r="L134" i="63"/>
  <c r="L257" i="63"/>
  <c r="L157" i="63"/>
  <c r="L93" i="63"/>
  <c r="L247" i="63"/>
  <c r="L123" i="63"/>
  <c r="L131" i="63"/>
  <c r="L255" i="63"/>
  <c r="L112" i="63"/>
  <c r="L33" i="63"/>
  <c r="L230" i="63"/>
  <c r="L294" i="63"/>
  <c r="L374" i="63"/>
  <c r="L144" i="63"/>
  <c r="L292" i="63"/>
  <c r="L154" i="63"/>
  <c r="L331" i="63"/>
  <c r="L52" i="63"/>
  <c r="L219" i="63"/>
  <c r="L121" i="63"/>
  <c r="L246" i="63"/>
  <c r="L327" i="63"/>
  <c r="L243" i="63"/>
  <c r="L222" i="63"/>
  <c r="L210" i="63"/>
  <c r="L287" i="63"/>
  <c r="L62" i="63"/>
  <c r="L100" i="63"/>
  <c r="L120" i="63"/>
  <c r="L199" i="63"/>
  <c r="L268" i="63"/>
  <c r="L115" i="63"/>
  <c r="L236" i="63"/>
  <c r="L68" i="63"/>
  <c r="L336" i="63"/>
  <c r="L225" i="63"/>
  <c r="L41" i="63"/>
  <c r="L367" i="63"/>
  <c r="L276" i="63"/>
  <c r="L156" i="63"/>
  <c r="L69" i="63"/>
  <c r="L226" i="63"/>
  <c r="L23" i="63"/>
  <c r="L248" i="63"/>
  <c r="L359" i="63"/>
  <c r="L151" i="63"/>
  <c r="L344" i="63"/>
  <c r="L309" i="63"/>
  <c r="L124" i="63"/>
  <c r="L360" i="63"/>
  <c r="L316" i="63"/>
  <c r="L242" i="63"/>
  <c r="L32" i="63"/>
  <c r="L81" i="63"/>
  <c r="L218" i="63"/>
  <c r="L105" i="63"/>
  <c r="L116" i="63"/>
  <c r="L39" i="63"/>
  <c r="L194" i="63"/>
  <c r="L239" i="63"/>
  <c r="L241" i="63"/>
  <c r="L20" i="63"/>
  <c r="L94" i="63"/>
  <c r="L173" i="63"/>
  <c r="L108" i="63"/>
  <c r="L84" i="63"/>
  <c r="L362" i="63"/>
  <c r="L77" i="63"/>
  <c r="L302" i="63"/>
  <c r="L250" i="63"/>
  <c r="L328" i="63"/>
  <c r="L136" i="63"/>
  <c r="L351" i="63"/>
  <c r="L317" i="63"/>
  <c r="L91" i="63"/>
  <c r="L224" i="63"/>
  <c r="L22" i="63"/>
  <c r="L163" i="63"/>
  <c r="L217" i="63"/>
  <c r="L169" i="63"/>
  <c r="L281" i="63"/>
  <c r="L106" i="63"/>
  <c r="L269" i="63"/>
  <c r="L189" i="63"/>
  <c r="L18" i="63"/>
  <c r="L88" i="63"/>
  <c r="L89" i="63"/>
  <c r="L307" i="63"/>
  <c r="L253" i="63"/>
  <c r="L142" i="63"/>
  <c r="L95" i="63"/>
  <c r="L318" i="63"/>
  <c r="L204" i="63"/>
  <c r="L38" i="63"/>
  <c r="L212" i="63"/>
  <c r="L301" i="63"/>
  <c r="L174" i="63"/>
  <c r="L181" i="63"/>
  <c r="L26" i="63"/>
  <c r="L180" i="63"/>
  <c r="L300" i="63"/>
  <c r="L60" i="63"/>
  <c r="L259" i="63"/>
  <c r="L103" i="63"/>
  <c r="L37" i="63"/>
  <c r="L358" i="63"/>
  <c r="L118" i="63"/>
  <c r="L200" i="63"/>
  <c r="L366" i="63"/>
  <c r="L71" i="63"/>
  <c r="L159" i="63"/>
  <c r="L201" i="63"/>
  <c r="L332" i="63"/>
  <c r="L107" i="63"/>
  <c r="L161" i="63"/>
  <c r="L29" i="63"/>
  <c r="L145" i="63"/>
  <c r="L238" i="63"/>
  <c r="L24" i="63"/>
  <c r="L148" i="63"/>
  <c r="L237" i="63"/>
  <c r="L153" i="63"/>
  <c r="L349" i="63"/>
  <c r="L86" i="63"/>
  <c r="L350" i="63"/>
  <c r="L283" i="63"/>
  <c r="L231" i="63"/>
  <c r="L275" i="63"/>
  <c r="L279" i="63"/>
  <c r="L263" i="63"/>
  <c r="L215" i="63"/>
  <c r="L40" i="63"/>
  <c r="L209" i="63"/>
  <c r="L272" i="63"/>
  <c r="L261" i="63"/>
  <c r="L162" i="63"/>
  <c r="L321" i="63"/>
  <c r="L297" i="63"/>
  <c r="L278" i="63"/>
  <c r="L177" i="63"/>
  <c r="L92" i="63"/>
  <c r="L306" i="63"/>
  <c r="L280" i="63"/>
  <c r="L150" i="63"/>
  <c r="L51" i="63"/>
  <c r="L356" i="63"/>
  <c r="L228" i="63"/>
  <c r="L50" i="63"/>
  <c r="L314" i="63"/>
  <c r="L197" i="63"/>
  <c r="L104" i="63"/>
  <c r="L245" i="63"/>
  <c r="L49" i="63"/>
  <c r="L293" i="63"/>
  <c r="L196" i="63"/>
  <c r="L249" i="63"/>
  <c r="L277" i="63"/>
  <c r="L208" i="63"/>
  <c r="L44" i="63"/>
  <c r="L271" i="63"/>
  <c r="L341" i="63"/>
  <c r="L206" i="63"/>
  <c r="L172" i="63"/>
  <c r="L119" i="63"/>
  <c r="L147" i="63"/>
  <c r="L357" i="63"/>
  <c r="L130" i="63"/>
  <c r="L193" i="63"/>
  <c r="L320" i="63"/>
  <c r="L370" i="63"/>
  <c r="L286" i="63"/>
  <c r="L59" i="63"/>
  <c r="L54" i="63"/>
  <c r="L31" i="63"/>
  <c r="L175" i="63"/>
  <c r="L202" i="63"/>
  <c r="L319" i="63"/>
  <c r="L348" i="63"/>
  <c r="L187" i="63"/>
  <c r="L80" i="63"/>
  <c r="L342" i="63"/>
  <c r="L203" i="63"/>
  <c r="L66" i="63"/>
  <c r="L185" i="63"/>
  <c r="L98" i="63"/>
  <c r="L74" i="63"/>
  <c r="L329" i="63"/>
  <c r="L25" i="63"/>
  <c r="L346" i="63"/>
  <c r="L65" i="63"/>
  <c r="L229" i="63"/>
  <c r="L167" i="63"/>
  <c r="L30" i="63"/>
  <c r="L254" i="63"/>
  <c r="L82" i="63"/>
  <c r="L353" i="63"/>
  <c r="L214" i="63"/>
  <c r="L168" i="63"/>
  <c r="L260" i="63"/>
  <c r="L87" i="63"/>
  <c r="L171" i="63"/>
  <c r="L305" i="63"/>
  <c r="L141" i="63"/>
  <c r="L90" i="63"/>
  <c r="L158" i="63"/>
  <c r="L48" i="63"/>
  <c r="L234" i="63"/>
  <c r="L361" i="63"/>
  <c r="L128" i="63"/>
  <c r="L55" i="63"/>
  <c r="L34" i="63"/>
  <c r="L345" i="63"/>
  <c r="L326" i="63"/>
  <c r="L207" i="63"/>
  <c r="L21" i="63"/>
  <c r="L371" i="63"/>
  <c r="L220" i="63"/>
  <c r="L195" i="63"/>
  <c r="L47" i="63"/>
  <c r="L284" i="63"/>
  <c r="L129" i="63"/>
  <c r="L323" i="63"/>
  <c r="L79" i="63"/>
  <c r="L330" i="63"/>
  <c r="L78" i="63"/>
  <c r="L85" i="63"/>
  <c r="L179" i="63"/>
  <c r="L298" i="63"/>
  <c r="L96" i="63"/>
  <c r="L262" i="63"/>
  <c r="L310" i="63"/>
  <c r="L256" i="63"/>
  <c r="L244" i="63"/>
  <c r="L67" i="63"/>
  <c r="L211" i="63"/>
  <c r="L6" i="65"/>
  <c r="G22" i="53"/>
  <c r="H335" i="63"/>
  <c r="H143" i="63"/>
  <c r="H146" i="63"/>
  <c r="H318" i="63"/>
  <c r="H204" i="63"/>
  <c r="H321" i="63"/>
  <c r="H265" i="63"/>
  <c r="H320" i="63"/>
  <c r="H119" i="63"/>
  <c r="H155" i="63"/>
  <c r="H128" i="63"/>
  <c r="H248" i="63"/>
  <c r="H242" i="63"/>
  <c r="H232" i="63"/>
  <c r="H324" i="63"/>
  <c r="H252" i="63"/>
  <c r="H135" i="63"/>
  <c r="H361" i="63"/>
  <c r="H96" i="63"/>
  <c r="H334" i="63"/>
  <c r="H31" i="63"/>
  <c r="H64" i="63"/>
  <c r="H185" i="63"/>
  <c r="H297" i="63"/>
  <c r="H192" i="63"/>
  <c r="H106" i="63"/>
  <c r="H89" i="63"/>
  <c r="H317" i="63"/>
  <c r="H178" i="63"/>
  <c r="H215" i="63"/>
  <c r="H220" i="63"/>
  <c r="H289" i="63"/>
  <c r="H195" i="63"/>
  <c r="H258" i="63"/>
  <c r="H49" i="63"/>
  <c r="H152" i="63"/>
  <c r="H272" i="63"/>
  <c r="H26" i="63"/>
  <c r="H305" i="63"/>
  <c r="H43" i="63"/>
  <c r="H63" i="63"/>
  <c r="H217" i="63"/>
  <c r="H227" i="63"/>
  <c r="H296" i="63"/>
  <c r="H343" i="63"/>
  <c r="H80" i="63"/>
  <c r="H78" i="63"/>
  <c r="H169" i="63"/>
  <c r="H357" i="63"/>
  <c r="H191" i="63"/>
  <c r="H62" i="63"/>
  <c r="H312" i="63"/>
  <c r="H285" i="63"/>
  <c r="H54" i="63"/>
  <c r="H194" i="63"/>
  <c r="H84" i="63"/>
  <c r="H35" i="63"/>
  <c r="H105" i="63"/>
  <c r="H247" i="63"/>
  <c r="H219" i="63"/>
  <c r="H330" i="63"/>
  <c r="H182" i="63"/>
  <c r="H352" i="63"/>
  <c r="H264" i="63"/>
  <c r="H44" i="63"/>
  <c r="H280" i="63"/>
  <c r="H260" i="63"/>
  <c r="H69" i="63"/>
  <c r="H117" i="63"/>
  <c r="H48" i="63"/>
  <c r="H241" i="63"/>
  <c r="H20" i="63"/>
  <c r="H235" i="63"/>
  <c r="H130" i="63"/>
  <c r="H239" i="63"/>
  <c r="H274" i="63"/>
  <c r="H307" i="63"/>
  <c r="H36" i="63"/>
  <c r="H259" i="63"/>
  <c r="H70" i="63"/>
  <c r="H181" i="63"/>
  <c r="H110" i="63"/>
  <c r="H322" i="63"/>
  <c r="H145" i="63"/>
  <c r="H350" i="63"/>
  <c r="H41" i="63"/>
  <c r="H61" i="63"/>
  <c r="H164" i="63"/>
  <c r="H254" i="63"/>
  <c r="H73" i="63"/>
  <c r="H371" i="63"/>
  <c r="H216" i="63"/>
  <c r="H299" i="63"/>
  <c r="H292" i="63"/>
  <c r="H369" i="63"/>
  <c r="H256" i="63"/>
  <c r="H283" i="63"/>
  <c r="H316" i="63"/>
  <c r="H209" i="63"/>
  <c r="H50" i="63"/>
  <c r="H266" i="63"/>
  <c r="H345" i="63"/>
  <c r="H75" i="63"/>
  <c r="H71" i="63"/>
  <c r="H79" i="63"/>
  <c r="H129" i="63"/>
  <c r="H269" i="63"/>
  <c r="H221" i="63"/>
  <c r="H161" i="63"/>
  <c r="H66" i="63"/>
  <c r="H240" i="63"/>
  <c r="H180" i="63"/>
  <c r="H314" i="63"/>
  <c r="H148" i="63"/>
  <c r="H170" i="63"/>
  <c r="H76" i="63"/>
  <c r="H234" i="63"/>
  <c r="H30" i="63"/>
  <c r="H142" i="63"/>
  <c r="H340" i="63"/>
  <c r="H284" i="63"/>
  <c r="H45" i="63"/>
  <c r="H243" i="63"/>
  <c r="H325" i="63"/>
  <c r="H313" i="63"/>
  <c r="H214" i="63"/>
  <c r="H56" i="63"/>
  <c r="H261" i="63"/>
  <c r="H171" i="63"/>
  <c r="H122" i="63"/>
  <c r="H364" i="63"/>
  <c r="H139" i="63"/>
  <c r="H176" i="63"/>
  <c r="H83" i="63"/>
  <c r="H150" i="63"/>
  <c r="H190" i="63"/>
  <c r="H94" i="63"/>
  <c r="H114" i="63"/>
  <c r="H298" i="63"/>
  <c r="H249" i="63"/>
  <c r="H372" i="63"/>
  <c r="H154" i="63"/>
  <c r="H188" i="63"/>
  <c r="H326" i="63"/>
  <c r="H251" i="63"/>
  <c r="H323" i="63"/>
  <c r="H231" i="63"/>
  <c r="H331" i="63"/>
  <c r="H225" i="63"/>
  <c r="H344" i="63"/>
  <c r="H303" i="63"/>
  <c r="H37" i="63"/>
  <c r="H184" i="63"/>
  <c r="H336" i="63"/>
  <c r="H113" i="63"/>
  <c r="H125" i="63"/>
  <c r="H86" i="63"/>
  <c r="H175" i="63"/>
  <c r="H88" i="63"/>
  <c r="H202" i="63"/>
  <c r="H295" i="63"/>
  <c r="H250" i="63"/>
  <c r="H359" i="63"/>
  <c r="H193" i="63"/>
  <c r="H374" i="63"/>
  <c r="H137" i="63"/>
  <c r="H25" i="63"/>
  <c r="H363" i="63"/>
  <c r="H360" i="63"/>
  <c r="H199" i="63"/>
  <c r="H267" i="63"/>
  <c r="H288" i="63"/>
  <c r="H271" i="63"/>
  <c r="H53" i="63"/>
  <c r="H329" i="63"/>
  <c r="H126" i="63"/>
  <c r="H311" i="63"/>
  <c r="H346" i="63"/>
  <c r="H115" i="63"/>
  <c r="H28" i="63"/>
  <c r="H46" i="63"/>
  <c r="H74" i="63"/>
  <c r="H127" i="63"/>
  <c r="H104" i="63"/>
  <c r="H22" i="63"/>
  <c r="H141" i="63"/>
  <c r="H39" i="63"/>
  <c r="H183" i="63"/>
  <c r="H160" i="63"/>
  <c r="H349" i="63"/>
  <c r="H342" i="63"/>
  <c r="H212" i="63"/>
  <c r="H222" i="63"/>
  <c r="H157" i="63"/>
  <c r="H57" i="63"/>
  <c r="H33" i="63"/>
  <c r="H85" i="63"/>
  <c r="H68" i="63"/>
  <c r="H353" i="63"/>
  <c r="H213" i="63"/>
  <c r="H210" i="63"/>
  <c r="H310" i="63"/>
  <c r="H290" i="63"/>
  <c r="H348" i="63"/>
  <c r="H67" i="63"/>
  <c r="H132" i="63"/>
  <c r="H65" i="63"/>
  <c r="H375" i="63"/>
  <c r="H373" i="63"/>
  <c r="H358" i="63"/>
  <c r="H179" i="63"/>
  <c r="H42" i="63"/>
  <c r="H255" i="63"/>
  <c r="H377" i="63"/>
  <c r="H218" i="63"/>
  <c r="H291" i="63"/>
  <c r="H337" i="63"/>
  <c r="H282" i="63"/>
  <c r="H82" i="63"/>
  <c r="H201" i="63"/>
  <c r="H100" i="63"/>
  <c r="H40" i="63"/>
  <c r="H189" i="63"/>
  <c r="H131" i="63"/>
  <c r="H281" i="63"/>
  <c r="H354" i="63"/>
  <c r="H18" i="63"/>
  <c r="H339" i="63"/>
  <c r="H286" i="63"/>
  <c r="H355" i="63"/>
  <c r="H121" i="63"/>
  <c r="H134" i="63"/>
  <c r="H52" i="63"/>
  <c r="H116" i="63"/>
  <c r="H24" i="63"/>
  <c r="H278" i="63"/>
  <c r="H228" i="63"/>
  <c r="H118" i="63"/>
  <c r="H200" i="63"/>
  <c r="H101" i="63"/>
  <c r="H87" i="63"/>
  <c r="H136" i="63"/>
  <c r="H367" i="63"/>
  <c r="H144" i="63"/>
  <c r="H366" i="63"/>
  <c r="H333" i="63"/>
  <c r="H270" i="63"/>
  <c r="H196" i="63"/>
  <c r="H309" i="63"/>
  <c r="H151" i="63"/>
  <c r="H174" i="63"/>
  <c r="H93" i="63"/>
  <c r="H327" i="63"/>
  <c r="H300" i="63"/>
  <c r="H158" i="63"/>
  <c r="H27" i="63"/>
  <c r="H21" i="63"/>
  <c r="H112" i="63"/>
  <c r="H308" i="63"/>
  <c r="H351" i="63"/>
  <c r="H203" i="63"/>
  <c r="H224" i="63"/>
  <c r="H230" i="63"/>
  <c r="H356" i="63"/>
  <c r="H111" i="63"/>
  <c r="H138" i="63"/>
  <c r="H301" i="63"/>
  <c r="H211" i="63"/>
  <c r="H172" i="63"/>
  <c r="H365" i="63"/>
  <c r="H123" i="63"/>
  <c r="H208" i="63"/>
  <c r="H92" i="63"/>
  <c r="H147" i="63"/>
  <c r="H23" i="63"/>
  <c r="H275" i="63"/>
  <c r="H186" i="63"/>
  <c r="H109" i="63"/>
  <c r="H166" i="63"/>
  <c r="H319" i="63"/>
  <c r="H205" i="63"/>
  <c r="H90" i="63"/>
  <c r="H58" i="63"/>
  <c r="H338" i="63"/>
  <c r="H140" i="63"/>
  <c r="H38" i="63"/>
  <c r="H236" i="63"/>
  <c r="H262" i="63"/>
  <c r="H32" i="63"/>
  <c r="H91" i="63"/>
  <c r="H294" i="63"/>
  <c r="H107" i="63"/>
  <c r="H29" i="63"/>
  <c r="H159" i="63"/>
  <c r="H103" i="63"/>
  <c r="H162" i="63"/>
  <c r="H207" i="63"/>
  <c r="H332" i="63"/>
  <c r="H72" i="63"/>
  <c r="H233" i="63"/>
  <c r="H229" i="63"/>
  <c r="H279" i="63"/>
  <c r="H304" i="63"/>
  <c r="H277" i="63"/>
  <c r="H362" i="63"/>
  <c r="H149" i="63"/>
  <c r="H302" i="63"/>
  <c r="H77" i="63"/>
  <c r="H263" i="63"/>
  <c r="H306" i="63"/>
  <c r="H55" i="63"/>
  <c r="H168" i="63"/>
  <c r="H237" i="63"/>
  <c r="H165" i="63"/>
  <c r="H347" i="63"/>
  <c r="H273" i="63"/>
  <c r="H153" i="63"/>
  <c r="H341" i="63"/>
  <c r="H197" i="63"/>
  <c r="H198" i="63"/>
  <c r="H34" i="63"/>
  <c r="H268" i="63"/>
  <c r="H19" i="63"/>
  <c r="H108" i="63"/>
  <c r="H238" i="63"/>
  <c r="H120" i="63"/>
  <c r="H97" i="63"/>
  <c r="H287" i="63"/>
  <c r="H59" i="63"/>
  <c r="H60" i="63"/>
  <c r="H328" i="63"/>
  <c r="H102" i="63"/>
  <c r="H376" i="63"/>
  <c r="H124" i="63"/>
  <c r="H244" i="63"/>
  <c r="H246" i="63"/>
  <c r="H206" i="63"/>
  <c r="H293" i="63"/>
  <c r="H81" i="63"/>
  <c r="H163" i="63"/>
  <c r="H98" i="63"/>
  <c r="H187" i="63"/>
  <c r="H257" i="63"/>
  <c r="H368" i="63"/>
  <c r="H177" i="63"/>
  <c r="H315" i="63"/>
  <c r="H167" i="63"/>
  <c r="H223" i="63"/>
  <c r="H51" i="63"/>
  <c r="H370" i="63"/>
  <c r="H245" i="63"/>
  <c r="H276" i="63"/>
  <c r="H47" i="63"/>
  <c r="H173" i="63"/>
  <c r="H156" i="63"/>
  <c r="H99" i="63"/>
  <c r="H95" i="63"/>
  <c r="H226" i="63"/>
  <c r="H133" i="63"/>
  <c r="H253" i="63"/>
  <c r="N22" i="65"/>
  <c r="F16" i="65"/>
  <c r="U18" i="65" s="1"/>
  <c r="X18" i="65" s="1"/>
  <c r="U151" i="65" s="1"/>
  <c r="M22" i="52"/>
  <c r="H22" i="53"/>
  <c r="N6" i="65"/>
  <c r="I261" i="63"/>
  <c r="I180" i="63"/>
  <c r="I292" i="63"/>
  <c r="I361" i="63"/>
  <c r="I21" i="63"/>
  <c r="I297" i="63"/>
  <c r="I69" i="63"/>
  <c r="I27" i="63"/>
  <c r="I182" i="63"/>
  <c r="I145" i="63"/>
  <c r="I74" i="63"/>
  <c r="I53" i="63"/>
  <c r="I92" i="63"/>
  <c r="I301" i="63"/>
  <c r="I371" i="63"/>
  <c r="I257" i="63"/>
  <c r="I322" i="63"/>
  <c r="I29" i="63"/>
  <c r="I333" i="63"/>
  <c r="I281" i="63"/>
  <c r="I312" i="63"/>
  <c r="I284" i="63"/>
  <c r="I34" i="63"/>
  <c r="I116" i="63"/>
  <c r="I235" i="63"/>
  <c r="I340" i="63"/>
  <c r="I40" i="63"/>
  <c r="I205" i="63"/>
  <c r="I134" i="63"/>
  <c r="I157" i="63"/>
  <c r="I112" i="63"/>
  <c r="I62" i="63"/>
  <c r="I189" i="63"/>
  <c r="I72" i="63"/>
  <c r="I360" i="63"/>
  <c r="I118" i="63"/>
  <c r="I158" i="63"/>
  <c r="I354" i="63"/>
  <c r="I251" i="63"/>
  <c r="I377" i="63"/>
  <c r="I231" i="63"/>
  <c r="I264" i="63"/>
  <c r="I103" i="63"/>
  <c r="I133" i="63"/>
  <c r="I279" i="63"/>
  <c r="I355" i="63"/>
  <c r="I177" i="63"/>
  <c r="I131" i="63"/>
  <c r="I164" i="63"/>
  <c r="I335" i="63"/>
  <c r="I254" i="63"/>
  <c r="I277" i="63"/>
  <c r="I198" i="63"/>
  <c r="I153" i="63"/>
  <c r="I194" i="63"/>
  <c r="I149" i="63"/>
  <c r="I241" i="63"/>
  <c r="I192" i="63"/>
  <c r="I265" i="63"/>
  <c r="I326" i="63"/>
  <c r="I123" i="63"/>
  <c r="I109" i="63"/>
  <c r="I315" i="63"/>
  <c r="I223" i="63"/>
  <c r="I295" i="63"/>
  <c r="I259" i="63"/>
  <c r="I77" i="63"/>
  <c r="I216" i="63"/>
  <c r="I144" i="63"/>
  <c r="I197" i="63"/>
  <c r="I352" i="63"/>
  <c r="I59" i="63"/>
  <c r="I79" i="63"/>
  <c r="I102" i="63"/>
  <c r="I49" i="63"/>
  <c r="I320" i="63"/>
  <c r="I273" i="63"/>
  <c r="I95" i="63"/>
  <c r="I290" i="63"/>
  <c r="I107" i="63"/>
  <c r="I373" i="63"/>
  <c r="I50" i="63"/>
  <c r="I169" i="63"/>
  <c r="I209" i="63"/>
  <c r="I323" i="63"/>
  <c r="I54" i="63"/>
  <c r="I111" i="63"/>
  <c r="I45" i="63"/>
  <c r="I224" i="63"/>
  <c r="I221" i="63"/>
  <c r="I248" i="63"/>
  <c r="I347" i="63"/>
  <c r="I330" i="63"/>
  <c r="I283" i="63"/>
  <c r="I114" i="63"/>
  <c r="I156" i="63"/>
  <c r="I206" i="63"/>
  <c r="I42" i="63"/>
  <c r="I278" i="63"/>
  <c r="I291" i="63"/>
  <c r="I307" i="63"/>
  <c r="I293" i="63"/>
  <c r="I311" i="63"/>
  <c r="I162" i="63"/>
  <c r="I289" i="63"/>
  <c r="I188" i="63"/>
  <c r="I28" i="63"/>
  <c r="I344" i="63"/>
  <c r="I362" i="63"/>
  <c r="I280" i="63"/>
  <c r="I147" i="63"/>
  <c r="I313" i="63"/>
  <c r="I287" i="63"/>
  <c r="I161" i="63"/>
  <c r="I71" i="63"/>
  <c r="I44" i="63"/>
  <c r="I97" i="63"/>
  <c r="I26" i="63"/>
  <c r="I359" i="63"/>
  <c r="I348" i="63"/>
  <c r="I82" i="63"/>
  <c r="I219" i="63"/>
  <c r="I353" i="63"/>
  <c r="I41" i="63"/>
  <c r="I256" i="63"/>
  <c r="I100" i="63"/>
  <c r="I61" i="63"/>
  <c r="I239" i="63"/>
  <c r="I296" i="63"/>
  <c r="I106" i="63"/>
  <c r="I23" i="63"/>
  <c r="I154" i="63"/>
  <c r="I200" i="63"/>
  <c r="I309" i="63"/>
  <c r="I60" i="63"/>
  <c r="I270" i="63"/>
  <c r="I332" i="63"/>
  <c r="I83" i="63"/>
  <c r="I246" i="63"/>
  <c r="I52" i="63"/>
  <c r="I303" i="63"/>
  <c r="I285" i="63"/>
  <c r="I167" i="63"/>
  <c r="I135" i="63"/>
  <c r="I43" i="63"/>
  <c r="I67" i="63"/>
  <c r="I242" i="63"/>
  <c r="I31" i="63"/>
  <c r="I138" i="63"/>
  <c r="I350" i="63"/>
  <c r="I268" i="63"/>
  <c r="I65" i="63"/>
  <c r="I247" i="63"/>
  <c r="I88" i="63"/>
  <c r="I336" i="63"/>
  <c r="I346" i="63"/>
  <c r="I260" i="63"/>
  <c r="I125" i="63"/>
  <c r="I80" i="63"/>
  <c r="I24" i="63"/>
  <c r="I334" i="63"/>
  <c r="I262" i="63"/>
  <c r="I63" i="63"/>
  <c r="I76" i="63"/>
  <c r="I208" i="63"/>
  <c r="I48" i="63"/>
  <c r="I302" i="63"/>
  <c r="I46" i="63"/>
  <c r="I234" i="63"/>
  <c r="I369" i="63"/>
  <c r="I343" i="63"/>
  <c r="I139" i="63"/>
  <c r="I342" i="63"/>
  <c r="I367" i="63"/>
  <c r="I37" i="63"/>
  <c r="I32" i="63"/>
  <c r="I222" i="63"/>
  <c r="I33" i="63"/>
  <c r="I364" i="63"/>
  <c r="I363" i="63"/>
  <c r="I214" i="63"/>
  <c r="I185" i="63"/>
  <c r="I372" i="63"/>
  <c r="I121" i="63"/>
  <c r="I120" i="63"/>
  <c r="I186" i="63"/>
  <c r="I183" i="63"/>
  <c r="I195" i="63"/>
  <c r="I237" i="63"/>
  <c r="I202" i="63"/>
  <c r="I152" i="63"/>
  <c r="I129" i="63"/>
  <c r="I300" i="63"/>
  <c r="I327" i="63"/>
  <c r="I179" i="63"/>
  <c r="I160" i="63"/>
  <c r="I240" i="63"/>
  <c r="I286" i="63"/>
  <c r="I104" i="63"/>
  <c r="I94" i="63"/>
  <c r="I319" i="63"/>
  <c r="I310" i="63"/>
  <c r="I85" i="63"/>
  <c r="I51" i="63"/>
  <c r="I207" i="63"/>
  <c r="I366" i="63"/>
  <c r="I370" i="63"/>
  <c r="I66" i="63"/>
  <c r="I244" i="63"/>
  <c r="I365" i="63"/>
  <c r="I137" i="63"/>
  <c r="I181" i="63"/>
  <c r="I325" i="63"/>
  <c r="I159" i="63"/>
  <c r="I267" i="63"/>
  <c r="I324" i="63"/>
  <c r="I173" i="63"/>
  <c r="I306" i="63"/>
  <c r="I35" i="63"/>
  <c r="I172" i="63"/>
  <c r="I19" i="63"/>
  <c r="I126" i="63"/>
  <c r="I124" i="63"/>
  <c r="I255" i="63"/>
  <c r="I91" i="63"/>
  <c r="I316" i="63"/>
  <c r="I108" i="63"/>
  <c r="I70" i="63"/>
  <c r="I86" i="63"/>
  <c r="I191" i="63"/>
  <c r="I168" i="63"/>
  <c r="I253" i="63"/>
  <c r="I227" i="63"/>
  <c r="I238" i="63"/>
  <c r="I22" i="63"/>
  <c r="I81" i="63"/>
  <c r="I96" i="63"/>
  <c r="I127" i="63"/>
  <c r="I166" i="63"/>
  <c r="I122" i="63"/>
  <c r="I203" i="63"/>
  <c r="I230" i="63"/>
  <c r="I266" i="63"/>
  <c r="I171" i="63"/>
  <c r="I155" i="63"/>
  <c r="I68" i="63"/>
  <c r="I25" i="63"/>
  <c r="I358" i="63"/>
  <c r="I243" i="63"/>
  <c r="I288" i="63"/>
  <c r="I132" i="63"/>
  <c r="I175" i="63"/>
  <c r="I329" i="63"/>
  <c r="I351" i="63"/>
  <c r="I75" i="63"/>
  <c r="I263" i="63"/>
  <c r="I282" i="63"/>
  <c r="I143" i="63"/>
  <c r="I245" i="63"/>
  <c r="I211" i="63"/>
  <c r="I232" i="63"/>
  <c r="I252" i="63"/>
  <c r="I229" i="63"/>
  <c r="I357" i="63"/>
  <c r="I249" i="63"/>
  <c r="I113" i="63"/>
  <c r="I178" i="63"/>
  <c r="I304" i="63"/>
  <c r="I73" i="63"/>
  <c r="I165" i="63"/>
  <c r="I47" i="63"/>
  <c r="I142" i="63"/>
  <c r="I110" i="63"/>
  <c r="I345" i="63"/>
  <c r="I220" i="63"/>
  <c r="I305" i="63"/>
  <c r="I39" i="63"/>
  <c r="I298" i="63"/>
  <c r="I318" i="63"/>
  <c r="I217" i="63"/>
  <c r="I201" i="63"/>
  <c r="I146" i="63"/>
  <c r="I176" i="63"/>
  <c r="I93" i="63"/>
  <c r="I199" i="63"/>
  <c r="I376" i="63"/>
  <c r="I174" i="63"/>
  <c r="I163" i="63"/>
  <c r="I294" i="63"/>
  <c r="I20" i="63"/>
  <c r="I56" i="63"/>
  <c r="I187" i="63"/>
  <c r="I321" i="63"/>
  <c r="I269" i="63"/>
  <c r="I258" i="63"/>
  <c r="I87" i="63"/>
  <c r="I184" i="63"/>
  <c r="I338" i="63"/>
  <c r="I115" i="63"/>
  <c r="I196" i="63"/>
  <c r="I341" i="63"/>
  <c r="I356" i="63"/>
  <c r="I148" i="63"/>
  <c r="I128" i="63"/>
  <c r="I236" i="63"/>
  <c r="I225" i="63"/>
  <c r="I314" i="63"/>
  <c r="I375" i="63"/>
  <c r="I64" i="63"/>
  <c r="I30" i="63"/>
  <c r="I55" i="63"/>
  <c r="I210" i="63"/>
  <c r="I78" i="63"/>
  <c r="I331" i="63"/>
  <c r="I84" i="63"/>
  <c r="I215" i="63"/>
  <c r="I38" i="63"/>
  <c r="I98" i="63"/>
  <c r="I170" i="63"/>
  <c r="I299" i="63"/>
  <c r="I130" i="63"/>
  <c r="I57" i="63"/>
  <c r="I349" i="63"/>
  <c r="I18" i="63"/>
  <c r="I193" i="63"/>
  <c r="I58" i="63"/>
  <c r="I140" i="63"/>
  <c r="I228" i="63"/>
  <c r="I274" i="63"/>
  <c r="I117" i="63"/>
  <c r="I204" i="63"/>
  <c r="I368" i="63"/>
  <c r="I339" i="63"/>
  <c r="I226" i="63"/>
  <c r="I212" i="63"/>
  <c r="I213" i="63"/>
  <c r="I36" i="63"/>
  <c r="I317" i="63"/>
  <c r="I89" i="63"/>
  <c r="I328" i="63"/>
  <c r="I233" i="63"/>
  <c r="I271" i="63"/>
  <c r="I276" i="63"/>
  <c r="I105" i="63"/>
  <c r="I136" i="63"/>
  <c r="I99" i="63"/>
  <c r="I374" i="63"/>
  <c r="I190" i="63"/>
  <c r="I119" i="63"/>
  <c r="I150" i="63"/>
  <c r="I141" i="63"/>
  <c r="I337" i="63"/>
  <c r="I250" i="63"/>
  <c r="I151" i="63"/>
  <c r="I90" i="63"/>
  <c r="I218" i="63"/>
  <c r="I272" i="63"/>
  <c r="I275" i="63"/>
  <c r="I308" i="63"/>
  <c r="I101" i="63"/>
  <c r="M314" i="63" l="1"/>
  <c r="M191" i="63"/>
  <c r="M74" i="63"/>
  <c r="M315" i="63"/>
  <c r="M57" i="63"/>
  <c r="M131" i="63"/>
  <c r="M135" i="63"/>
  <c r="M369" i="63"/>
  <c r="M72" i="63"/>
  <c r="M361" i="63"/>
  <c r="M172" i="63"/>
  <c r="M370" i="63"/>
  <c r="M105" i="63"/>
  <c r="M280" i="63"/>
  <c r="M213" i="63"/>
  <c r="M291" i="63"/>
  <c r="M323" i="63"/>
  <c r="M148" i="63"/>
  <c r="M70" i="63"/>
  <c r="M116" i="63"/>
  <c r="M201" i="63"/>
  <c r="M375" i="63"/>
  <c r="M92" i="63"/>
  <c r="M60" i="63"/>
  <c r="M238" i="63"/>
  <c r="M38" i="63"/>
  <c r="M360" i="63"/>
  <c r="M295" i="63"/>
  <c r="M61" i="63"/>
  <c r="M351" i="63"/>
  <c r="M32" i="63"/>
  <c r="M82" i="63"/>
  <c r="M69" i="63"/>
  <c r="M227" i="63"/>
  <c r="M59" i="63"/>
  <c r="N60" i="65"/>
  <c r="G66" i="65"/>
  <c r="AG54" i="65" s="1"/>
  <c r="H29" i="65"/>
  <c r="L28" i="65" s="1"/>
  <c r="C31" i="65" s="1"/>
  <c r="C46" i="65" s="1"/>
  <c r="G23" i="65"/>
  <c r="Q129" i="65" s="1"/>
  <c r="P140" i="65" s="1"/>
  <c r="X6" i="65"/>
  <c r="M22" i="53"/>
  <c r="N355" i="63"/>
  <c r="O355" i="63" s="1"/>
  <c r="N295" i="63"/>
  <c r="N268" i="63"/>
  <c r="O268" i="63" s="1"/>
  <c r="N18" i="63"/>
  <c r="O18" i="63" s="1"/>
  <c r="N202" i="63"/>
  <c r="O202" i="63" s="1"/>
  <c r="N303" i="63"/>
  <c r="O303" i="63" s="1"/>
  <c r="N193" i="63"/>
  <c r="O193" i="63" s="1"/>
  <c r="N118" i="63"/>
  <c r="O118" i="63" s="1"/>
  <c r="N326" i="63"/>
  <c r="O326" i="63" s="1"/>
  <c r="N209" i="63"/>
  <c r="O209" i="63" s="1"/>
  <c r="N88" i="63"/>
  <c r="O88" i="63" s="1"/>
  <c r="N198" i="63"/>
  <c r="O198" i="63" s="1"/>
  <c r="N238" i="63"/>
  <c r="N377" i="63"/>
  <c r="O377" i="63" s="1"/>
  <c r="N182" i="63"/>
  <c r="O182" i="63" s="1"/>
  <c r="N71" i="63"/>
  <c r="O71" i="63" s="1"/>
  <c r="N317" i="63"/>
  <c r="O317" i="63" s="1"/>
  <c r="N40" i="63"/>
  <c r="O40" i="63" s="1"/>
  <c r="N78" i="63"/>
  <c r="O78" i="63" s="1"/>
  <c r="N139" i="63"/>
  <c r="O139" i="63" s="1"/>
  <c r="N158" i="63"/>
  <c r="O158" i="63" s="1"/>
  <c r="N234" i="63"/>
  <c r="O234" i="63" s="1"/>
  <c r="N23" i="63"/>
  <c r="O23" i="63" s="1"/>
  <c r="N322" i="63"/>
  <c r="O322" i="63" s="1"/>
  <c r="N354" i="63"/>
  <c r="O354" i="63" s="1"/>
  <c r="N80" i="63"/>
  <c r="O80" i="63" s="1"/>
  <c r="N151" i="63"/>
  <c r="O151" i="63" s="1"/>
  <c r="N102" i="63"/>
  <c r="O102" i="63" s="1"/>
  <c r="N31" i="63"/>
  <c r="O31" i="63" s="1"/>
  <c r="N75" i="63"/>
  <c r="O75" i="63" s="1"/>
  <c r="N262" i="63"/>
  <c r="O262" i="63" s="1"/>
  <c r="N226" i="63"/>
  <c r="O226" i="63" s="1"/>
  <c r="N367" i="63"/>
  <c r="O367" i="63" s="1"/>
  <c r="N306" i="63"/>
  <c r="O306" i="63" s="1"/>
  <c r="N308" i="63"/>
  <c r="O308" i="63" s="1"/>
  <c r="N186" i="63"/>
  <c r="O186" i="63" s="1"/>
  <c r="N34" i="63"/>
  <c r="O34" i="63" s="1"/>
  <c r="N375" i="63"/>
  <c r="N360" i="63"/>
  <c r="O360" i="63" s="1"/>
  <c r="N364" i="63"/>
  <c r="O364" i="63" s="1"/>
  <c r="N260" i="63"/>
  <c r="O260" i="63" s="1"/>
  <c r="N342" i="63"/>
  <c r="O342" i="63" s="1"/>
  <c r="N304" i="63"/>
  <c r="O304" i="63" s="1"/>
  <c r="N265" i="63"/>
  <c r="O265" i="63" s="1"/>
  <c r="N292" i="63"/>
  <c r="O292" i="63" s="1"/>
  <c r="N344" i="63"/>
  <c r="O344" i="63" s="1"/>
  <c r="N254" i="63"/>
  <c r="O254" i="63" s="1"/>
  <c r="N270" i="63"/>
  <c r="O270" i="63" s="1"/>
  <c r="N200" i="63"/>
  <c r="O200" i="63" s="1"/>
  <c r="N132" i="63"/>
  <c r="O132" i="63" s="1"/>
  <c r="N237" i="63"/>
  <c r="O237" i="63" s="1"/>
  <c r="N279" i="63"/>
  <c r="O279" i="63" s="1"/>
  <c r="N86" i="63"/>
  <c r="O86" i="63" s="1"/>
  <c r="N30" i="63"/>
  <c r="O30" i="63" s="1"/>
  <c r="N313" i="63"/>
  <c r="O313" i="63" s="1"/>
  <c r="N157" i="63"/>
  <c r="O157" i="63" s="1"/>
  <c r="N126" i="63"/>
  <c r="O126" i="63" s="1"/>
  <c r="N114" i="63"/>
  <c r="O114" i="63" s="1"/>
  <c r="N164" i="63"/>
  <c r="O164" i="63" s="1"/>
  <c r="N213" i="63"/>
  <c r="N338" i="63"/>
  <c r="O338" i="63" s="1"/>
  <c r="N22" i="63"/>
  <c r="O22" i="63" s="1"/>
  <c r="N348" i="63"/>
  <c r="O348" i="63" s="1"/>
  <c r="N323" i="63"/>
  <c r="O323" i="63" s="1"/>
  <c r="N105" i="63"/>
  <c r="O105" i="63" s="1"/>
  <c r="N216" i="63"/>
  <c r="O216" i="63" s="1"/>
  <c r="N38" i="63"/>
  <c r="N136" i="63"/>
  <c r="O136" i="63" s="1"/>
  <c r="N69" i="63"/>
  <c r="O69" i="63" s="1"/>
  <c r="N155" i="63"/>
  <c r="O155" i="63" s="1"/>
  <c r="N95" i="63"/>
  <c r="O95" i="63" s="1"/>
  <c r="N101" i="63"/>
  <c r="O101" i="63" s="1"/>
  <c r="N235" i="63"/>
  <c r="O235" i="63" s="1"/>
  <c r="N168" i="63"/>
  <c r="O168" i="63" s="1"/>
  <c r="N48" i="63"/>
  <c r="O48" i="63" s="1"/>
  <c r="N312" i="63"/>
  <c r="O312" i="63" s="1"/>
  <c r="N219" i="63"/>
  <c r="O219" i="63" s="1"/>
  <c r="N318" i="63"/>
  <c r="O318" i="63" s="1"/>
  <c r="N59" i="63"/>
  <c r="N309" i="63"/>
  <c r="O309" i="63" s="1"/>
  <c r="N257" i="63"/>
  <c r="O257" i="63" s="1"/>
  <c r="N147" i="63"/>
  <c r="O147" i="63" s="1"/>
  <c r="N349" i="63"/>
  <c r="O349" i="63" s="1"/>
  <c r="N159" i="63"/>
  <c r="O159" i="63" s="1"/>
  <c r="N46" i="63"/>
  <c r="O46" i="63" s="1"/>
  <c r="N278" i="63"/>
  <c r="O278" i="63" s="1"/>
  <c r="N319" i="63"/>
  <c r="O319" i="63" s="1"/>
  <c r="N374" i="63"/>
  <c r="O374" i="63" s="1"/>
  <c r="N333" i="63"/>
  <c r="O333" i="63" s="1"/>
  <c r="N232" i="63"/>
  <c r="O232" i="63" s="1"/>
  <c r="N301" i="63"/>
  <c r="O301" i="63" s="1"/>
  <c r="N325" i="63"/>
  <c r="O325" i="63" s="1"/>
  <c r="N77" i="63"/>
  <c r="O77" i="63" s="1"/>
  <c r="N60" i="63"/>
  <c r="N345" i="63"/>
  <c r="O345" i="63" s="1"/>
  <c r="N195" i="63"/>
  <c r="O195" i="63" s="1"/>
  <c r="N201" i="63"/>
  <c r="O201" i="63" s="1"/>
  <c r="N183" i="63"/>
  <c r="O183" i="63" s="1"/>
  <c r="N225" i="63"/>
  <c r="O225" i="63" s="1"/>
  <c r="N332" i="63"/>
  <c r="O332" i="63" s="1"/>
  <c r="N269" i="63"/>
  <c r="O269" i="63" s="1"/>
  <c r="N271" i="63"/>
  <c r="O271" i="63" s="1"/>
  <c r="N42" i="63"/>
  <c r="O42" i="63" s="1"/>
  <c r="N247" i="63"/>
  <c r="O247" i="63" s="1"/>
  <c r="N280" i="63"/>
  <c r="N211" i="63"/>
  <c r="O211" i="63" s="1"/>
  <c r="N372" i="63"/>
  <c r="O372" i="63" s="1"/>
  <c r="N207" i="63"/>
  <c r="O207" i="63" s="1"/>
  <c r="N169" i="63"/>
  <c r="O169" i="63" s="1"/>
  <c r="N334" i="63"/>
  <c r="O334" i="63" s="1"/>
  <c r="N222" i="63"/>
  <c r="O222" i="63" s="1"/>
  <c r="N286" i="63"/>
  <c r="O286" i="63" s="1"/>
  <c r="N92" i="63"/>
  <c r="N149" i="63"/>
  <c r="O149" i="63" s="1"/>
  <c r="N252" i="63"/>
  <c r="O252" i="63" s="1"/>
  <c r="N27" i="63"/>
  <c r="O27" i="63" s="1"/>
  <c r="N263" i="63"/>
  <c r="O263" i="63" s="1"/>
  <c r="N259" i="63"/>
  <c r="O259" i="63" s="1"/>
  <c r="N229" i="63"/>
  <c r="O229" i="63" s="1"/>
  <c r="N373" i="63"/>
  <c r="O373" i="63" s="1"/>
  <c r="N187" i="63"/>
  <c r="O187" i="63" s="1"/>
  <c r="N189" i="63"/>
  <c r="O189" i="63" s="1"/>
  <c r="N72" i="63"/>
  <c r="O72" i="63" s="1"/>
  <c r="N331" i="63"/>
  <c r="O331" i="63" s="1"/>
  <c r="N172" i="63"/>
  <c r="O172" i="63" s="1"/>
  <c r="N288" i="63"/>
  <c r="O288" i="63" s="1"/>
  <c r="N61" i="63"/>
  <c r="O61" i="63" s="1"/>
  <c r="N287" i="63"/>
  <c r="O287" i="63" s="1"/>
  <c r="N302" i="63"/>
  <c r="O302" i="63" s="1"/>
  <c r="N103" i="63"/>
  <c r="O103" i="63" s="1"/>
  <c r="N194" i="63"/>
  <c r="O194" i="63" s="1"/>
  <c r="N58" i="63"/>
  <c r="O58" i="63" s="1"/>
  <c r="N144" i="63"/>
  <c r="O144" i="63" s="1"/>
  <c r="N97" i="63"/>
  <c r="O97" i="63" s="1"/>
  <c r="N294" i="63"/>
  <c r="O294" i="63" s="1"/>
  <c r="N37" i="63"/>
  <c r="O37" i="63" s="1"/>
  <c r="N39" i="63"/>
  <c r="O39" i="63" s="1"/>
  <c r="N218" i="63"/>
  <c r="O218" i="63" s="1"/>
  <c r="N228" i="63"/>
  <c r="O228" i="63" s="1"/>
  <c r="N150" i="63"/>
  <c r="O150" i="63" s="1"/>
  <c r="N162" i="63"/>
  <c r="O162" i="63" s="1"/>
  <c r="N315" i="63"/>
  <c r="O315" i="63" s="1"/>
  <c r="N137" i="63"/>
  <c r="O137" i="63" s="1"/>
  <c r="N230" i="63"/>
  <c r="O230" i="63" s="1"/>
  <c r="N215" i="63"/>
  <c r="O215" i="63" s="1"/>
  <c r="N47" i="63"/>
  <c r="O47" i="63" s="1"/>
  <c r="N337" i="63"/>
  <c r="O337" i="63" s="1"/>
  <c r="N163" i="63"/>
  <c r="O163" i="63" s="1"/>
  <c r="N179" i="63"/>
  <c r="O179" i="63" s="1"/>
  <c r="N253" i="63"/>
  <c r="O253" i="63" s="1"/>
  <c r="N241" i="63"/>
  <c r="O241" i="63" s="1"/>
  <c r="N174" i="63"/>
  <c r="O174" i="63" s="1"/>
  <c r="N370" i="63"/>
  <c r="O370" i="63" s="1"/>
  <c r="N180" i="63"/>
  <c r="O180" i="63" s="1"/>
  <c r="N160" i="63"/>
  <c r="O160" i="63" s="1"/>
  <c r="N210" i="63"/>
  <c r="O210" i="63" s="1"/>
  <c r="N340" i="63"/>
  <c r="O340" i="63" s="1"/>
  <c r="N148" i="63"/>
  <c r="O148" i="63" s="1"/>
  <c r="N138" i="63"/>
  <c r="O138" i="63" s="1"/>
  <c r="N35" i="63"/>
  <c r="O35" i="63" s="1"/>
  <c r="N276" i="63"/>
  <c r="O276" i="63" s="1"/>
  <c r="N142" i="63"/>
  <c r="O142" i="63" s="1"/>
  <c r="N236" i="63"/>
  <c r="O236" i="63" s="1"/>
  <c r="N173" i="63"/>
  <c r="O173" i="63" s="1"/>
  <c r="N283" i="63"/>
  <c r="O283" i="63" s="1"/>
  <c r="N43" i="63"/>
  <c r="O43" i="63" s="1"/>
  <c r="N191" i="63"/>
  <c r="O191" i="63" s="1"/>
  <c r="N127" i="63"/>
  <c r="O127" i="63" s="1"/>
  <c r="N20" i="63"/>
  <c r="O20" i="63" s="1"/>
  <c r="N62" i="63"/>
  <c r="O62" i="63" s="1"/>
  <c r="N24" i="63"/>
  <c r="O24" i="63" s="1"/>
  <c r="N131" i="63"/>
  <c r="O131" i="63" s="1"/>
  <c r="N184" i="63"/>
  <c r="O184" i="63" s="1"/>
  <c r="N376" i="63"/>
  <c r="O376" i="63" s="1"/>
  <c r="N206" i="63"/>
  <c r="O206" i="63" s="1"/>
  <c r="N203" i="63"/>
  <c r="O203" i="63" s="1"/>
  <c r="N120" i="63"/>
  <c r="O120" i="63" s="1"/>
  <c r="N297" i="63"/>
  <c r="O297" i="63" s="1"/>
  <c r="N93" i="63"/>
  <c r="O93" i="63" s="1"/>
  <c r="N300" i="63"/>
  <c r="O300" i="63" s="1"/>
  <c r="N83" i="63"/>
  <c r="O83" i="63" s="1"/>
  <c r="N117" i="63"/>
  <c r="O117" i="63" s="1"/>
  <c r="N290" i="63"/>
  <c r="O290" i="63" s="1"/>
  <c r="N296" i="63"/>
  <c r="O296" i="63" s="1"/>
  <c r="N19" i="63"/>
  <c r="O19" i="63" s="1"/>
  <c r="N347" i="63"/>
  <c r="O347" i="63" s="1"/>
  <c r="N249" i="63"/>
  <c r="O249" i="63" s="1"/>
  <c r="N171" i="63"/>
  <c r="O171" i="63" s="1"/>
  <c r="N76" i="63"/>
  <c r="O76" i="63" s="1"/>
  <c r="N284" i="63"/>
  <c r="O284" i="63" s="1"/>
  <c r="N239" i="63"/>
  <c r="O239" i="63" s="1"/>
  <c r="N224" i="63"/>
  <c r="O224" i="63" s="1"/>
  <c r="N156" i="63"/>
  <c r="O156" i="63" s="1"/>
  <c r="N152" i="63"/>
  <c r="O152" i="63" s="1"/>
  <c r="N116" i="63"/>
  <c r="N26" i="63"/>
  <c r="O26" i="63" s="1"/>
  <c r="N154" i="63"/>
  <c r="O154" i="63" s="1"/>
  <c r="N130" i="63"/>
  <c r="O130" i="63" s="1"/>
  <c r="N307" i="63"/>
  <c r="O307" i="63" s="1"/>
  <c r="N362" i="63"/>
  <c r="O362" i="63" s="1"/>
  <c r="N217" i="63"/>
  <c r="O217" i="63" s="1"/>
  <c r="N314" i="63"/>
  <c r="O314" i="63" s="1"/>
  <c r="N51" i="63"/>
  <c r="O51" i="63" s="1"/>
  <c r="N125" i="63"/>
  <c r="O125" i="63" s="1"/>
  <c r="N67" i="63"/>
  <c r="O67" i="63" s="1"/>
  <c r="N33" i="63"/>
  <c r="O33" i="63" s="1"/>
  <c r="N52" i="63"/>
  <c r="O52" i="63" s="1"/>
  <c r="N122" i="63"/>
  <c r="O122" i="63" s="1"/>
  <c r="N357" i="63"/>
  <c r="O357" i="63" s="1"/>
  <c r="N106" i="63"/>
  <c r="O106" i="63" s="1"/>
  <c r="N113" i="63"/>
  <c r="O113" i="63" s="1"/>
  <c r="N134" i="63"/>
  <c r="O134" i="63" s="1"/>
  <c r="N368" i="63"/>
  <c r="O368" i="63" s="1"/>
  <c r="N255" i="63"/>
  <c r="O255" i="63" s="1"/>
  <c r="N190" i="63"/>
  <c r="O190" i="63" s="1"/>
  <c r="N299" i="63"/>
  <c r="O299" i="63" s="1"/>
  <c r="N275" i="63"/>
  <c r="O275" i="63" s="1"/>
  <c r="N141" i="63"/>
  <c r="O141" i="63" s="1"/>
  <c r="N244" i="63"/>
  <c r="O244" i="63" s="1"/>
  <c r="N245" i="63"/>
  <c r="O245" i="63" s="1"/>
  <c r="N353" i="63"/>
  <c r="O353" i="63" s="1"/>
  <c r="N233" i="63"/>
  <c r="O233" i="63" s="1"/>
  <c r="N124" i="63"/>
  <c r="O124" i="63" s="1"/>
  <c r="N359" i="63"/>
  <c r="O359" i="63" s="1"/>
  <c r="N68" i="63"/>
  <c r="O68" i="63" s="1"/>
  <c r="N311" i="63"/>
  <c r="O311" i="63" s="1"/>
  <c r="N100" i="63"/>
  <c r="O100" i="63" s="1"/>
  <c r="N64" i="63"/>
  <c r="O64" i="63" s="1"/>
  <c r="N327" i="63"/>
  <c r="O327" i="63" s="1"/>
  <c r="N274" i="63"/>
  <c r="O274" i="63" s="1"/>
  <c r="N53" i="63"/>
  <c r="O53" i="63" s="1"/>
  <c r="N79" i="63"/>
  <c r="O79" i="63" s="1"/>
  <c r="N146" i="63"/>
  <c r="O146" i="63" s="1"/>
  <c r="N320" i="63"/>
  <c r="O320" i="63" s="1"/>
  <c r="N248" i="63"/>
  <c r="O248" i="63" s="1"/>
  <c r="N74" i="63"/>
  <c r="O74" i="63" s="1"/>
  <c r="N170" i="63"/>
  <c r="O170" i="63" s="1"/>
  <c r="N358" i="63"/>
  <c r="O358" i="63" s="1"/>
  <c r="N91" i="63"/>
  <c r="O91" i="63" s="1"/>
  <c r="N107" i="63"/>
  <c r="O107" i="63" s="1"/>
  <c r="N243" i="63"/>
  <c r="O243" i="63" s="1"/>
  <c r="N310" i="63"/>
  <c r="O310" i="63" s="1"/>
  <c r="N44" i="63"/>
  <c r="O44" i="63" s="1"/>
  <c r="N246" i="63"/>
  <c r="O246" i="63" s="1"/>
  <c r="N135" i="63"/>
  <c r="O135" i="63" s="1"/>
  <c r="N298" i="63"/>
  <c r="O298" i="63" s="1"/>
  <c r="N143" i="63"/>
  <c r="O143" i="63" s="1"/>
  <c r="N328" i="63"/>
  <c r="O328" i="63" s="1"/>
  <c r="N361" i="63"/>
  <c r="O361" i="63" s="1"/>
  <c r="N63" i="63"/>
  <c r="O63" i="63" s="1"/>
  <c r="N197" i="63"/>
  <c r="O197" i="63" s="1"/>
  <c r="N261" i="63"/>
  <c r="O261" i="63" s="1"/>
  <c r="N321" i="63"/>
  <c r="O321" i="63" s="1"/>
  <c r="N165" i="63"/>
  <c r="O165" i="63" s="1"/>
  <c r="N329" i="63"/>
  <c r="O329" i="63" s="1"/>
  <c r="N339" i="63"/>
  <c r="O339" i="63" s="1"/>
  <c r="N129" i="63"/>
  <c r="O129" i="63" s="1"/>
  <c r="N264" i="63"/>
  <c r="O264" i="63" s="1"/>
  <c r="N128" i="63"/>
  <c r="O128" i="63" s="1"/>
  <c r="N123" i="63"/>
  <c r="O123" i="63" s="1"/>
  <c r="N29" i="63"/>
  <c r="O29" i="63" s="1"/>
  <c r="N49" i="63"/>
  <c r="O49" i="63" s="1"/>
  <c r="N204" i="63"/>
  <c r="O204" i="63" s="1"/>
  <c r="N250" i="63"/>
  <c r="O250" i="63" s="1"/>
  <c r="N65" i="63"/>
  <c r="O65" i="63" s="1"/>
  <c r="N145" i="63"/>
  <c r="O145" i="63" s="1"/>
  <c r="N273" i="63"/>
  <c r="O273" i="63" s="1"/>
  <c r="N363" i="63"/>
  <c r="O363" i="63" s="1"/>
  <c r="N73" i="63"/>
  <c r="O73" i="63" s="1"/>
  <c r="N96" i="63"/>
  <c r="O96" i="63" s="1"/>
  <c r="N208" i="63"/>
  <c r="O208" i="63" s="1"/>
  <c r="N56" i="63"/>
  <c r="O56" i="63" s="1"/>
  <c r="N133" i="63"/>
  <c r="O133" i="63" s="1"/>
  <c r="N178" i="63"/>
  <c r="O178" i="63" s="1"/>
  <c r="N277" i="63"/>
  <c r="O277" i="63" s="1"/>
  <c r="N121" i="63"/>
  <c r="O121" i="63" s="1"/>
  <c r="N176" i="63"/>
  <c r="O176" i="63" s="1"/>
  <c r="N119" i="63"/>
  <c r="O119" i="63" s="1"/>
  <c r="N281" i="63"/>
  <c r="O281" i="63" s="1"/>
  <c r="N36" i="63"/>
  <c r="O36" i="63" s="1"/>
  <c r="N272" i="63"/>
  <c r="O272" i="63" s="1"/>
  <c r="N81" i="63"/>
  <c r="O81" i="63" s="1"/>
  <c r="N335" i="63"/>
  <c r="O335" i="63" s="1"/>
  <c r="N192" i="63"/>
  <c r="O192" i="63" s="1"/>
  <c r="N111" i="63"/>
  <c r="O111" i="63" s="1"/>
  <c r="N220" i="63"/>
  <c r="O220" i="63" s="1"/>
  <c r="N366" i="63"/>
  <c r="O366" i="63" s="1"/>
  <c r="N223" i="63"/>
  <c r="O223" i="63" s="1"/>
  <c r="N112" i="63"/>
  <c r="O112" i="63" s="1"/>
  <c r="N28" i="63"/>
  <c r="O28" i="63" s="1"/>
  <c r="N212" i="63"/>
  <c r="O212" i="63" s="1"/>
  <c r="N185" i="63"/>
  <c r="O185" i="63" s="1"/>
  <c r="N140" i="63"/>
  <c r="O140" i="63" s="1"/>
  <c r="N109" i="63"/>
  <c r="O109" i="63" s="1"/>
  <c r="N293" i="63"/>
  <c r="O293" i="63" s="1"/>
  <c r="N267" i="63"/>
  <c r="O267" i="63" s="1"/>
  <c r="N115" i="63"/>
  <c r="O115" i="63" s="1"/>
  <c r="N89" i="63"/>
  <c r="O89" i="63" s="1"/>
  <c r="N104" i="63"/>
  <c r="O104" i="63" s="1"/>
  <c r="N341" i="63"/>
  <c r="O341" i="63" s="1"/>
  <c r="N153" i="63"/>
  <c r="O153" i="63" s="1"/>
  <c r="N365" i="63"/>
  <c r="O365" i="63" s="1"/>
  <c r="N227" i="63"/>
  <c r="O227" i="63" s="1"/>
  <c r="N166" i="63"/>
  <c r="O166" i="63" s="1"/>
  <c r="N251" i="63"/>
  <c r="O251" i="63" s="1"/>
  <c r="N258" i="63"/>
  <c r="O258" i="63" s="1"/>
  <c r="N214" i="63"/>
  <c r="O214" i="63" s="1"/>
  <c r="N343" i="63"/>
  <c r="O343" i="63" s="1"/>
  <c r="N316" i="63"/>
  <c r="O316" i="63" s="1"/>
  <c r="N45" i="63"/>
  <c r="O45" i="63" s="1"/>
  <c r="N161" i="63"/>
  <c r="O161" i="63" s="1"/>
  <c r="N110" i="63"/>
  <c r="O110" i="63" s="1"/>
  <c r="N336" i="63"/>
  <c r="O336" i="63" s="1"/>
  <c r="N41" i="63"/>
  <c r="O41" i="63" s="1"/>
  <c r="N289" i="63"/>
  <c r="O289" i="63" s="1"/>
  <c r="N256" i="63"/>
  <c r="O256" i="63" s="1"/>
  <c r="N87" i="63"/>
  <c r="O87" i="63" s="1"/>
  <c r="N175" i="63"/>
  <c r="O175" i="63" s="1"/>
  <c r="N32" i="63"/>
  <c r="N85" i="63"/>
  <c r="O85" i="63" s="1"/>
  <c r="N266" i="63"/>
  <c r="O266" i="63" s="1"/>
  <c r="N196" i="63"/>
  <c r="O196" i="63" s="1"/>
  <c r="N305" i="63"/>
  <c r="O305" i="63" s="1"/>
  <c r="N242" i="63"/>
  <c r="O242" i="63" s="1"/>
  <c r="N82" i="63"/>
  <c r="N99" i="63"/>
  <c r="O99" i="63" s="1"/>
  <c r="N285" i="63"/>
  <c r="O285" i="63" s="1"/>
  <c r="N324" i="63"/>
  <c r="O324" i="63" s="1"/>
  <c r="N94" i="63"/>
  <c r="O94" i="63" s="1"/>
  <c r="N240" i="63"/>
  <c r="O240" i="63" s="1"/>
  <c r="N108" i="63"/>
  <c r="O108" i="63" s="1"/>
  <c r="N282" i="63"/>
  <c r="O282" i="63" s="1"/>
  <c r="N199" i="63"/>
  <c r="O199" i="63" s="1"/>
  <c r="N21" i="63"/>
  <c r="O21" i="63" s="1"/>
  <c r="N84" i="63"/>
  <c r="O84" i="63" s="1"/>
  <c r="N167" i="63"/>
  <c r="O167" i="63" s="1"/>
  <c r="N90" i="63"/>
  <c r="O90" i="63" s="1"/>
  <c r="N205" i="63"/>
  <c r="O205" i="63" s="1"/>
  <c r="N291" i="63"/>
  <c r="N55" i="63"/>
  <c r="O55" i="63" s="1"/>
  <c r="N54" i="63"/>
  <c r="O54" i="63" s="1"/>
  <c r="N231" i="63"/>
  <c r="O231" i="63" s="1"/>
  <c r="N66" i="63"/>
  <c r="O66" i="63" s="1"/>
  <c r="N351" i="63"/>
  <c r="O351" i="63" s="1"/>
  <c r="N57" i="63"/>
  <c r="O57" i="63" s="1"/>
  <c r="N25" i="63"/>
  <c r="O25" i="63" s="1"/>
  <c r="N98" i="63"/>
  <c r="O98" i="63" s="1"/>
  <c r="N181" i="63"/>
  <c r="O181" i="63" s="1"/>
  <c r="N221" i="63"/>
  <c r="O221" i="63" s="1"/>
  <c r="N188" i="63"/>
  <c r="O188" i="63" s="1"/>
  <c r="N50" i="63"/>
  <c r="O50" i="63" s="1"/>
  <c r="N371" i="63"/>
  <c r="O371" i="63" s="1"/>
  <c r="N177" i="63"/>
  <c r="O177" i="63" s="1"/>
  <c r="N330" i="63"/>
  <c r="O330" i="63" s="1"/>
  <c r="N356" i="63"/>
  <c r="O356" i="63" s="1"/>
  <c r="N350" i="63"/>
  <c r="O350" i="63" s="1"/>
  <c r="N369" i="63"/>
  <c r="O369" i="63" s="1"/>
  <c r="N352" i="63"/>
  <c r="O352" i="63" s="1"/>
  <c r="N70" i="63"/>
  <c r="O70" i="63" s="1"/>
  <c r="N346" i="63"/>
  <c r="O346" i="63" s="1"/>
  <c r="O291" i="63" l="1"/>
  <c r="O32" i="63"/>
  <c r="O213" i="63"/>
  <c r="O280" i="63"/>
  <c r="O375" i="63"/>
  <c r="O116" i="63"/>
  <c r="O38" i="63"/>
  <c r="O82" i="63"/>
  <c r="O92" i="63"/>
  <c r="O60" i="63"/>
  <c r="O295" i="63"/>
  <c r="O238" i="63"/>
  <c r="O59" i="63"/>
  <c r="G55" i="65"/>
  <c r="G48" i="65"/>
  <c r="G49" i="65" s="1"/>
  <c r="R75" i="65"/>
  <c r="AK75" i="65" s="1"/>
  <c r="G62" i="65"/>
  <c r="G63" i="65" s="1"/>
  <c r="R74" i="65" s="1"/>
  <c r="AK74" i="65" s="1"/>
  <c r="G59" i="65"/>
  <c r="G51" i="65"/>
  <c r="J61" i="65"/>
  <c r="N61" i="65"/>
  <c r="L50" i="65"/>
  <c r="U54" i="65" s="1"/>
  <c r="O50" i="65"/>
  <c r="O51" i="65" s="1"/>
  <c r="O58" i="65"/>
  <c r="O54" i="65"/>
  <c r="O55" i="65" s="1"/>
  <c r="R54" i="65"/>
  <c r="L54" i="65"/>
  <c r="L55" i="65" s="1"/>
  <c r="R50" i="65"/>
  <c r="R51" i="65" s="1"/>
  <c r="U50" i="65"/>
  <c r="U51" i="65" s="1"/>
  <c r="L58" i="65"/>
  <c r="G56" i="65" l="1"/>
  <c r="R71" i="65" s="1"/>
  <c r="AK71" i="65" s="1"/>
  <c r="G60" i="65"/>
  <c r="R73" i="65" s="1"/>
  <c r="AI74" i="65"/>
  <c r="AI75" i="65"/>
  <c r="AB75" i="65"/>
  <c r="W72" i="65"/>
  <c r="W75" i="65"/>
  <c r="G85" i="65"/>
  <c r="H93" i="65" s="1"/>
  <c r="Q99" i="65"/>
  <c r="G133" i="65" s="1"/>
  <c r="W74" i="65"/>
  <c r="AF74" i="65" s="1"/>
  <c r="AB74" i="65"/>
  <c r="G84" i="65"/>
  <c r="G52" i="65"/>
  <c r="R70" i="65" s="1"/>
  <c r="AK70" i="65" s="1"/>
  <c r="R69" i="65"/>
  <c r="AK69" i="65" s="1"/>
  <c r="AG53" i="65"/>
  <c r="AK73" i="65" l="1"/>
  <c r="AB73" i="65"/>
  <c r="G83" i="65"/>
  <c r="W73" i="65"/>
  <c r="AI73" i="65"/>
  <c r="AI70" i="65"/>
  <c r="AF72" i="65"/>
  <c r="AF75" i="65"/>
  <c r="AF73" i="65"/>
  <c r="W69" i="65"/>
  <c r="AF69" i="65" s="1"/>
  <c r="AI69" i="65"/>
  <c r="W71" i="65"/>
  <c r="AF71" i="65" s="1"/>
  <c r="AI71" i="65"/>
  <c r="G79" i="65"/>
  <c r="H91" i="65" s="1"/>
  <c r="AB69" i="65"/>
  <c r="Q97" i="65"/>
  <c r="O133" i="65" s="1"/>
  <c r="AB70" i="65"/>
  <c r="W70" i="65"/>
  <c r="AF70" i="65" s="1"/>
  <c r="M10" i="64" a="1"/>
  <c r="O10" i="64" s="1"/>
  <c r="O15" i="64" s="1"/>
  <c r="AB71" i="65"/>
  <c r="G81" i="65"/>
  <c r="M11" i="64" a="1"/>
  <c r="M11" i="64" s="1"/>
  <c r="M16" i="64" s="1"/>
  <c r="G80" i="65"/>
  <c r="N10" i="64" l="1"/>
  <c r="N15" i="64" s="1"/>
  <c r="S10" i="64"/>
  <c r="S15" i="64" s="1"/>
  <c r="P10" i="64"/>
  <c r="P15" i="64" s="1"/>
  <c r="Q10" i="64"/>
  <c r="Q15" i="64" s="1"/>
  <c r="R10" i="64"/>
  <c r="R15" i="64" s="1"/>
  <c r="M10" i="64"/>
  <c r="M15" i="64" s="1"/>
  <c r="S11" i="64"/>
  <c r="S16" i="64" s="1"/>
  <c r="P11" i="64"/>
  <c r="P16" i="64" s="1"/>
  <c r="N11" i="64"/>
  <c r="N16" i="64" s="1"/>
  <c r="R11" i="64"/>
  <c r="R16" i="64" s="1"/>
  <c r="O11" i="64"/>
  <c r="O16" i="64" s="1"/>
  <c r="Q11" i="64"/>
  <c r="Q1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1800-000001000000}">
      <text>
        <r>
          <rPr>
            <b/>
            <sz val="8"/>
            <color indexed="8"/>
            <rFont val="Times New Roman"/>
            <family val="1"/>
          </rPr>
          <t xml:space="preserve">indra:
</t>
        </r>
      </text>
    </comment>
  </commentList>
</comments>
</file>

<file path=xl/sharedStrings.xml><?xml version="1.0" encoding="utf-8"?>
<sst xmlns="http://schemas.openxmlformats.org/spreadsheetml/2006/main" count="2900" uniqueCount="652">
  <si>
    <t>No.</t>
  </si>
  <si>
    <t>Tanggal dan           Jam Pengamtan</t>
  </si>
  <si>
    <t>06</t>
  </si>
  <si>
    <t>=</t>
  </si>
  <si>
    <t>Tabel 1</t>
  </si>
  <si>
    <t>PENGUKURAN PASANG SURUT (per 1 Jam)</t>
  </si>
  <si>
    <t>PROYEK</t>
  </si>
  <si>
    <t>LOKASI</t>
  </si>
  <si>
    <t>JAM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</si>
  <si>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</si>
  <si>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</si>
  <si>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</si>
  <si>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</si>
  <si>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</si>
  <si>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</si>
  <si>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</si>
  <si>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</si>
  <si>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</si>
  <si>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</si>
  <si>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</si>
  <si>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</si>
  <si>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</si>
  <si>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</si>
  <si>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</si>
  <si>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</si>
  <si>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</si>
  <si>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</si>
  <si>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</si>
  <si>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</si>
  <si>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</si>
  <si>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</si>
  <si>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</si>
  <si>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</si>
  <si>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jumlah :</t>
  </si>
  <si>
    <t>Tanggal</t>
  </si>
  <si>
    <t>Bacaan Skala pada jam</t>
  </si>
  <si>
    <t>Jumlah Bacaan</t>
  </si>
  <si>
    <t>00</t>
  </si>
  <si>
    <t>01</t>
  </si>
  <si>
    <t>02</t>
  </si>
  <si>
    <t>03</t>
  </si>
  <si>
    <t>04</t>
  </si>
  <si>
    <t>05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</si>
  <si>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</si>
  <si>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</si>
  <si>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</si>
  <si>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</si>
  <si>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</si>
  <si>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</si>
  <si>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</si>
  <si>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</si>
  <si>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</si>
  <si>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</si>
  <si>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</si>
  <si>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</si>
  <si>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</si>
  <si>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</si>
  <si>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</si>
  <si>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</si>
  <si>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</si>
  <si>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Juni</t>
  </si>
  <si>
    <t>Keterangan :</t>
  </si>
  <si>
    <t xml:space="preserve">      Air Tertinggi  </t>
  </si>
  <si>
    <t>:</t>
  </si>
  <si>
    <t>cm</t>
  </si>
  <si>
    <t xml:space="preserve">      Air Terendah  </t>
  </si>
  <si>
    <t>Waktu tengah =</t>
  </si>
  <si>
    <t>Tabel 2. Konstanta pengali dalam menyusun Skema 2.</t>
  </si>
  <si>
    <t>Jam Pengamatan</t>
  </si>
  <si>
    <r>
      <t>X</t>
    </r>
    <r>
      <rPr>
        <b/>
        <vertAlign val="subscript"/>
        <sz val="11"/>
        <rFont val="Arial"/>
        <family val="2"/>
      </rPr>
      <t>1</t>
    </r>
  </si>
  <si>
    <r>
      <t>Y</t>
    </r>
    <r>
      <rPr>
        <b/>
        <vertAlign val="subscript"/>
        <sz val="11"/>
        <rFont val="Arial"/>
        <family val="2"/>
      </rPr>
      <t>1</t>
    </r>
  </si>
  <si>
    <r>
      <t>X</t>
    </r>
    <r>
      <rPr>
        <b/>
        <vertAlign val="subscript"/>
        <sz val="11"/>
        <rFont val="Arial"/>
        <family val="2"/>
      </rPr>
      <t>2</t>
    </r>
  </si>
  <si>
    <r>
      <t>Y</t>
    </r>
    <r>
      <rPr>
        <b/>
        <vertAlign val="subscript"/>
        <sz val="11"/>
        <rFont val="Arial"/>
        <family val="2"/>
      </rPr>
      <t>2</t>
    </r>
  </si>
  <si>
    <r>
      <t>X</t>
    </r>
    <r>
      <rPr>
        <b/>
        <vertAlign val="subscript"/>
        <sz val="11"/>
        <rFont val="Arial"/>
        <family val="2"/>
      </rPr>
      <t>4</t>
    </r>
  </si>
  <si>
    <r>
      <t>Y</t>
    </r>
    <r>
      <rPr>
        <b/>
        <vertAlign val="subscript"/>
        <sz val="11"/>
        <rFont val="Arial"/>
        <family val="2"/>
      </rPr>
      <t>4</t>
    </r>
  </si>
  <si>
    <t>Jam</t>
  </si>
  <si>
    <t>+</t>
  </si>
  <si>
    <t>-</t>
  </si>
  <si>
    <r>
      <t>X</t>
    </r>
    <r>
      <rPr>
        <vertAlign val="subscript"/>
        <sz val="11"/>
        <rFont val="Arial"/>
        <family val="2"/>
      </rPr>
      <t>0</t>
    </r>
  </si>
  <si>
    <r>
      <t>X</t>
    </r>
    <r>
      <rPr>
        <vertAlign val="subscript"/>
        <sz val="11"/>
        <rFont val="Arial"/>
        <family val="2"/>
      </rPr>
      <t>1</t>
    </r>
  </si>
  <si>
    <r>
      <t>Y</t>
    </r>
    <r>
      <rPr>
        <vertAlign val="subscript"/>
        <sz val="11"/>
        <rFont val="Arial"/>
        <family val="2"/>
      </rPr>
      <t>1</t>
    </r>
  </si>
  <si>
    <r>
      <t>X</t>
    </r>
    <r>
      <rPr>
        <vertAlign val="subscript"/>
        <sz val="11"/>
        <rFont val="Arial"/>
        <family val="2"/>
      </rPr>
      <t>2</t>
    </r>
  </si>
  <si>
    <r>
      <t>Y</t>
    </r>
    <r>
      <rPr>
        <vertAlign val="subscript"/>
        <sz val="11"/>
        <rFont val="Arial"/>
        <family val="2"/>
      </rPr>
      <t>2</t>
    </r>
  </si>
  <si>
    <r>
      <t>X</t>
    </r>
    <r>
      <rPr>
        <vertAlign val="subscript"/>
        <sz val="11"/>
        <rFont val="Arial"/>
        <family val="2"/>
      </rPr>
      <t>4</t>
    </r>
  </si>
  <si>
    <r>
      <t>Y</t>
    </r>
    <r>
      <rPr>
        <vertAlign val="subscript"/>
        <sz val="11"/>
        <rFont val="Arial"/>
        <family val="2"/>
      </rPr>
      <t>4</t>
    </r>
  </si>
  <si>
    <t>Jumlah</t>
  </si>
  <si>
    <t>Waktu</t>
  </si>
  <si>
    <t>Tgl</t>
  </si>
  <si>
    <t>Bln</t>
  </si>
  <si>
    <t>Thn</t>
  </si>
  <si>
    <t>Tabel 5. Penyusunan hasil perhitungan harga X dan Y indeks ke satu dari Skema 3</t>
  </si>
  <si>
    <r>
      <t>Tabel 6. Konstanta pengali untuk menghitung harga X</t>
    </r>
    <r>
      <rPr>
        <b/>
        <vertAlign val="subscript"/>
        <sz val="11"/>
        <rFont val="Arial"/>
        <family val="2"/>
      </rPr>
      <t>00</t>
    </r>
    <r>
      <rPr>
        <b/>
        <vertAlign val="subscript"/>
        <sz val="11"/>
        <rFont val="Gas Huffer Phat"/>
      </rPr>
      <t xml:space="preserve"> </t>
    </r>
    <r>
      <rPr>
        <b/>
        <sz val="11"/>
        <rFont val="Arial"/>
        <family val="2"/>
      </rPr>
      <t>, X</t>
    </r>
    <r>
      <rPr>
        <b/>
        <vertAlign val="subscript"/>
        <sz val="11"/>
        <rFont val="Arial"/>
        <family val="2"/>
      </rPr>
      <t>10</t>
    </r>
    <r>
      <rPr>
        <b/>
        <sz val="11"/>
        <rFont val="Arial"/>
        <family val="2"/>
      </rPr>
      <t xml:space="preserve"> dan Y</t>
    </r>
    <r>
      <rPr>
        <b/>
        <vertAlign val="subscript"/>
        <sz val="11"/>
        <rFont val="Arial"/>
        <family val="2"/>
      </rPr>
      <t>10</t>
    </r>
    <r>
      <rPr>
        <b/>
        <sz val="11"/>
        <rFont val="Arial"/>
        <family val="2"/>
      </rPr>
      <t>.</t>
    </r>
  </si>
  <si>
    <t>Indeks kedua</t>
  </si>
  <si>
    <t>b</t>
  </si>
  <si>
    <t>c</t>
  </si>
  <si>
    <t>d</t>
  </si>
  <si>
    <t>Pengali untuk B (29 piantan)</t>
  </si>
  <si>
    <t>Pengali untuk B (15 piantan)</t>
  </si>
  <si>
    <r>
      <t>Waktu menengah</t>
    </r>
    <r>
      <rPr>
        <sz val="11"/>
        <rFont val="Gas Huffer Phat"/>
      </rPr>
      <t xml:space="preserve"> </t>
    </r>
    <r>
      <rPr>
        <sz val="11"/>
        <rFont val="Symbol"/>
        <family val="1"/>
        <charset val="2"/>
      </rPr>
      <t>®</t>
    </r>
  </si>
  <si>
    <t>Konstanta untuk 29 piantan</t>
  </si>
  <si>
    <t>Konstanta untuk 15 piantan</t>
  </si>
  <si>
    <r>
      <t>Tabel 7. Perhitungan harga X</t>
    </r>
    <r>
      <rPr>
        <b/>
        <vertAlign val="subscript"/>
        <sz val="11"/>
        <rFont val="Arial"/>
        <family val="2"/>
      </rPr>
      <t>10</t>
    </r>
  </si>
  <si>
    <t>Konstanta</t>
  </si>
  <si>
    <r>
      <t>X</t>
    </r>
    <r>
      <rPr>
        <b/>
        <vertAlign val="subscript"/>
        <sz val="11"/>
        <rFont val="Arial"/>
        <family val="2"/>
      </rPr>
      <t>10</t>
    </r>
  </si>
  <si>
    <t>Catatan : Besar konstanta dapat dilihat pada Tabel 6.</t>
  </si>
  <si>
    <r>
      <t>Y</t>
    </r>
    <r>
      <rPr>
        <b/>
        <vertAlign val="subscript"/>
        <sz val="11"/>
        <rFont val="Arial"/>
        <family val="2"/>
      </rPr>
      <t>10</t>
    </r>
  </si>
  <si>
    <r>
      <t>X</t>
    </r>
    <r>
      <rPr>
        <b/>
        <vertAlign val="subscript"/>
        <sz val="11"/>
        <rFont val="Arial"/>
        <family val="2"/>
      </rPr>
      <t>12</t>
    </r>
  </si>
  <si>
    <r>
      <t>Y</t>
    </r>
    <r>
      <rPr>
        <b/>
        <vertAlign val="subscript"/>
        <sz val="11"/>
        <rFont val="Arial"/>
        <family val="2"/>
      </rPr>
      <t>12</t>
    </r>
  </si>
  <si>
    <r>
      <t>X</t>
    </r>
    <r>
      <rPr>
        <b/>
        <vertAlign val="subscript"/>
        <sz val="11"/>
        <rFont val="Arial"/>
        <family val="2"/>
      </rPr>
      <t>1b</t>
    </r>
  </si>
  <si>
    <r>
      <t>Y</t>
    </r>
    <r>
      <rPr>
        <b/>
        <vertAlign val="subscript"/>
        <sz val="11"/>
        <rFont val="Arial"/>
        <family val="2"/>
      </rPr>
      <t>1b</t>
    </r>
  </si>
  <si>
    <r>
      <t>X</t>
    </r>
    <r>
      <rPr>
        <b/>
        <vertAlign val="subscript"/>
        <sz val="11"/>
        <rFont val="Arial"/>
        <family val="2"/>
      </rPr>
      <t>13</t>
    </r>
  </si>
  <si>
    <r>
      <t>Y</t>
    </r>
    <r>
      <rPr>
        <b/>
        <vertAlign val="subscript"/>
        <sz val="11"/>
        <rFont val="Arial"/>
        <family val="2"/>
      </rPr>
      <t>13</t>
    </r>
  </si>
  <si>
    <r>
      <t>X</t>
    </r>
    <r>
      <rPr>
        <b/>
        <vertAlign val="subscript"/>
        <sz val="11"/>
        <rFont val="Arial"/>
        <family val="2"/>
      </rPr>
      <t>1c</t>
    </r>
  </si>
  <si>
    <r>
      <t>Y</t>
    </r>
    <r>
      <rPr>
        <b/>
        <vertAlign val="subscript"/>
        <sz val="11"/>
        <rFont val="Arial"/>
        <family val="2"/>
      </rPr>
      <t>1c</t>
    </r>
  </si>
  <si>
    <r>
      <t>X</t>
    </r>
    <r>
      <rPr>
        <b/>
        <vertAlign val="subscript"/>
        <sz val="11"/>
        <rFont val="Arial"/>
        <family val="2"/>
      </rPr>
      <t>23</t>
    </r>
  </si>
  <si>
    <r>
      <t>Y</t>
    </r>
    <r>
      <rPr>
        <b/>
        <vertAlign val="subscript"/>
        <sz val="11"/>
        <rFont val="Arial"/>
        <family val="2"/>
      </rPr>
      <t>23</t>
    </r>
  </si>
  <si>
    <r>
      <t>X</t>
    </r>
    <r>
      <rPr>
        <b/>
        <vertAlign val="subscript"/>
        <sz val="11"/>
        <rFont val="Arial"/>
        <family val="2"/>
      </rPr>
      <t>22</t>
    </r>
  </si>
  <si>
    <r>
      <t>Y</t>
    </r>
    <r>
      <rPr>
        <b/>
        <vertAlign val="subscript"/>
        <sz val="11"/>
        <rFont val="Arial"/>
        <family val="2"/>
      </rPr>
      <t>22</t>
    </r>
  </si>
  <si>
    <r>
      <t>X</t>
    </r>
    <r>
      <rPr>
        <b/>
        <vertAlign val="subscript"/>
        <sz val="11"/>
        <rFont val="Arial"/>
        <family val="2"/>
      </rPr>
      <t>2b</t>
    </r>
  </si>
  <si>
    <r>
      <t>Y</t>
    </r>
    <r>
      <rPr>
        <b/>
        <vertAlign val="subscript"/>
        <sz val="11"/>
        <rFont val="Arial"/>
        <family val="2"/>
      </rPr>
      <t>2b</t>
    </r>
  </si>
  <si>
    <r>
      <t>X</t>
    </r>
    <r>
      <rPr>
        <b/>
        <vertAlign val="subscript"/>
        <sz val="11"/>
        <rFont val="Arial"/>
        <family val="2"/>
      </rPr>
      <t>2c</t>
    </r>
  </si>
  <si>
    <r>
      <t>Y</t>
    </r>
    <r>
      <rPr>
        <b/>
        <vertAlign val="subscript"/>
        <sz val="11"/>
        <rFont val="Arial"/>
        <family val="2"/>
      </rPr>
      <t>2c</t>
    </r>
  </si>
  <si>
    <r>
      <t>X</t>
    </r>
    <r>
      <rPr>
        <b/>
        <vertAlign val="subscript"/>
        <sz val="11"/>
        <rFont val="Arial"/>
        <family val="2"/>
      </rPr>
      <t>44</t>
    </r>
  </si>
  <si>
    <r>
      <t>Y</t>
    </r>
    <r>
      <rPr>
        <b/>
        <vertAlign val="subscript"/>
        <sz val="11"/>
        <rFont val="Arial"/>
        <family val="2"/>
      </rPr>
      <t>44</t>
    </r>
  </si>
  <si>
    <r>
      <t>X</t>
    </r>
    <r>
      <rPr>
        <b/>
        <vertAlign val="subscript"/>
        <sz val="11"/>
        <rFont val="Arial"/>
        <family val="2"/>
      </rPr>
      <t>4d</t>
    </r>
  </si>
  <si>
    <r>
      <t>Y</t>
    </r>
    <r>
      <rPr>
        <b/>
        <vertAlign val="subscript"/>
        <sz val="11"/>
        <rFont val="Arial"/>
        <family val="2"/>
      </rPr>
      <t>4d</t>
    </r>
  </si>
  <si>
    <r>
      <t>Perhitungan harga X</t>
    </r>
    <r>
      <rPr>
        <vertAlign val="subscript"/>
        <sz val="11"/>
        <rFont val="Arial"/>
        <family val="2"/>
      </rPr>
      <t>42</t>
    </r>
  </si>
  <si>
    <r>
      <t>X</t>
    </r>
    <r>
      <rPr>
        <vertAlign val="subscript"/>
        <sz val="11"/>
        <rFont val="Arial"/>
        <family val="2"/>
      </rPr>
      <t>42</t>
    </r>
  </si>
  <si>
    <r>
      <t>Perhitungan harga Y</t>
    </r>
    <r>
      <rPr>
        <vertAlign val="subscript"/>
        <sz val="11"/>
        <rFont val="Arial"/>
        <family val="2"/>
      </rPr>
      <t>42</t>
    </r>
  </si>
  <si>
    <r>
      <t>Y</t>
    </r>
    <r>
      <rPr>
        <vertAlign val="subscript"/>
        <sz val="11"/>
        <rFont val="Arial"/>
        <family val="2"/>
      </rPr>
      <t>42</t>
    </r>
  </si>
  <si>
    <r>
      <t>Perhitungan harga X</t>
    </r>
    <r>
      <rPr>
        <vertAlign val="subscript"/>
        <sz val="11"/>
        <rFont val="Arial"/>
        <family val="2"/>
      </rPr>
      <t>4b</t>
    </r>
  </si>
  <si>
    <r>
      <t>X</t>
    </r>
    <r>
      <rPr>
        <vertAlign val="subscript"/>
        <sz val="11"/>
        <rFont val="Arial"/>
        <family val="2"/>
      </rPr>
      <t>4b</t>
    </r>
  </si>
  <si>
    <r>
      <t>Perhitungan harga Y</t>
    </r>
    <r>
      <rPr>
        <vertAlign val="subscript"/>
        <sz val="11"/>
        <rFont val="Arial"/>
        <family val="2"/>
      </rPr>
      <t>4b</t>
    </r>
  </si>
  <si>
    <r>
      <t>Y</t>
    </r>
    <r>
      <rPr>
        <vertAlign val="subscript"/>
        <sz val="11"/>
        <rFont val="Arial"/>
        <family val="2"/>
      </rPr>
      <t>4b</t>
    </r>
  </si>
  <si>
    <t>Indeks Tanda</t>
  </si>
  <si>
    <t>Besarnya harga</t>
  </si>
  <si>
    <t>X</t>
  </si>
  <si>
    <t>Y</t>
  </si>
  <si>
    <t>1b</t>
  </si>
  <si>
    <t>1c</t>
  </si>
  <si>
    <t>2b</t>
  </si>
  <si>
    <t>2c</t>
  </si>
  <si>
    <t>4b</t>
  </si>
  <si>
    <t>4d</t>
  </si>
  <si>
    <t>Tabel 30. Harga pengali untuk 29 piantan.</t>
  </si>
  <si>
    <r>
      <t>S</t>
    </r>
    <r>
      <rPr>
        <b/>
        <vertAlign val="subscript"/>
        <sz val="11"/>
        <rFont val="Arial"/>
        <family val="2"/>
      </rPr>
      <t>0</t>
    </r>
  </si>
  <si>
    <r>
      <t>M</t>
    </r>
    <r>
      <rPr>
        <b/>
        <vertAlign val="subscript"/>
        <sz val="11"/>
        <rFont val="Arial"/>
        <family val="2"/>
      </rPr>
      <t>2</t>
    </r>
  </si>
  <si>
    <r>
      <t>S</t>
    </r>
    <r>
      <rPr>
        <b/>
        <vertAlign val="subscript"/>
        <sz val="11"/>
        <rFont val="Arial"/>
        <family val="2"/>
      </rPr>
      <t>2</t>
    </r>
  </si>
  <si>
    <r>
      <t>N</t>
    </r>
    <r>
      <rPr>
        <b/>
        <vertAlign val="subscript"/>
        <sz val="11"/>
        <rFont val="Arial"/>
        <family val="2"/>
      </rPr>
      <t>2</t>
    </r>
  </si>
  <si>
    <r>
      <t>K</t>
    </r>
    <r>
      <rPr>
        <b/>
        <vertAlign val="subscript"/>
        <sz val="11"/>
        <rFont val="Arial"/>
        <family val="2"/>
      </rPr>
      <t>1</t>
    </r>
  </si>
  <si>
    <r>
      <t>O</t>
    </r>
    <r>
      <rPr>
        <b/>
        <vertAlign val="subscript"/>
        <sz val="11"/>
        <rFont val="Arial"/>
        <family val="2"/>
      </rPr>
      <t>1</t>
    </r>
  </si>
  <si>
    <r>
      <t>M</t>
    </r>
    <r>
      <rPr>
        <b/>
        <vertAlign val="subscript"/>
        <sz val="11"/>
        <rFont val="Arial"/>
        <family val="2"/>
      </rPr>
      <t>4</t>
    </r>
  </si>
  <si>
    <r>
      <t>MS</t>
    </r>
    <r>
      <rPr>
        <b/>
        <vertAlign val="subscript"/>
        <sz val="11"/>
        <rFont val="Arial"/>
        <family val="2"/>
      </rPr>
      <t>4</t>
    </r>
  </si>
  <si>
    <t>Untuk Skema 5 harga P.R.Cos r</t>
  </si>
  <si>
    <r>
      <t>X</t>
    </r>
    <r>
      <rPr>
        <vertAlign val="subscript"/>
        <sz val="11"/>
        <rFont val="Arial"/>
        <family val="2"/>
      </rPr>
      <t>00</t>
    </r>
  </si>
  <si>
    <r>
      <t>X</t>
    </r>
    <r>
      <rPr>
        <vertAlign val="subscript"/>
        <sz val="11"/>
        <rFont val="Arial"/>
        <family val="2"/>
      </rPr>
      <t>10</t>
    </r>
  </si>
  <si>
    <r>
      <t>X</t>
    </r>
    <r>
      <rPr>
        <vertAlign val="subscript"/>
        <sz val="11"/>
        <rFont val="Arial"/>
        <family val="2"/>
      </rPr>
      <t>12</t>
    </r>
    <r>
      <rPr>
        <sz val="11"/>
        <rFont val="Arial"/>
        <family val="2"/>
      </rPr>
      <t xml:space="preserve"> - Y</t>
    </r>
    <r>
      <rPr>
        <vertAlign val="subscript"/>
        <sz val="11"/>
        <rFont val="Arial"/>
        <family val="2"/>
      </rPr>
      <t>1b</t>
    </r>
  </si>
  <si>
    <r>
      <t>X</t>
    </r>
    <r>
      <rPr>
        <vertAlign val="subscript"/>
        <sz val="11"/>
        <rFont val="Arial"/>
        <family val="2"/>
      </rPr>
      <t>13</t>
    </r>
    <r>
      <rPr>
        <sz val="11"/>
        <rFont val="Arial"/>
        <family val="2"/>
      </rPr>
      <t xml:space="preserve"> - Y</t>
    </r>
    <r>
      <rPr>
        <vertAlign val="subscript"/>
        <sz val="11"/>
        <rFont val="Arial"/>
        <family val="2"/>
      </rPr>
      <t>1c</t>
    </r>
  </si>
  <si>
    <r>
      <t>X</t>
    </r>
    <r>
      <rPr>
        <vertAlign val="subscript"/>
        <sz val="11"/>
        <rFont val="Arial"/>
        <family val="2"/>
      </rPr>
      <t>20</t>
    </r>
  </si>
  <si>
    <r>
      <t>X</t>
    </r>
    <r>
      <rPr>
        <vertAlign val="subscript"/>
        <sz val="11"/>
        <rFont val="Arial"/>
        <family val="2"/>
      </rPr>
      <t>22</t>
    </r>
    <r>
      <rPr>
        <sz val="11"/>
        <rFont val="Arial"/>
        <family val="2"/>
      </rPr>
      <t xml:space="preserve"> - Y</t>
    </r>
    <r>
      <rPr>
        <vertAlign val="subscript"/>
        <sz val="11"/>
        <rFont val="Arial"/>
        <family val="2"/>
      </rPr>
      <t>2b</t>
    </r>
  </si>
  <si>
    <r>
      <t>X</t>
    </r>
    <r>
      <rPr>
        <vertAlign val="subscript"/>
        <sz val="11"/>
        <rFont val="Arial"/>
        <family val="2"/>
      </rPr>
      <t>23</t>
    </r>
    <r>
      <rPr>
        <sz val="11"/>
        <rFont val="Arial"/>
        <family val="2"/>
      </rPr>
      <t xml:space="preserve"> - Y</t>
    </r>
    <r>
      <rPr>
        <vertAlign val="subscript"/>
        <sz val="11"/>
        <rFont val="Arial"/>
        <family val="2"/>
      </rPr>
      <t>2c</t>
    </r>
  </si>
  <si>
    <r>
      <t>X</t>
    </r>
    <r>
      <rPr>
        <vertAlign val="subscript"/>
        <sz val="11"/>
        <rFont val="Arial"/>
        <family val="2"/>
      </rPr>
      <t>13</t>
    </r>
    <r>
      <rPr>
        <sz val="11"/>
        <rFont val="Arial"/>
        <family val="2"/>
      </rPr>
      <t xml:space="preserve"> - Y</t>
    </r>
    <r>
      <rPr>
        <vertAlign val="subscript"/>
        <sz val="11"/>
        <rFont val="Arial"/>
        <family val="2"/>
      </rPr>
      <t>4b</t>
    </r>
  </si>
  <si>
    <r>
      <t>X</t>
    </r>
    <r>
      <rPr>
        <vertAlign val="subscript"/>
        <sz val="11"/>
        <rFont val="Arial"/>
        <family val="2"/>
      </rPr>
      <t>44</t>
    </r>
    <r>
      <rPr>
        <sz val="11"/>
        <rFont val="Arial"/>
        <family val="2"/>
      </rPr>
      <t xml:space="preserve"> - Y</t>
    </r>
    <r>
      <rPr>
        <vertAlign val="subscript"/>
        <sz val="11"/>
        <rFont val="Arial"/>
        <family val="2"/>
      </rPr>
      <t>4d</t>
    </r>
  </si>
  <si>
    <t>Untuk Skema 6 harga P.R.Sin r</t>
  </si>
  <si>
    <r>
      <t>Y</t>
    </r>
    <r>
      <rPr>
        <vertAlign val="subscript"/>
        <sz val="11"/>
        <rFont val="Arial"/>
        <family val="2"/>
      </rPr>
      <t>10</t>
    </r>
  </si>
  <si>
    <r>
      <t>Y</t>
    </r>
    <r>
      <rPr>
        <vertAlign val="subscript"/>
        <sz val="11"/>
        <rFont val="Arial"/>
        <family val="2"/>
      </rPr>
      <t>12</t>
    </r>
    <r>
      <rPr>
        <sz val="11"/>
        <rFont val="Arial"/>
        <family val="2"/>
      </rPr>
      <t xml:space="preserve"> + X</t>
    </r>
    <r>
      <rPr>
        <vertAlign val="subscript"/>
        <sz val="11"/>
        <rFont val="Arial"/>
        <family val="2"/>
      </rPr>
      <t>1b</t>
    </r>
  </si>
  <si>
    <r>
      <t>Y</t>
    </r>
    <r>
      <rPr>
        <vertAlign val="subscript"/>
        <sz val="11"/>
        <rFont val="Arial"/>
        <family val="2"/>
      </rPr>
      <t>13</t>
    </r>
    <r>
      <rPr>
        <sz val="11"/>
        <rFont val="Arial"/>
        <family val="2"/>
      </rPr>
      <t xml:space="preserve"> + X</t>
    </r>
    <r>
      <rPr>
        <vertAlign val="subscript"/>
        <sz val="11"/>
        <rFont val="Arial"/>
        <family val="2"/>
      </rPr>
      <t>1c</t>
    </r>
  </si>
  <si>
    <r>
      <t>Y</t>
    </r>
    <r>
      <rPr>
        <vertAlign val="subscript"/>
        <sz val="11"/>
        <rFont val="Arial"/>
        <family val="2"/>
      </rPr>
      <t>20</t>
    </r>
  </si>
  <si>
    <r>
      <t>Y</t>
    </r>
    <r>
      <rPr>
        <vertAlign val="subscript"/>
        <sz val="11"/>
        <rFont val="Arial"/>
        <family val="2"/>
      </rPr>
      <t>22</t>
    </r>
    <r>
      <rPr>
        <sz val="11"/>
        <rFont val="Arial"/>
        <family val="2"/>
      </rPr>
      <t xml:space="preserve"> + X</t>
    </r>
    <r>
      <rPr>
        <vertAlign val="subscript"/>
        <sz val="11"/>
        <rFont val="Arial"/>
        <family val="2"/>
      </rPr>
      <t>2b</t>
    </r>
  </si>
  <si>
    <r>
      <t>Y</t>
    </r>
    <r>
      <rPr>
        <vertAlign val="subscript"/>
        <sz val="11"/>
        <rFont val="Arial"/>
        <family val="2"/>
      </rPr>
      <t>23</t>
    </r>
    <r>
      <rPr>
        <sz val="11"/>
        <rFont val="Arial"/>
        <family val="2"/>
      </rPr>
      <t xml:space="preserve"> + X</t>
    </r>
    <r>
      <rPr>
        <vertAlign val="subscript"/>
        <sz val="11"/>
        <rFont val="Arial"/>
        <family val="2"/>
      </rPr>
      <t>2c</t>
    </r>
  </si>
  <si>
    <r>
      <t>Y</t>
    </r>
    <r>
      <rPr>
        <vertAlign val="subscript"/>
        <sz val="11"/>
        <rFont val="Arial"/>
        <family val="2"/>
      </rPr>
      <t>23</t>
    </r>
    <r>
      <rPr>
        <sz val="11"/>
        <rFont val="Arial"/>
        <family val="2"/>
      </rPr>
      <t xml:space="preserve"> + X</t>
    </r>
    <r>
      <rPr>
        <vertAlign val="subscript"/>
        <sz val="11"/>
        <rFont val="Arial"/>
        <family val="2"/>
      </rPr>
      <t>4b</t>
    </r>
  </si>
  <si>
    <r>
      <t>Y</t>
    </r>
    <r>
      <rPr>
        <vertAlign val="subscript"/>
        <sz val="11"/>
        <rFont val="Arial"/>
        <family val="2"/>
      </rPr>
      <t>44</t>
    </r>
    <r>
      <rPr>
        <sz val="11"/>
        <rFont val="Arial"/>
        <family val="2"/>
      </rPr>
      <t xml:space="preserve"> + X</t>
    </r>
    <r>
      <rPr>
        <vertAlign val="subscript"/>
        <sz val="11"/>
        <rFont val="Arial"/>
        <family val="2"/>
      </rPr>
      <t>4d</t>
    </r>
  </si>
  <si>
    <t>Skema 7</t>
  </si>
  <si>
    <t>Deler P</t>
  </si>
  <si>
    <t>Konstanta P</t>
  </si>
  <si>
    <t>Tabel 31. Harga pengali untuk 15 piantan.</t>
  </si>
  <si>
    <r>
      <t>X</t>
    </r>
    <r>
      <rPr>
        <vertAlign val="subscript"/>
        <sz val="11"/>
        <rFont val="Arial"/>
        <family val="2"/>
      </rPr>
      <t>42</t>
    </r>
    <r>
      <rPr>
        <sz val="11"/>
        <rFont val="Arial"/>
        <family val="2"/>
      </rPr>
      <t xml:space="preserve"> - Y</t>
    </r>
    <r>
      <rPr>
        <vertAlign val="subscript"/>
        <sz val="11"/>
        <rFont val="Arial"/>
        <family val="2"/>
      </rPr>
      <t>4b</t>
    </r>
  </si>
  <si>
    <r>
      <t>Y</t>
    </r>
    <r>
      <rPr>
        <vertAlign val="subscript"/>
        <sz val="11"/>
        <rFont val="Arial"/>
        <family val="2"/>
      </rPr>
      <t>42</t>
    </r>
    <r>
      <rPr>
        <sz val="11"/>
        <rFont val="Arial"/>
        <family val="2"/>
      </rPr>
      <t xml:space="preserve"> + X</t>
    </r>
    <r>
      <rPr>
        <vertAlign val="subscript"/>
        <sz val="11"/>
        <rFont val="Arial"/>
        <family val="2"/>
      </rPr>
      <t>4b</t>
    </r>
  </si>
  <si>
    <t>-P</t>
  </si>
  <si>
    <t>Posisi Stasiun</t>
  </si>
  <si>
    <t>Lokasi</t>
  </si>
  <si>
    <t>Lintang</t>
  </si>
  <si>
    <t>Waktu menengah</t>
  </si>
  <si>
    <t>Bujur</t>
  </si>
  <si>
    <t>Waktu standar</t>
  </si>
  <si>
    <t>Skema 5</t>
  </si>
  <si>
    <t>Skema 6</t>
  </si>
  <si>
    <t>Tabel 33. Penyusunan hasil perhitungan besaran X dan Y dari konstanta-konstanta pasut untuk</t>
  </si>
  <si>
    <t xml:space="preserve">  29 piantan dan 15 piantan yang pada Tabel 32 yang telah dibulatkan.</t>
  </si>
  <si>
    <t>: ……………... LS</t>
  </si>
  <si>
    <t>: ………………... BT</t>
  </si>
  <si>
    <r>
      <t>S</t>
    </r>
    <r>
      <rPr>
        <vertAlign val="subscript"/>
        <sz val="11"/>
        <rFont val="Arial"/>
        <family val="2"/>
      </rPr>
      <t>0</t>
    </r>
  </si>
  <si>
    <r>
      <t>M</t>
    </r>
    <r>
      <rPr>
        <vertAlign val="subscript"/>
        <sz val="11"/>
        <rFont val="Arial"/>
        <family val="2"/>
      </rPr>
      <t>2</t>
    </r>
  </si>
  <si>
    <r>
      <t>S</t>
    </r>
    <r>
      <rPr>
        <vertAlign val="subscript"/>
        <sz val="11"/>
        <rFont val="Arial"/>
        <family val="2"/>
      </rPr>
      <t>2</t>
    </r>
  </si>
  <si>
    <r>
      <t>N</t>
    </r>
    <r>
      <rPr>
        <vertAlign val="subscript"/>
        <sz val="11"/>
        <rFont val="Arial"/>
        <family val="2"/>
      </rPr>
      <t>2</t>
    </r>
  </si>
  <si>
    <r>
      <t>K</t>
    </r>
    <r>
      <rPr>
        <vertAlign val="subscript"/>
        <sz val="11"/>
        <rFont val="Arial"/>
        <family val="2"/>
      </rPr>
      <t>1</t>
    </r>
  </si>
  <si>
    <r>
      <t>O</t>
    </r>
    <r>
      <rPr>
        <vertAlign val="subscript"/>
        <sz val="11"/>
        <rFont val="Arial"/>
        <family val="2"/>
      </rPr>
      <t>1</t>
    </r>
  </si>
  <si>
    <r>
      <t>M</t>
    </r>
    <r>
      <rPr>
        <vertAlign val="subscript"/>
        <sz val="11"/>
        <rFont val="Arial"/>
        <family val="2"/>
      </rPr>
      <t>4</t>
    </r>
  </si>
  <si>
    <r>
      <t>MS</t>
    </r>
    <r>
      <rPr>
        <vertAlign val="subscript"/>
        <sz val="11"/>
        <rFont val="Arial"/>
        <family val="2"/>
      </rPr>
      <t>4</t>
    </r>
  </si>
  <si>
    <t xml:space="preserve">Tabel 34. Hubungan besaran W, f, V, u, A dan g terhadap </t>
  </si>
  <si>
    <t>konstanta-konstanta pasut.</t>
  </si>
  <si>
    <r>
      <t>1. Besaran W untuk M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, O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 xml:space="preserve"> dan M</t>
    </r>
    <r>
      <rPr>
        <vertAlign val="subscript"/>
        <sz val="11"/>
        <rFont val="Arial"/>
        <family val="2"/>
      </rPr>
      <t>4</t>
    </r>
  </si>
  <si>
    <r>
      <t>W. M</t>
    </r>
    <r>
      <rPr>
        <vertAlign val="subscript"/>
        <sz val="11"/>
        <rFont val="Arial"/>
        <family val="2"/>
      </rPr>
      <t>2</t>
    </r>
  </si>
  <si>
    <r>
      <t>W. O</t>
    </r>
    <r>
      <rPr>
        <vertAlign val="subscript"/>
        <sz val="11"/>
        <rFont val="Arial"/>
        <family val="2"/>
      </rPr>
      <t>1</t>
    </r>
  </si>
  <si>
    <r>
      <t>W. M</t>
    </r>
    <r>
      <rPr>
        <vertAlign val="subscript"/>
        <sz val="11"/>
        <rFont val="Arial"/>
        <family val="2"/>
      </rPr>
      <t>4</t>
    </r>
  </si>
  <si>
    <r>
      <t>2. Besaran f, V dan u untuk S</t>
    </r>
    <r>
      <rPr>
        <vertAlign val="subscript"/>
        <sz val="11"/>
        <rFont val="Arial"/>
        <family val="2"/>
      </rPr>
      <t>2</t>
    </r>
  </si>
  <si>
    <r>
      <t>f. S</t>
    </r>
    <r>
      <rPr>
        <vertAlign val="subscript"/>
        <sz val="11"/>
        <rFont val="Arial"/>
        <family val="2"/>
      </rPr>
      <t>2</t>
    </r>
  </si>
  <si>
    <r>
      <t>V. S</t>
    </r>
    <r>
      <rPr>
        <vertAlign val="subscript"/>
        <sz val="11"/>
        <rFont val="Arial"/>
        <family val="2"/>
      </rPr>
      <t>2</t>
    </r>
  </si>
  <si>
    <r>
      <t>u. S</t>
    </r>
    <r>
      <rPr>
        <vertAlign val="subscript"/>
        <sz val="11"/>
        <rFont val="Arial"/>
        <family val="2"/>
      </rPr>
      <t>2</t>
    </r>
  </si>
  <si>
    <r>
      <t>3. Besaran f dan u untuk N</t>
    </r>
    <r>
      <rPr>
        <vertAlign val="subscript"/>
        <sz val="11"/>
        <rFont val="Arial"/>
        <family val="2"/>
      </rPr>
      <t xml:space="preserve">2 </t>
    </r>
    <r>
      <rPr>
        <sz val="11"/>
        <rFont val="Arial"/>
        <family val="2"/>
      </rPr>
      <t>dan MS</t>
    </r>
    <r>
      <rPr>
        <vertAlign val="subscript"/>
        <sz val="11"/>
        <rFont val="Arial"/>
        <family val="2"/>
      </rPr>
      <t>4</t>
    </r>
  </si>
  <si>
    <r>
      <t>f. N</t>
    </r>
    <r>
      <rPr>
        <vertAlign val="subscript"/>
        <sz val="11"/>
        <rFont val="Arial"/>
        <family val="2"/>
      </rPr>
      <t>2</t>
    </r>
  </si>
  <si>
    <r>
      <t>f. MS</t>
    </r>
    <r>
      <rPr>
        <vertAlign val="subscript"/>
        <sz val="11"/>
        <rFont val="Arial"/>
        <family val="2"/>
      </rPr>
      <t>4</t>
    </r>
  </si>
  <si>
    <r>
      <t>f. M</t>
    </r>
    <r>
      <rPr>
        <vertAlign val="subscript"/>
        <sz val="11"/>
        <rFont val="Arial"/>
        <family val="2"/>
      </rPr>
      <t>2</t>
    </r>
  </si>
  <si>
    <r>
      <t>u. N</t>
    </r>
    <r>
      <rPr>
        <vertAlign val="subscript"/>
        <sz val="11"/>
        <rFont val="Arial"/>
        <family val="2"/>
      </rPr>
      <t>2</t>
    </r>
  </si>
  <si>
    <r>
      <t>u. MS</t>
    </r>
    <r>
      <rPr>
        <vertAlign val="subscript"/>
        <sz val="11"/>
        <rFont val="Arial"/>
        <family val="2"/>
      </rPr>
      <t>4</t>
    </r>
  </si>
  <si>
    <r>
      <t>u. M</t>
    </r>
    <r>
      <rPr>
        <vertAlign val="subscript"/>
        <sz val="11"/>
        <rFont val="Arial"/>
        <family val="2"/>
      </rPr>
      <t>2</t>
    </r>
  </si>
  <si>
    <r>
      <t>4. Besaran f, V dan u untuk M</t>
    </r>
    <r>
      <rPr>
        <vertAlign val="subscript"/>
        <sz val="11"/>
        <rFont val="Arial"/>
        <family val="2"/>
      </rPr>
      <t>4</t>
    </r>
  </si>
  <si>
    <r>
      <t>f. M</t>
    </r>
    <r>
      <rPr>
        <vertAlign val="subscript"/>
        <sz val="11"/>
        <rFont val="Arial"/>
        <family val="2"/>
      </rPr>
      <t>4</t>
    </r>
  </si>
  <si>
    <r>
      <t>(f. M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)</t>
    </r>
    <r>
      <rPr>
        <vertAlign val="superscript"/>
        <sz val="11"/>
        <rFont val="Arial"/>
        <family val="2"/>
      </rPr>
      <t>2</t>
    </r>
  </si>
  <si>
    <r>
      <t>V. M</t>
    </r>
    <r>
      <rPr>
        <vertAlign val="subscript"/>
        <sz val="11"/>
        <rFont val="Arial"/>
        <family val="2"/>
      </rPr>
      <t>4</t>
    </r>
  </si>
  <si>
    <r>
      <t>(V. M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) x 2</t>
    </r>
  </si>
  <si>
    <r>
      <t>u. M</t>
    </r>
    <r>
      <rPr>
        <vertAlign val="subscript"/>
        <sz val="11"/>
        <rFont val="Arial"/>
        <family val="2"/>
      </rPr>
      <t>4</t>
    </r>
  </si>
  <si>
    <r>
      <t>(u. M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) x 2</t>
    </r>
  </si>
  <si>
    <r>
      <t>5. Besaran V.MS</t>
    </r>
    <r>
      <rPr>
        <vertAlign val="subscript"/>
        <sz val="11"/>
        <rFont val="Arial"/>
        <family val="2"/>
      </rPr>
      <t>4</t>
    </r>
  </si>
  <si>
    <r>
      <t>V. MS</t>
    </r>
    <r>
      <rPr>
        <vertAlign val="subscript"/>
        <sz val="11"/>
        <rFont val="Arial"/>
        <family val="2"/>
      </rPr>
      <t>4</t>
    </r>
  </si>
  <si>
    <r>
      <t>V. M</t>
    </r>
    <r>
      <rPr>
        <vertAlign val="subscript"/>
        <sz val="11"/>
        <rFont val="Arial"/>
        <family val="2"/>
      </rPr>
      <t>2</t>
    </r>
  </si>
  <si>
    <r>
      <t>6. Besaran A dan g untuk K</t>
    </r>
    <r>
      <rPr>
        <vertAlign val="subscript"/>
        <sz val="11"/>
        <rFont val="Arial"/>
        <family val="2"/>
      </rPr>
      <t>2</t>
    </r>
  </si>
  <si>
    <r>
      <t>A. K</t>
    </r>
    <r>
      <rPr>
        <vertAlign val="subscript"/>
        <sz val="11"/>
        <rFont val="Arial"/>
        <family val="2"/>
      </rPr>
      <t>2</t>
    </r>
  </si>
  <si>
    <r>
      <t>(A. S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)</t>
    </r>
    <r>
      <rPr>
        <vertAlign val="superscript"/>
        <sz val="11"/>
        <rFont val="Arial"/>
        <family val="2"/>
      </rPr>
      <t xml:space="preserve"> </t>
    </r>
    <r>
      <rPr>
        <sz val="11"/>
        <rFont val="Arial"/>
        <family val="2"/>
      </rPr>
      <t>x (0.27)</t>
    </r>
  </si>
  <si>
    <r>
      <t>g. K</t>
    </r>
    <r>
      <rPr>
        <vertAlign val="subscript"/>
        <sz val="11"/>
        <rFont val="Arial"/>
        <family val="2"/>
      </rPr>
      <t>2</t>
    </r>
  </si>
  <si>
    <r>
      <t>(g. S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)</t>
    </r>
  </si>
  <si>
    <r>
      <t>7. Besaran A dan g untuk P</t>
    </r>
    <r>
      <rPr>
        <vertAlign val="subscript"/>
        <sz val="11"/>
        <rFont val="Arial"/>
        <family val="2"/>
      </rPr>
      <t>1</t>
    </r>
  </si>
  <si>
    <r>
      <t>A. P</t>
    </r>
    <r>
      <rPr>
        <vertAlign val="subscript"/>
        <sz val="11"/>
        <rFont val="Arial"/>
        <family val="2"/>
      </rPr>
      <t>1</t>
    </r>
  </si>
  <si>
    <r>
      <t>(A. K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)</t>
    </r>
    <r>
      <rPr>
        <vertAlign val="superscript"/>
        <sz val="11"/>
        <rFont val="Arial"/>
        <family val="2"/>
      </rPr>
      <t xml:space="preserve"> </t>
    </r>
    <r>
      <rPr>
        <sz val="11"/>
        <rFont val="Arial"/>
        <family val="2"/>
      </rPr>
      <t>x (0.33)</t>
    </r>
  </si>
  <si>
    <r>
      <t>g. P</t>
    </r>
    <r>
      <rPr>
        <vertAlign val="subscript"/>
        <sz val="11"/>
        <rFont val="Arial"/>
        <family val="2"/>
      </rPr>
      <t>1</t>
    </r>
  </si>
  <si>
    <r>
      <t>g. K</t>
    </r>
    <r>
      <rPr>
        <vertAlign val="subscript"/>
        <sz val="11"/>
        <rFont val="Arial"/>
        <family val="2"/>
      </rPr>
      <t>1</t>
    </r>
  </si>
  <si>
    <t>Menghitung besaran f</t>
  </si>
  <si>
    <t>*</t>
  </si>
  <si>
    <r>
      <t>f(M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</t>
    </r>
  </si>
  <si>
    <t>Beda 12 bulan</t>
  </si>
  <si>
    <t>Untuk</t>
  </si>
  <si>
    <t>x</t>
  </si>
  <si>
    <r>
      <t>f(K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>)</t>
    </r>
  </si>
  <si>
    <r>
      <t>f(O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>)</t>
    </r>
  </si>
  <si>
    <r>
      <t>f(K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</si>
  <si>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f(S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</si>
  <si>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f(N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</si>
  <si>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f(MS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)</t>
    </r>
  </si>
  <si>
    <r>
      <t>f(M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>)</t>
    </r>
  </si>
  <si>
    <t>Menghitung besaran V'''</t>
  </si>
  <si>
    <t>Waktu tengah tanggal</t>
  </si>
  <si>
    <t>Menghitung besaran u</t>
  </si>
  <si>
    <t>Menghitung besaran r</t>
  </si>
  <si>
    <r>
      <t>r(S</t>
    </r>
    <r>
      <rPr>
        <b/>
        <vertAlign val="subscript"/>
        <sz val="9"/>
        <rFont val="Arial"/>
        <family val="2"/>
      </rPr>
      <t>0</t>
    </r>
    <r>
      <rPr>
        <b/>
        <sz val="9"/>
        <rFont val="Arial"/>
        <family val="2"/>
      </rPr>
      <t>)</t>
    </r>
  </si>
  <si>
    <r>
      <t>r(M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</si>
  <si>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r>
      <t>r(S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</si>
  <si>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r>
      <t>r(N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</si>
  <si>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r>
      <t>r(K</t>
    </r>
    <r>
      <rPr>
        <b/>
        <vertAlign val="subscript"/>
        <sz val="9"/>
        <rFont val="Arial"/>
        <family val="2"/>
      </rPr>
      <t>1</t>
    </r>
    <r>
      <rPr>
        <b/>
        <sz val="9"/>
        <rFont val="Arial"/>
        <family val="2"/>
      </rPr>
      <t>)</t>
    </r>
  </si>
  <si>
    <r>
      <t>r(O</t>
    </r>
    <r>
      <rPr>
        <b/>
        <vertAlign val="subscript"/>
        <sz val="9"/>
        <rFont val="Arial"/>
        <family val="2"/>
      </rPr>
      <t>1</t>
    </r>
    <r>
      <rPr>
        <b/>
        <sz val="9"/>
        <rFont val="Arial"/>
        <family val="2"/>
      </rPr>
      <t>)</t>
    </r>
  </si>
  <si>
    <r>
      <t>r(M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>)</t>
    </r>
  </si>
  <si>
    <r>
      <t>r(MS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>)</t>
    </r>
  </si>
  <si>
    <r>
      <t>r(K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</si>
  <si>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r>
      <t>r(P</t>
    </r>
    <r>
      <rPr>
        <b/>
        <vertAlign val="subscript"/>
        <sz val="9"/>
        <rFont val="Arial"/>
        <family val="2"/>
      </rPr>
      <t>1</t>
    </r>
    <r>
      <rPr>
        <b/>
        <sz val="9"/>
        <rFont val="Arial"/>
        <family val="2"/>
      </rPr>
      <t>)</t>
    </r>
  </si>
  <si>
    <t>PR sin r</t>
  </si>
  <si>
    <t>PR cos r</t>
  </si>
  <si>
    <t>Kuadran</t>
  </si>
  <si>
    <t>tan r</t>
  </si>
  <si>
    <t>r'</t>
  </si>
  <si>
    <t>r</t>
  </si>
  <si>
    <t>IF(AND(G3&gt;0,G4&lt;0),G7+180,</t>
  </si>
  <si>
    <t>IF(AND(G3&gt;0,G4&gt;0),G7,</t>
  </si>
  <si>
    <t>II</t>
  </si>
  <si>
    <t>I</t>
  </si>
  <si>
    <t>III</t>
  </si>
  <si>
    <t>IV</t>
  </si>
  <si>
    <t>IF(AND(G3&lt;0,G4&lt;0),270-G7,</t>
  </si>
  <si>
    <t>IF(AND(G3&lt;0,G4&gt;0),360+G7</t>
  </si>
  <si>
    <t>Tabel 35. Susunan hasil perhitungan Skema 7 besaran-besaran V, VI, PR, P, f, V', V", V''', u, p, r, w</t>
  </si>
  <si>
    <r>
      <t>(1 + W), g, A dan g</t>
    </r>
    <r>
      <rPr>
        <vertAlign val="superscript"/>
        <sz val="11"/>
        <rFont val="Arial"/>
        <family val="2"/>
      </rPr>
      <t>o</t>
    </r>
    <r>
      <rPr>
        <sz val="11"/>
        <rFont val="Arial"/>
        <family val="2"/>
      </rPr>
      <t xml:space="preserve"> dari konstanta-konstanta pasut.</t>
    </r>
  </si>
  <si>
    <r>
      <t>K</t>
    </r>
    <r>
      <rPr>
        <vertAlign val="subscript"/>
        <sz val="11"/>
        <rFont val="Arial"/>
        <family val="2"/>
      </rPr>
      <t>2</t>
    </r>
  </si>
  <si>
    <r>
      <t>P</t>
    </r>
    <r>
      <rPr>
        <vertAlign val="subscript"/>
        <sz val="11"/>
        <rFont val="Arial"/>
        <family val="2"/>
      </rPr>
      <t>1</t>
    </r>
  </si>
  <si>
    <t>V: PR Cos r</t>
  </si>
  <si>
    <t>V: PR Sin r</t>
  </si>
  <si>
    <t>PR</t>
  </si>
  <si>
    <t>Tabel 3B:P</t>
  </si>
  <si>
    <t>Tabel 5 : f</t>
  </si>
  <si>
    <t>Tabel 6 : V'</t>
  </si>
  <si>
    <t>Tabel 7 : V"</t>
  </si>
  <si>
    <t>Tabel 8 : V'''</t>
  </si>
  <si>
    <t>Tabel 9 : u</t>
  </si>
  <si>
    <t>Tabel 3B : p</t>
  </si>
  <si>
    <t>Tabel 4 : r</t>
  </si>
  <si>
    <t>w</t>
  </si>
  <si>
    <t>1+W</t>
  </si>
  <si>
    <t>g</t>
  </si>
  <si>
    <t>Kelipatan dari 360</t>
  </si>
  <si>
    <t>A cm</t>
  </si>
  <si>
    <r>
      <t>g</t>
    </r>
    <r>
      <rPr>
        <vertAlign val="superscript"/>
        <sz val="11"/>
        <rFont val="Arial"/>
        <family val="2"/>
      </rPr>
      <t>o</t>
    </r>
  </si>
  <si>
    <t>ώ</t>
  </si>
  <si>
    <r>
      <t xml:space="preserve">Menghitung besaran </t>
    </r>
    <r>
      <rPr>
        <b/>
        <sz val="12"/>
        <rFont val="Symbol"/>
        <family val="1"/>
        <charset val="2"/>
      </rPr>
      <t xml:space="preserve">w </t>
    </r>
    <r>
      <rPr>
        <b/>
        <sz val="12"/>
        <rFont val="Arial"/>
        <family val="2"/>
      </rPr>
      <t>dan 1 + W</t>
    </r>
  </si>
  <si>
    <r>
      <t>K</t>
    </r>
    <r>
      <rPr>
        <b/>
        <vertAlign val="subscript"/>
        <sz val="9"/>
        <rFont val="Arial"/>
        <family val="2"/>
      </rPr>
      <t>1</t>
    </r>
  </si>
  <si>
    <t>V</t>
  </si>
  <si>
    <t>u</t>
  </si>
  <si>
    <r>
      <t>w</t>
    </r>
    <r>
      <rPr>
        <b/>
        <sz val="9"/>
        <rFont val="Arial"/>
        <family val="2"/>
      </rPr>
      <t>/f(K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</si>
  <si>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r>
      <t>W/f(K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</si>
  <si>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r>
      <t>f(K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</si>
  <si>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r>
      <t>S</t>
    </r>
    <r>
      <rPr>
        <b/>
        <vertAlign val="subscript"/>
        <sz val="9"/>
        <rFont val="Arial"/>
        <family val="2"/>
      </rPr>
      <t>2</t>
    </r>
  </si>
  <si>
    <r>
      <t>MS</t>
    </r>
    <r>
      <rPr>
        <b/>
        <vertAlign val="subscript"/>
        <sz val="9"/>
        <rFont val="Arial"/>
        <family val="2"/>
      </rPr>
      <t>4</t>
    </r>
  </si>
  <si>
    <t>V + u</t>
  </si>
  <si>
    <r>
      <t>w</t>
    </r>
    <r>
      <rPr>
        <sz val="9"/>
        <rFont val="Arial"/>
        <family val="2"/>
      </rPr>
      <t>/f(K</t>
    </r>
    <r>
      <rPr>
        <vertAlign val="subscript"/>
        <sz val="9"/>
        <rFont val="Arial"/>
        <family val="2"/>
      </rPr>
      <t>2)</t>
    </r>
  </si>
  <si>
    <r>
      <t>W/f(K</t>
    </r>
    <r>
      <rPr>
        <vertAlign val="subscript"/>
        <sz val="9"/>
        <rFont val="Arial"/>
        <family val="2"/>
      </rPr>
      <t>2)</t>
    </r>
  </si>
  <si>
    <t>2V</t>
  </si>
  <si>
    <r>
      <t>w</t>
    </r>
    <r>
      <rPr>
        <b/>
        <sz val="9"/>
        <rFont val="Arial"/>
        <family val="2"/>
      </rPr>
      <t>/f(K</t>
    </r>
    <r>
      <rPr>
        <b/>
        <vertAlign val="subscript"/>
        <sz val="9"/>
        <rFont val="Arial"/>
        <family val="2"/>
      </rPr>
      <t>1</t>
    </r>
    <r>
      <rPr>
        <b/>
        <sz val="9"/>
        <rFont val="Arial"/>
        <family val="2"/>
      </rPr>
      <t>)</t>
    </r>
  </si>
  <si>
    <r>
      <t>W/f(K</t>
    </r>
    <r>
      <rPr>
        <b/>
        <vertAlign val="subscript"/>
        <sz val="9"/>
        <rFont val="Arial"/>
        <family val="2"/>
      </rPr>
      <t>1</t>
    </r>
    <r>
      <rPr>
        <b/>
        <sz val="9"/>
        <rFont val="Arial"/>
        <family val="2"/>
      </rPr>
      <t>)</t>
    </r>
  </si>
  <si>
    <r>
      <t>f(K</t>
    </r>
    <r>
      <rPr>
        <b/>
        <vertAlign val="subscript"/>
        <sz val="9"/>
        <rFont val="Arial"/>
        <family val="2"/>
      </rPr>
      <t>1</t>
    </r>
    <r>
      <rPr>
        <b/>
        <sz val="9"/>
        <rFont val="Arial"/>
        <family val="2"/>
      </rPr>
      <t>)</t>
    </r>
  </si>
  <si>
    <r>
      <t>w</t>
    </r>
    <r>
      <rPr>
        <sz val="9"/>
        <rFont val="Arial"/>
        <family val="2"/>
      </rPr>
      <t>/f(K</t>
    </r>
    <r>
      <rPr>
        <vertAlign val="subscript"/>
        <sz val="9"/>
        <rFont val="Arial"/>
        <family val="2"/>
      </rPr>
      <t>1)</t>
    </r>
  </si>
  <si>
    <r>
      <t>W/f(K</t>
    </r>
    <r>
      <rPr>
        <vertAlign val="subscript"/>
        <sz val="9"/>
        <rFont val="Arial"/>
        <family val="2"/>
      </rPr>
      <t>1)</t>
    </r>
  </si>
  <si>
    <r>
      <t>M</t>
    </r>
    <r>
      <rPr>
        <b/>
        <vertAlign val="subscript"/>
        <sz val="9"/>
        <rFont val="Arial"/>
        <family val="2"/>
      </rPr>
      <t>2</t>
    </r>
  </si>
  <si>
    <r>
      <t>N</t>
    </r>
    <r>
      <rPr>
        <b/>
        <vertAlign val="subscript"/>
        <sz val="9"/>
        <rFont val="Arial"/>
        <family val="2"/>
      </rPr>
      <t>2</t>
    </r>
  </si>
  <si>
    <t>3V</t>
  </si>
  <si>
    <t>W+1</t>
  </si>
  <si>
    <r>
      <t xml:space="preserve"> Susunan hasil perhitungan Skema 7 besaran-besaran V, VI, PR, P, f, V', V", V''', u, p, r, </t>
    </r>
    <r>
      <rPr>
        <b/>
        <sz val="11"/>
        <rFont val="Symbol"/>
        <family val="1"/>
        <charset val="2"/>
      </rPr>
      <t>w</t>
    </r>
  </si>
  <si>
    <r>
      <t>(1 + W), g, A dan g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 xml:space="preserve"> dari konstanta-konstanta pasut.</t>
    </r>
  </si>
  <si>
    <t>Besaran</t>
  </si>
  <si>
    <r>
      <t>K</t>
    </r>
    <r>
      <rPr>
        <b/>
        <vertAlign val="subscript"/>
        <sz val="11"/>
        <rFont val="Arial"/>
        <family val="2"/>
      </rPr>
      <t>2</t>
    </r>
  </si>
  <si>
    <r>
      <t>P</t>
    </r>
    <r>
      <rPr>
        <b/>
        <vertAlign val="subscript"/>
        <sz val="11"/>
        <rFont val="Arial"/>
        <family val="2"/>
      </rPr>
      <t>1</t>
    </r>
  </si>
  <si>
    <t xml:space="preserve"> V: PR Cos r</t>
  </si>
  <si>
    <t xml:space="preserve"> V: PR Sin r</t>
  </si>
  <si>
    <t xml:space="preserve"> PR</t>
  </si>
  <si>
    <t xml:space="preserve"> Tabel 3B:P</t>
  </si>
  <si>
    <t xml:space="preserve"> Tabel 5 : f</t>
  </si>
  <si>
    <t xml:space="preserve"> Tabel 6 : V'</t>
  </si>
  <si>
    <t xml:space="preserve"> Tabel 7 : V"</t>
  </si>
  <si>
    <t xml:space="preserve"> Tabel 8 : V'''</t>
  </si>
  <si>
    <t xml:space="preserve"> V</t>
  </si>
  <si>
    <t xml:space="preserve"> Tabel 9 : u</t>
  </si>
  <si>
    <t xml:space="preserve"> Tabel 3B : p</t>
  </si>
  <si>
    <t xml:space="preserve"> Tabel 4 : r</t>
  </si>
  <si>
    <t xml:space="preserve"> w</t>
  </si>
  <si>
    <t xml:space="preserve"> 1+W</t>
  </si>
  <si>
    <t xml:space="preserve"> g</t>
  </si>
  <si>
    <t xml:space="preserve"> Kelipatan dari 360</t>
  </si>
  <si>
    <t xml:space="preserve"> A cm</t>
  </si>
  <si>
    <t>Tabel 36. Susunan hasil perhitungan Skema 7 besaran-besaran V, VI, PR, P, f, V', V", V''', u, p, r, w</t>
  </si>
  <si>
    <r>
      <t>(1 + W), g, A dan g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 xml:space="preserve"> dari Tabel 35 yang telah dibulatkan.</t>
    </r>
  </si>
  <si>
    <t>Tabel 3b:P</t>
  </si>
  <si>
    <t>VIII : 1+W</t>
  </si>
  <si>
    <t>V'+V''+V'''=V</t>
  </si>
  <si>
    <t>VIII : w</t>
  </si>
  <si>
    <t>Tabel 3b : p</t>
  </si>
  <si>
    <r>
      <t>g</t>
    </r>
    <r>
      <rPr>
        <b/>
        <vertAlign val="superscript"/>
        <sz val="11"/>
        <rFont val="Arial"/>
        <family val="2"/>
      </rPr>
      <t>o</t>
    </r>
  </si>
  <si>
    <r>
      <t xml:space="preserve">Tabel 37. Penghitungan besaran-besaran </t>
    </r>
    <r>
      <rPr>
        <b/>
        <sz val="11"/>
        <rFont val="Symbol"/>
        <family val="1"/>
        <charset val="2"/>
      </rPr>
      <t>w</t>
    </r>
    <r>
      <rPr>
        <b/>
        <sz val="11"/>
        <rFont val="Arial"/>
        <family val="2"/>
      </rPr>
      <t xml:space="preserve"> dan (1+W) </t>
    </r>
  </si>
  <si>
    <t>dari konstanta-konstanta pasut.</t>
  </si>
  <si>
    <r>
      <t>w</t>
    </r>
    <r>
      <rPr>
        <sz val="11"/>
        <rFont val="Arial"/>
        <family val="2"/>
      </rPr>
      <t xml:space="preserve"> dan (1+W) untuk S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, MS</t>
    </r>
    <r>
      <rPr>
        <vertAlign val="subscript"/>
        <sz val="11"/>
        <rFont val="Arial"/>
        <family val="2"/>
      </rPr>
      <t>4</t>
    </r>
  </si>
  <si>
    <r>
      <t>VII : K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 xml:space="preserve"> : V</t>
    </r>
  </si>
  <si>
    <r>
      <t>VII : K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 xml:space="preserve"> : u</t>
    </r>
  </si>
  <si>
    <t>Jumlah V + u</t>
  </si>
  <si>
    <r>
      <t>Tabel 10 : S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: w/f</t>
    </r>
  </si>
  <si>
    <r>
      <t>Tabel   5 : K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:</t>
    </r>
  </si>
  <si>
    <t>f</t>
  </si>
  <si>
    <t>W</t>
  </si>
  <si>
    <t>1 + W</t>
  </si>
  <si>
    <r>
      <t>w</t>
    </r>
    <r>
      <rPr>
        <sz val="11"/>
        <rFont val="Arial"/>
        <family val="2"/>
      </rPr>
      <t xml:space="preserve"> dan (1+W) untuk K</t>
    </r>
    <r>
      <rPr>
        <vertAlign val="subscript"/>
        <sz val="11"/>
        <rFont val="Arial"/>
        <family val="2"/>
      </rPr>
      <t>1</t>
    </r>
  </si>
  <si>
    <r>
      <t>VII : K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 xml:space="preserve"> : 2V</t>
    </r>
  </si>
  <si>
    <t>Jumlah 2V + u</t>
  </si>
  <si>
    <r>
      <t>Tabel 10 : K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 xml:space="preserve"> : w/f</t>
    </r>
  </si>
  <si>
    <r>
      <t>Tabel   5 : K</t>
    </r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 xml:space="preserve"> : </t>
    </r>
  </si>
  <si>
    <r>
      <t>w</t>
    </r>
    <r>
      <rPr>
        <sz val="11"/>
        <rFont val="Arial"/>
        <family val="2"/>
      </rPr>
      <t xml:space="preserve"> dan (1+W) untuk N</t>
    </r>
    <r>
      <rPr>
        <vertAlign val="subscript"/>
        <sz val="11"/>
        <rFont val="Arial"/>
        <family val="2"/>
      </rPr>
      <t>2</t>
    </r>
  </si>
  <si>
    <r>
      <t>VII : M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: 3V</t>
    </r>
  </si>
  <si>
    <r>
      <t>VII : 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: 2V</t>
    </r>
  </si>
  <si>
    <r>
      <t>M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- N</t>
    </r>
    <r>
      <rPr>
        <vertAlign val="subscript"/>
        <sz val="11"/>
        <rFont val="Arial"/>
        <family val="2"/>
      </rPr>
      <t>2</t>
    </r>
  </si>
  <si>
    <r>
      <t>Tabel 10 : 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: w</t>
    </r>
  </si>
  <si>
    <r>
      <t>Tabel 10 : 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: 1+W</t>
    </r>
  </si>
  <si>
    <t>Tabel. 38 Daftar tangens untuk r.</t>
  </si>
  <si>
    <t>± tg r</t>
  </si>
  <si>
    <r>
      <t>r (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)</t>
    </r>
  </si>
  <si>
    <t>PR Cos r</t>
  </si>
  <si>
    <t>PR Sin r</t>
  </si>
  <si>
    <t>Tabel 39. Daftar nilai f dari jam 00 pada tanggal</t>
  </si>
  <si>
    <t xml:space="preserve"> 1 januari 1990 hingga tahun 2008.</t>
  </si>
  <si>
    <t>Tahun</t>
  </si>
  <si>
    <t xml:space="preserve">Tabel 40. Daftar nilai V dari jam 00 pada tanggal </t>
  </si>
  <si>
    <t>1 januari 1990 hingga tahun 2008.</t>
  </si>
  <si>
    <r>
      <t>Tabel 41. Daftar nilai V'', pertambahan V' hingga O</t>
    </r>
    <r>
      <rPr>
        <b/>
        <vertAlign val="superscript"/>
        <sz val="11"/>
        <rFont val="Arial"/>
        <family val="2"/>
      </rPr>
      <t>h</t>
    </r>
    <r>
      <rPr>
        <b/>
        <sz val="11"/>
        <rFont val="Arial"/>
        <family val="2"/>
      </rPr>
      <t xml:space="preserve"> GMT hari-hari pertama tiap-tiap bulan.</t>
    </r>
  </si>
  <si>
    <t>Tahun Biasa</t>
  </si>
  <si>
    <t>Tahun Kabisat</t>
  </si>
  <si>
    <t>Januari</t>
  </si>
  <si>
    <t>Februari</t>
  </si>
  <si>
    <t>Maret</t>
  </si>
  <si>
    <t>April</t>
  </si>
  <si>
    <t>Mei</t>
  </si>
  <si>
    <t>Juli</t>
  </si>
  <si>
    <t>Agustus</t>
  </si>
  <si>
    <t>September</t>
  </si>
  <si>
    <t>Oktober</t>
  </si>
  <si>
    <t>November</t>
  </si>
  <si>
    <t>Desember</t>
  </si>
  <si>
    <t xml:space="preserve">Tabel 42. Daftar nilai V''', pertambahan V' </t>
  </si>
  <si>
    <t>hingga Oh GMT hari-hari pertama tiap-tiap bulan.</t>
  </si>
  <si>
    <r>
      <t>M</t>
    </r>
    <r>
      <rPr>
        <b/>
        <vertAlign val="subscript"/>
        <sz val="10"/>
        <color indexed="8"/>
        <rFont val="Arial"/>
        <family val="2"/>
      </rPr>
      <t>2</t>
    </r>
  </si>
  <si>
    <r>
      <t>N</t>
    </r>
    <r>
      <rPr>
        <b/>
        <vertAlign val="subscript"/>
        <sz val="10"/>
        <color indexed="8"/>
        <rFont val="Arial"/>
        <family val="2"/>
      </rPr>
      <t>2</t>
    </r>
  </si>
  <si>
    <r>
      <t>K</t>
    </r>
    <r>
      <rPr>
        <b/>
        <vertAlign val="subscript"/>
        <sz val="10"/>
        <color indexed="8"/>
        <rFont val="Arial"/>
        <family val="2"/>
      </rPr>
      <t>1</t>
    </r>
  </si>
  <si>
    <r>
      <t>O</t>
    </r>
    <r>
      <rPr>
        <b/>
        <vertAlign val="subscript"/>
        <sz val="10"/>
        <color indexed="8"/>
        <rFont val="Arial"/>
        <family val="2"/>
      </rPr>
      <t>1</t>
    </r>
  </si>
  <si>
    <t>Tabel 43. Daftar nilai u pada jam 00</t>
  </si>
  <si>
    <t xml:space="preserve"> tanggal 1 Januari 1900 hingga 2008</t>
  </si>
  <si>
    <r>
      <t xml:space="preserve">Tabel 44. Daftar untuk menghitung </t>
    </r>
    <r>
      <rPr>
        <b/>
        <sz val="11"/>
        <rFont val="Symbol"/>
        <family val="1"/>
        <charset val="2"/>
      </rPr>
      <t>w</t>
    </r>
    <r>
      <rPr>
        <b/>
        <sz val="11"/>
        <rFont val="Arial"/>
        <family val="2"/>
      </rPr>
      <t xml:space="preserve"> dan 1+W</t>
    </r>
  </si>
  <si>
    <r>
      <t>S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, MS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, 2MS</t>
    </r>
    <r>
      <rPr>
        <b/>
        <vertAlign val="subscript"/>
        <sz val="11"/>
        <rFont val="Arial"/>
        <family val="2"/>
      </rPr>
      <t>6</t>
    </r>
  </si>
  <si>
    <r>
      <t>K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>, MK</t>
    </r>
    <r>
      <rPr>
        <b/>
        <vertAlign val="subscript"/>
        <sz val="11"/>
        <rFont val="Arial"/>
        <family val="2"/>
      </rPr>
      <t>3</t>
    </r>
  </si>
  <si>
    <r>
      <t>S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, MS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, 2MS</t>
    </r>
    <r>
      <rPr>
        <b/>
        <vertAlign val="subscript"/>
        <sz val="11"/>
        <rFont val="Arial"/>
        <family val="2"/>
      </rPr>
      <t>8</t>
    </r>
  </si>
  <si>
    <r>
      <t>Sudut (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)</t>
    </r>
  </si>
  <si>
    <r>
      <t>w</t>
    </r>
    <r>
      <rPr>
        <b/>
        <sz val="11"/>
        <rFont val="Arial"/>
        <family val="2"/>
      </rPr>
      <t>/fK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 (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)</t>
    </r>
  </si>
  <si>
    <r>
      <t>W/fK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 (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)</t>
    </r>
  </si>
  <si>
    <r>
      <t>w</t>
    </r>
    <r>
      <rPr>
        <b/>
        <sz val="11"/>
        <rFont val="Arial"/>
        <family val="2"/>
      </rPr>
      <t>fK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(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)</t>
    </r>
  </si>
  <si>
    <r>
      <t>WfK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(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)</t>
    </r>
  </si>
  <si>
    <r>
      <t>w</t>
    </r>
    <r>
      <rPr>
        <b/>
        <sz val="11"/>
        <rFont val="Arial"/>
        <family val="2"/>
      </rPr>
      <t xml:space="preserve"> (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)</t>
    </r>
  </si>
  <si>
    <t>"sudut"=V+u</t>
  </si>
  <si>
    <t>"sudut"=2V+u</t>
  </si>
  <si>
    <t>"sudut"=3V</t>
  </si>
  <si>
    <r>
      <t>untuk K</t>
    </r>
    <r>
      <rPr>
        <b/>
        <vertAlign val="subscript"/>
        <sz val="11"/>
        <rFont val="Arial"/>
        <family val="2"/>
      </rPr>
      <t>1</t>
    </r>
  </si>
  <si>
    <r>
      <t>untuk M</t>
    </r>
    <r>
      <rPr>
        <b/>
        <vertAlign val="subscript"/>
        <sz val="11"/>
        <rFont val="Arial"/>
        <family val="2"/>
      </rPr>
      <t xml:space="preserve">2 </t>
    </r>
    <r>
      <rPr>
        <b/>
        <sz val="11"/>
        <rFont val="Arial"/>
        <family val="2"/>
      </rPr>
      <t>minus</t>
    </r>
  </si>
  <si>
    <r>
      <t>f=fK</t>
    </r>
    <r>
      <rPr>
        <b/>
        <vertAlign val="subscript"/>
        <sz val="11"/>
        <rFont val="Arial"/>
        <family val="2"/>
      </rPr>
      <t>1</t>
    </r>
  </si>
  <si>
    <r>
      <t>2V untuk N</t>
    </r>
    <r>
      <rPr>
        <b/>
        <vertAlign val="subscript"/>
        <sz val="11"/>
        <rFont val="Arial"/>
        <family val="2"/>
      </rPr>
      <t>2</t>
    </r>
  </si>
  <si>
    <t>Tabel Perhitungan Duduk Tengah Sementara (DTS)</t>
  </si>
  <si>
    <t>Faktor (fi)</t>
  </si>
  <si>
    <t>A</t>
  </si>
  <si>
    <t>B</t>
  </si>
  <si>
    <t>C</t>
  </si>
  <si>
    <t>D</t>
  </si>
  <si>
    <t>E</t>
  </si>
  <si>
    <t>F</t>
  </si>
  <si>
    <t>G</t>
  </si>
  <si>
    <t>H</t>
  </si>
  <si>
    <t>fi x A</t>
  </si>
  <si>
    <t>fi x B</t>
  </si>
  <si>
    <t>fi x C</t>
  </si>
  <si>
    <t>fi x D</t>
  </si>
  <si>
    <t>fi x E</t>
  </si>
  <si>
    <t>fi x F</t>
  </si>
  <si>
    <t>fi x G</t>
  </si>
  <si>
    <t>fi x H</t>
  </si>
  <si>
    <t>fi x I</t>
  </si>
  <si>
    <t>Duduk Tengah Sementara (DTS)</t>
  </si>
  <si>
    <t>η(t)</t>
  </si>
  <si>
    <t>Elevasi pasut fungsi dari waktu</t>
  </si>
  <si>
    <t>Duduk tengah (Mean Sea Level)</t>
  </si>
  <si>
    <r>
      <t>A</t>
    </r>
    <r>
      <rPr>
        <b/>
        <vertAlign val="subscript"/>
        <sz val="11"/>
        <rFont val="Arial"/>
        <family val="2"/>
      </rPr>
      <t>i</t>
    </r>
  </si>
  <si>
    <t>Amplitudo komponen ke-i</t>
  </si>
  <si>
    <t>n</t>
  </si>
  <si>
    <t>Jumlah komponen</t>
  </si>
  <si>
    <r>
      <t>w</t>
    </r>
    <r>
      <rPr>
        <b/>
        <vertAlign val="subscript"/>
        <sz val="11"/>
        <rFont val="Arial"/>
        <family val="2"/>
      </rPr>
      <t>i</t>
    </r>
  </si>
  <si>
    <r>
      <t>2</t>
    </r>
    <r>
      <rPr>
        <b/>
        <sz val="14"/>
        <rFont val="Symbol"/>
        <family val="1"/>
        <charset val="2"/>
      </rPr>
      <t>p</t>
    </r>
  </si>
  <si>
    <t>®</t>
  </si>
  <si>
    <r>
      <t>T</t>
    </r>
    <r>
      <rPr>
        <b/>
        <vertAlign val="subscript"/>
        <sz val="11"/>
        <rFont val="Arial"/>
        <family val="2"/>
      </rPr>
      <t xml:space="preserve">i </t>
    </r>
    <r>
      <rPr>
        <sz val="11"/>
        <rFont val="Arial"/>
        <family val="2"/>
      </rPr>
      <t>=</t>
    </r>
  </si>
  <si>
    <t>periode komponen ke-i</t>
  </si>
  <si>
    <r>
      <t>T</t>
    </r>
    <r>
      <rPr>
        <b/>
        <vertAlign val="subscript"/>
        <sz val="11"/>
        <rFont val="Arial"/>
        <family val="2"/>
      </rPr>
      <t>i</t>
    </r>
  </si>
  <si>
    <t>t</t>
  </si>
  <si>
    <r>
      <t>P</t>
    </r>
    <r>
      <rPr>
        <b/>
        <vertAlign val="subscript"/>
        <sz val="11"/>
        <rFont val="Arial"/>
        <family val="2"/>
      </rPr>
      <t>i</t>
    </r>
  </si>
  <si>
    <t>Fase komponen ke-i</t>
  </si>
  <si>
    <t>t (jam)</t>
  </si>
  <si>
    <t>Konstanta Harmonik</t>
  </si>
  <si>
    <t>Bacaan</t>
  </si>
  <si>
    <r>
      <t>rata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/hari</t>
    </r>
  </si>
  <si>
    <t xml:space="preserve">Hasil Analisis Konstanta Harmonik Pasang Surut </t>
  </si>
  <si>
    <t>dengan metode Admiralty :</t>
  </si>
  <si>
    <t>A (cm)</t>
  </si>
  <si>
    <r>
      <t>S</t>
    </r>
    <r>
      <rPr>
        <b/>
        <vertAlign val="subscript"/>
        <sz val="11"/>
        <rFont val="Trebuchet MS"/>
        <family val="2"/>
      </rPr>
      <t>0</t>
    </r>
  </si>
  <si>
    <r>
      <t>M</t>
    </r>
    <r>
      <rPr>
        <b/>
        <vertAlign val="subscript"/>
        <sz val="11"/>
        <rFont val="Trebuchet MS"/>
        <family val="2"/>
      </rPr>
      <t>2</t>
    </r>
  </si>
  <si>
    <r>
      <t>S</t>
    </r>
    <r>
      <rPr>
        <b/>
        <vertAlign val="subscript"/>
        <sz val="11"/>
        <rFont val="Trebuchet MS"/>
        <family val="2"/>
      </rPr>
      <t>2</t>
    </r>
  </si>
  <si>
    <r>
      <t>N</t>
    </r>
    <r>
      <rPr>
        <b/>
        <vertAlign val="subscript"/>
        <sz val="11"/>
        <rFont val="Trebuchet MS"/>
        <family val="2"/>
      </rPr>
      <t>2</t>
    </r>
  </si>
  <si>
    <r>
      <t>K</t>
    </r>
    <r>
      <rPr>
        <b/>
        <vertAlign val="subscript"/>
        <sz val="11"/>
        <rFont val="Trebuchet MS"/>
        <family val="2"/>
      </rPr>
      <t>1</t>
    </r>
  </si>
  <si>
    <r>
      <t>O</t>
    </r>
    <r>
      <rPr>
        <b/>
        <vertAlign val="subscript"/>
        <sz val="11"/>
        <rFont val="Trebuchet MS"/>
        <family val="2"/>
      </rPr>
      <t>1</t>
    </r>
  </si>
  <si>
    <r>
      <t>M</t>
    </r>
    <r>
      <rPr>
        <b/>
        <vertAlign val="subscript"/>
        <sz val="11"/>
        <rFont val="Trebuchet MS"/>
        <family val="2"/>
      </rPr>
      <t>4</t>
    </r>
  </si>
  <si>
    <r>
      <t>MS</t>
    </r>
    <r>
      <rPr>
        <b/>
        <vertAlign val="subscript"/>
        <sz val="11"/>
        <rFont val="Trebuchet MS"/>
        <family val="2"/>
      </rPr>
      <t>4</t>
    </r>
  </si>
  <si>
    <r>
      <t>K</t>
    </r>
    <r>
      <rPr>
        <b/>
        <vertAlign val="subscript"/>
        <sz val="11"/>
        <rFont val="Trebuchet MS"/>
        <family val="2"/>
      </rPr>
      <t>2</t>
    </r>
  </si>
  <si>
    <r>
      <t>P</t>
    </r>
    <r>
      <rPr>
        <b/>
        <vertAlign val="subscript"/>
        <sz val="11"/>
        <rFont val="Trebuchet MS"/>
        <family val="2"/>
      </rPr>
      <t>1</t>
    </r>
  </si>
  <si>
    <r>
      <t>g</t>
    </r>
    <r>
      <rPr>
        <b/>
        <vertAlign val="superscript"/>
        <sz val="11"/>
        <rFont val="Trebuchet MS"/>
        <family val="2"/>
      </rPr>
      <t>o</t>
    </r>
  </si>
  <si>
    <t>Sumber : Hasil Analisa</t>
  </si>
  <si>
    <t>¨)</t>
  </si>
  <si>
    <t>Datum Referensi</t>
  </si>
  <si>
    <t>MSL</t>
  </si>
  <si>
    <t xml:space="preserve">MSL </t>
  </si>
  <si>
    <t>AS0</t>
  </si>
  <si>
    <r>
      <t>Z</t>
    </r>
    <r>
      <rPr>
        <vertAlign val="subscript"/>
        <sz val="11"/>
        <rFont val="Trebuchet MS"/>
        <family val="2"/>
      </rPr>
      <t>0</t>
    </r>
  </si>
  <si>
    <t>Berdasarkan definisi Australia yaitu Indian Spring Low Water, maka :</t>
  </si>
  <si>
    <r>
      <t>S</t>
    </r>
    <r>
      <rPr>
        <vertAlign val="subscript"/>
        <sz val="11"/>
        <rFont val="Trebuchet MS"/>
        <family val="2"/>
      </rPr>
      <t>0</t>
    </r>
  </si>
  <si>
    <t>-  (</t>
  </si>
  <si>
    <r>
      <t>AM</t>
    </r>
    <r>
      <rPr>
        <vertAlign val="subscript"/>
        <sz val="11"/>
        <rFont val="Trebuchet MS"/>
        <family val="2"/>
      </rPr>
      <t>2</t>
    </r>
  </si>
  <si>
    <r>
      <t>AS</t>
    </r>
    <r>
      <rPr>
        <vertAlign val="subscript"/>
        <sz val="11"/>
        <rFont val="Trebuchet MS"/>
        <family val="2"/>
      </rPr>
      <t>2</t>
    </r>
  </si>
  <si>
    <r>
      <t>AK</t>
    </r>
    <r>
      <rPr>
        <vertAlign val="subscript"/>
        <sz val="11"/>
        <rFont val="Trebuchet MS"/>
        <family val="2"/>
      </rPr>
      <t>1</t>
    </r>
  </si>
  <si>
    <r>
      <t>AO</t>
    </r>
    <r>
      <rPr>
        <vertAlign val="subscript"/>
        <sz val="11"/>
        <rFont val="Trebuchet MS"/>
        <family val="2"/>
      </rPr>
      <t>1</t>
    </r>
  </si>
  <si>
    <t>)</t>
  </si>
  <si>
    <t>Ketinggian Muka Surutan dari Nol Palem  =</t>
  </si>
  <si>
    <t>HAT</t>
  </si>
  <si>
    <t>+ (</t>
  </si>
  <si>
    <t>+  (</t>
  </si>
  <si>
    <t xml:space="preserve"> Tipe Pasang Surut</t>
  </si>
  <si>
    <r>
      <t>A(K</t>
    </r>
    <r>
      <rPr>
        <vertAlign val="subscript"/>
        <sz val="11"/>
        <rFont val="Trebuchet MS"/>
        <family val="2"/>
      </rPr>
      <t>1</t>
    </r>
    <r>
      <rPr>
        <sz val="11"/>
        <rFont val="Trebuchet MS"/>
        <family val="2"/>
      </rPr>
      <t>)</t>
    </r>
  </si>
  <si>
    <r>
      <t>A(O</t>
    </r>
    <r>
      <rPr>
        <vertAlign val="subscript"/>
        <sz val="11"/>
        <rFont val="Trebuchet MS"/>
        <family val="2"/>
      </rPr>
      <t>1</t>
    </r>
    <r>
      <rPr>
        <sz val="11"/>
        <rFont val="Trebuchet MS"/>
        <family val="2"/>
      </rPr>
      <t>)</t>
    </r>
  </si>
  <si>
    <r>
      <t>A(M</t>
    </r>
    <r>
      <rPr>
        <vertAlign val="subscript"/>
        <sz val="11"/>
        <rFont val="Trebuchet MS"/>
        <family val="2"/>
      </rPr>
      <t>2</t>
    </r>
    <r>
      <rPr>
        <sz val="11"/>
        <rFont val="Trebuchet MS"/>
        <family val="2"/>
      </rPr>
      <t>)</t>
    </r>
  </si>
  <si>
    <r>
      <t>A(S</t>
    </r>
    <r>
      <rPr>
        <vertAlign val="subscript"/>
        <sz val="11"/>
        <rFont val="Trebuchet MS"/>
        <family val="2"/>
      </rPr>
      <t>2</t>
    </r>
    <r>
      <rPr>
        <sz val="11"/>
        <rFont val="Trebuchet MS"/>
        <family val="2"/>
      </rPr>
      <t>)</t>
    </r>
  </si>
  <si>
    <t>Berdasarkan nilai Formzhal, maka kriteria pasang surut adalah :</t>
  </si>
  <si>
    <t>(dalam satu hari terjadi dua kali pasang dan dua kali surut)</t>
  </si>
  <si>
    <t>Karakteristik Pasang Surut</t>
  </si>
  <si>
    <t>f &lt; 0.25</t>
  </si>
  <si>
    <t>semi diurnal, dalam satu hari</t>
  </si>
  <si>
    <t>dua kali pasang dan surut</t>
  </si>
  <si>
    <t xml:space="preserve">0.25 &lt; f &lt; 1.50         </t>
  </si>
  <si>
    <t>campur dominan semi diurnal</t>
  </si>
  <si>
    <t>ketinggian berbeda</t>
  </si>
  <si>
    <t xml:space="preserve">1.50 &lt; f &lt; 3.00       </t>
  </si>
  <si>
    <t>campur dominan diurnal,sekali</t>
  </si>
  <si>
    <t>pasut,kadang2 dua kali dng</t>
  </si>
  <si>
    <t>beda besar pada tinggi&amp;waktu</t>
  </si>
  <si>
    <t xml:space="preserve">f &gt; 3.00                 </t>
  </si>
  <si>
    <t>diurnal,sehari satu kali pasut</t>
  </si>
  <si>
    <r>
      <t>¨</t>
    </r>
    <r>
      <rPr>
        <b/>
        <sz val="11"/>
        <rFont val="Trebuchet MS"/>
        <family val="2"/>
      </rPr>
      <t>)</t>
    </r>
  </si>
  <si>
    <t>Tunggang Air Pasut</t>
  </si>
  <si>
    <t>untuk :</t>
  </si>
  <si>
    <t>LAT</t>
  </si>
  <si>
    <t>(</t>
  </si>
  <si>
    <t>High Astronomical Tide</t>
  </si>
  <si>
    <t>Mean Highest High Water Spring</t>
  </si>
  <si>
    <t>Mean Highest High Water Normal</t>
  </si>
  <si>
    <t>Mean Sea Level</t>
  </si>
  <si>
    <t>Mean Lowest Low Water Normal</t>
  </si>
  <si>
    <t>Mean Lowest Low Water Spring</t>
  </si>
  <si>
    <t>Low Astronomical Tide</t>
  </si>
  <si>
    <t>Cm</t>
  </si>
  <si>
    <t>Dalam perencanaan Bangunan Dermaga Pelabuhan ini Chard Datum LWS = LAT = 0</t>
  </si>
  <si>
    <t>HWS</t>
  </si>
  <si>
    <t>m</t>
  </si>
  <si>
    <t>LWS</t>
  </si>
  <si>
    <t>~</t>
  </si>
  <si>
    <t>Posisi BM 1 =</t>
  </si>
  <si>
    <t>dan</t>
  </si>
  <si>
    <t>Ketinggian (BM 1) dari HWS</t>
  </si>
  <si>
    <t>Ketinggian (BM 1) dari MSL</t>
  </si>
  <si>
    <t>Ketinggian (BM 1) dari LWS</t>
  </si>
  <si>
    <t>M2</t>
  </si>
  <si>
    <t>K1</t>
  </si>
  <si>
    <t>O1</t>
  </si>
  <si>
    <t>K2</t>
  </si>
  <si>
    <t>mLWS</t>
  </si>
  <si>
    <r>
      <t>Koordinat titik BM (</t>
    </r>
    <r>
      <rPr>
        <i/>
        <sz val="11"/>
        <rFont val="Trebuchet MS"/>
        <family val="2"/>
      </rPr>
      <t>Bench Mark</t>
    </r>
    <r>
      <rPr>
        <sz val="11"/>
        <rFont val="Trebuchet MS"/>
        <family val="2"/>
      </rPr>
      <t xml:space="preserve">) didapatkan dari pengukuran GPS  </t>
    </r>
  </si>
  <si>
    <t>Kabupaten</t>
  </si>
  <si>
    <t>Z = +2.57 Trhd Pasut LWS = 0</t>
  </si>
  <si>
    <t>Ketinggian (BM 1) dari Rambu</t>
  </si>
  <si>
    <t>Skema 1 :   Susunan hasil pengamatan data pasut</t>
  </si>
  <si>
    <r>
      <t>Skema 2 : Penyusunan hasil penghitungan harga X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>, Y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>, X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, Y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, X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 xml:space="preserve"> dan Y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 xml:space="preserve"> </t>
    </r>
  </si>
  <si>
    <t xml:space="preserve">Skema 3  :  Penyusunan hasil perhitungan harga X dan Y indeks </t>
  </si>
  <si>
    <t xml:space="preserve">Skema 4 : Penyusunan hasil perhitungan harga X dan Y </t>
  </si>
  <si>
    <t>Skema 5&amp;6 :</t>
  </si>
  <si>
    <t>Skema 7 :</t>
  </si>
  <si>
    <t xml:space="preserve">Untuk Perencanaan berdasarkan IHO (international Hidrografi Organisation ) </t>
  </si>
  <si>
    <t>Chart datum dipakai LAT = 0, didapatkan :</t>
  </si>
  <si>
    <t xml:space="preserve">Dalam perencanaan Bangunan Dermaga Pelabuhan elevasi pasang surut </t>
  </si>
  <si>
    <t xml:space="preserve"> dibulatkan menjadi :</t>
  </si>
  <si>
    <t>Pengikatan LWS ke Titik Tinggi di Darat/Lavelling</t>
  </si>
  <si>
    <t>Tide Elev.</t>
  </si>
  <si>
    <t>X1</t>
  </si>
  <si>
    <t>Result</t>
  </si>
  <si>
    <t>Multiplier Factor</t>
  </si>
  <si>
    <t>Y1</t>
  </si>
  <si>
    <t>X2</t>
  </si>
  <si>
    <t>Y2</t>
  </si>
  <si>
    <t>X4</t>
  </si>
  <si>
    <t>Y4</t>
  </si>
  <si>
    <t>Multiplier</t>
  </si>
  <si>
    <t>Factor 0</t>
  </si>
  <si>
    <t>Factor 2</t>
  </si>
  <si>
    <t>Factor b</t>
  </si>
  <si>
    <t>Factor 3</t>
  </si>
  <si>
    <t>Factor c</t>
  </si>
  <si>
    <t>Factor 4</t>
  </si>
  <si>
    <r>
      <t>X</t>
    </r>
    <r>
      <rPr>
        <b/>
        <vertAlign val="subscript"/>
        <sz val="11"/>
        <rFont val="Arial"/>
        <family val="2"/>
      </rPr>
      <t>14</t>
    </r>
  </si>
  <si>
    <r>
      <t>Y</t>
    </r>
    <r>
      <rPr>
        <b/>
        <vertAlign val="subscript"/>
        <sz val="11"/>
        <rFont val="Arial"/>
        <family val="2"/>
      </rPr>
      <t>14</t>
    </r>
  </si>
  <si>
    <t>Factor d</t>
  </si>
  <si>
    <r>
      <t>X</t>
    </r>
    <r>
      <rPr>
        <b/>
        <vertAlign val="subscript"/>
        <sz val="11"/>
        <rFont val="Arial"/>
        <family val="2"/>
      </rPr>
      <t>1d</t>
    </r>
  </si>
  <si>
    <r>
      <t>Y</t>
    </r>
    <r>
      <rPr>
        <b/>
        <vertAlign val="subscript"/>
        <sz val="11"/>
        <rFont val="Arial"/>
        <family val="2"/>
      </rPr>
      <t>1d</t>
    </r>
  </si>
  <si>
    <r>
      <t>X</t>
    </r>
    <r>
      <rPr>
        <b/>
        <vertAlign val="subscript"/>
        <sz val="11"/>
        <rFont val="Arial"/>
        <family val="2"/>
      </rPr>
      <t>20</t>
    </r>
  </si>
  <si>
    <r>
      <t>Y</t>
    </r>
    <r>
      <rPr>
        <b/>
        <vertAlign val="subscript"/>
        <sz val="11"/>
        <rFont val="Arial"/>
        <family val="2"/>
      </rPr>
      <t>20</t>
    </r>
  </si>
  <si>
    <r>
      <t>X</t>
    </r>
    <r>
      <rPr>
        <b/>
        <vertAlign val="subscript"/>
        <sz val="11"/>
        <rFont val="Arial"/>
        <family val="2"/>
      </rPr>
      <t>24</t>
    </r>
  </si>
  <si>
    <r>
      <t>Y</t>
    </r>
    <r>
      <rPr>
        <b/>
        <vertAlign val="subscript"/>
        <sz val="11"/>
        <rFont val="Arial"/>
        <family val="2"/>
      </rPr>
      <t>24</t>
    </r>
  </si>
  <si>
    <r>
      <t>X</t>
    </r>
    <r>
      <rPr>
        <b/>
        <vertAlign val="subscript"/>
        <sz val="11"/>
        <rFont val="Arial"/>
        <family val="2"/>
      </rPr>
      <t>2d</t>
    </r>
  </si>
  <si>
    <r>
      <t>Y</t>
    </r>
    <r>
      <rPr>
        <b/>
        <vertAlign val="subscript"/>
        <sz val="11"/>
        <rFont val="Arial"/>
        <family val="2"/>
      </rPr>
      <t>2d</t>
    </r>
  </si>
  <si>
    <r>
      <t>X</t>
    </r>
    <r>
      <rPr>
        <b/>
        <vertAlign val="subscript"/>
        <sz val="11"/>
        <rFont val="Arial"/>
        <family val="2"/>
      </rPr>
      <t>40</t>
    </r>
  </si>
  <si>
    <r>
      <t>Y</t>
    </r>
    <r>
      <rPr>
        <b/>
        <vertAlign val="subscript"/>
        <sz val="11"/>
        <rFont val="Arial"/>
        <family val="2"/>
      </rPr>
      <t>40</t>
    </r>
  </si>
  <si>
    <r>
      <t>X</t>
    </r>
    <r>
      <rPr>
        <b/>
        <vertAlign val="subscript"/>
        <sz val="11"/>
        <rFont val="Arial"/>
        <family val="2"/>
      </rPr>
      <t>42</t>
    </r>
  </si>
  <si>
    <r>
      <t>Y</t>
    </r>
    <r>
      <rPr>
        <b/>
        <vertAlign val="subscript"/>
        <sz val="11"/>
        <rFont val="Arial"/>
        <family val="2"/>
      </rPr>
      <t>42</t>
    </r>
  </si>
  <si>
    <r>
      <t>X</t>
    </r>
    <r>
      <rPr>
        <b/>
        <vertAlign val="subscript"/>
        <sz val="11"/>
        <rFont val="Arial"/>
        <family val="2"/>
      </rPr>
      <t>4b</t>
    </r>
  </si>
  <si>
    <r>
      <t>Y</t>
    </r>
    <r>
      <rPr>
        <b/>
        <vertAlign val="subscript"/>
        <sz val="11"/>
        <rFont val="Arial"/>
        <family val="2"/>
      </rPr>
      <t>4b</t>
    </r>
  </si>
  <si>
    <r>
      <t>X</t>
    </r>
    <r>
      <rPr>
        <b/>
        <vertAlign val="subscript"/>
        <sz val="11"/>
        <rFont val="Arial"/>
        <family val="2"/>
      </rPr>
      <t>43</t>
    </r>
  </si>
  <si>
    <r>
      <t>Y</t>
    </r>
    <r>
      <rPr>
        <b/>
        <vertAlign val="subscript"/>
        <sz val="11"/>
        <rFont val="Arial"/>
        <family val="2"/>
      </rPr>
      <t>43</t>
    </r>
  </si>
  <si>
    <r>
      <t>X</t>
    </r>
    <r>
      <rPr>
        <b/>
        <vertAlign val="subscript"/>
        <sz val="11"/>
        <rFont val="Arial"/>
        <family val="2"/>
      </rPr>
      <t>4c</t>
    </r>
  </si>
  <si>
    <r>
      <t>Y</t>
    </r>
    <r>
      <rPr>
        <b/>
        <vertAlign val="subscript"/>
        <sz val="11"/>
        <rFont val="Arial"/>
        <family val="2"/>
      </rPr>
      <t>4c</t>
    </r>
  </si>
  <si>
    <t>Elevasi Pasut</t>
  </si>
  <si>
    <t>SELAMA 30 HARI</t>
  </si>
  <si>
    <t>Penyusunan hasil perhitungan besaran X dan Y dari konstanta pasut untuk 29 Piantan</t>
  </si>
  <si>
    <t>Equipment : AWLR Tide Master</t>
  </si>
  <si>
    <r>
      <t>AP</t>
    </r>
    <r>
      <rPr>
        <vertAlign val="subscript"/>
        <sz val="11"/>
        <rFont val="Trebuchet MS"/>
        <family val="2"/>
      </rPr>
      <t>1</t>
    </r>
  </si>
  <si>
    <t>AM4</t>
  </si>
  <si>
    <t>AMS4</t>
  </si>
  <si>
    <t>Elevasi Pasang Surut</t>
  </si>
  <si>
    <t>PENGAMATAN PASANG SURUT WOLO-KOLAKA</t>
  </si>
  <si>
    <t>AK1</t>
  </si>
  <si>
    <t>AO1</t>
  </si>
  <si>
    <t>AS2</t>
  </si>
  <si>
    <t>AM2</t>
  </si>
  <si>
    <t>AN2</t>
  </si>
  <si>
    <t>AP1</t>
  </si>
  <si>
    <t>AK2</t>
  </si>
  <si>
    <t>HHWL</t>
  </si>
  <si>
    <t>MHWL</t>
  </si>
  <si>
    <t>MLWL</t>
  </si>
  <si>
    <t>LLWL</t>
  </si>
  <si>
    <t xml:space="preserve"> +</t>
  </si>
  <si>
    <t>)) +</t>
  </si>
  <si>
    <t>Bacaan Skala pada jam satuan cm</t>
  </si>
  <si>
    <t xml:space="preserve">      Duduk Tengah</t>
  </si>
  <si>
    <t>Rata2</t>
  </si>
  <si>
    <t>mMSL</t>
  </si>
  <si>
    <t>Data Pengamatan Pasang Surut 30 Hari</t>
  </si>
  <si>
    <t>: Pantai Sanur, Bali</t>
  </si>
  <si>
    <t>: Kabupaten Denpasar Selatan</t>
  </si>
  <si>
    <t>TANGGAL / Januari -Februari</t>
  </si>
  <si>
    <t>: Pantai Sanur</t>
  </si>
  <si>
    <t>: Menara Suar (Pasut-2)</t>
  </si>
  <si>
    <t>:   8°40'17.56"S</t>
  </si>
  <si>
    <t>:115°15'54.00"E</t>
  </si>
  <si>
    <t>: GMT + 8 jam</t>
  </si>
  <si>
    <t>: 31 Januari 2021</t>
  </si>
  <si>
    <r>
      <t>AN</t>
    </r>
    <r>
      <rPr>
        <vertAlign val="subscript"/>
        <sz val="11"/>
        <rFont val="Trebuchet MS"/>
        <family val="2"/>
      </rPr>
      <t>2</t>
    </r>
  </si>
  <si>
    <t>15 PTN</t>
  </si>
  <si>
    <r>
      <t>F</t>
    </r>
    <r>
      <rPr>
        <vertAlign val="subscript"/>
        <sz val="11"/>
        <rFont val="Trebuchet MS"/>
        <family val="2"/>
      </rPr>
      <t>29</t>
    </r>
  </si>
  <si>
    <t>Piantan</t>
  </si>
  <si>
    <t>0 m Rambu</t>
  </si>
  <si>
    <t>0 mLWS</t>
  </si>
  <si>
    <t>Muka Air</t>
  </si>
  <si>
    <t>Selisih</t>
  </si>
  <si>
    <t>S0</t>
  </si>
  <si>
    <t>S2</t>
  </si>
  <si>
    <t>N2</t>
  </si>
  <si>
    <t>M4</t>
  </si>
  <si>
    <t>MS4</t>
  </si>
  <si>
    <t>P1</t>
  </si>
  <si>
    <t>MS$</t>
  </si>
  <si>
    <t>X0</t>
  </si>
  <si>
    <t xml:space="preserve"> go</t>
  </si>
  <si>
    <t>HHWS</t>
  </si>
  <si>
    <t>MHWN</t>
  </si>
  <si>
    <t>MLWN</t>
  </si>
  <si>
    <t>LLWS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</si>
</sst>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64" formatCode="0.000"/>
    <numFmt numFmtId="165" formatCode="0.0"/>
    <numFmt numFmtId="166" formatCode="&quot;: GMT + &quot;General&quot; jam&quot;"/>
    <numFmt numFmtId="167" formatCode="General&quot; ''&quot;"/>
    <numFmt numFmtId="168" formatCode="General&quot; '&quot;"/>
    <numFmt numFmtId="169" formatCode="_(* #,##0.00_);_(* \(#,##0.00\);_(* &quot;-&quot;_);_(@_)"/>
    <numFmt numFmtId="170" formatCode="[$-F800]dddd\,\ mmmm\ dd\,\ yyyy"/>
    <numFmt numFmtId="171" formatCode="_-* #,##0_-;\-* #,##0_-;_-* &quot;-&quot;??_-;_-@_-"/>
    <numFmt numFmtId="172" formatCode="##."/>
    <numFmt numFmtId="173" formatCode="dd\ mmmm\ yyyy"/>
    <numFmt numFmtId="174" formatCode="0.00000"/>
  </numFmts>
  <fonts count="9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sz val="12"/>
      <name val="Arial Narrow"/>
      <family val="2"/>
    </font>
    <font>
      <sz val="12"/>
      <name val="Arial"/>
      <family val="2"/>
    </font>
    <font>
      <b/>
      <sz val="12"/>
      <name val="Arial Narrow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6"/>
      <name val="Arial"/>
      <family val="2"/>
    </font>
    <font>
      <sz val="11"/>
      <color indexed="12"/>
      <name val="Arial"/>
      <family val="2"/>
    </font>
    <font>
      <b/>
      <vertAlign val="subscript"/>
      <sz val="11"/>
      <name val="Arial"/>
      <family val="2"/>
    </font>
    <font>
      <vertAlign val="subscript"/>
      <sz val="11"/>
      <name val="Arial"/>
      <family val="2"/>
    </font>
    <font>
      <sz val="11"/>
      <color indexed="9"/>
      <name val="Arial"/>
      <family val="2"/>
    </font>
    <font>
      <b/>
      <vertAlign val="subscript"/>
      <sz val="11"/>
      <name val="Gas Huffer Phat"/>
    </font>
    <font>
      <sz val="11"/>
      <name val="Gas Huffer Phat"/>
    </font>
    <font>
      <sz val="11"/>
      <name val="Symbol"/>
      <family val="1"/>
      <charset val="2"/>
    </font>
    <font>
      <i/>
      <sz val="9"/>
      <name val="Arial"/>
      <family val="2"/>
    </font>
    <font>
      <sz val="9"/>
      <name val="Arial"/>
      <family val="2"/>
    </font>
    <font>
      <vertAlign val="superscript"/>
      <sz val="11"/>
      <name val="Arial"/>
      <family val="2"/>
    </font>
    <font>
      <b/>
      <sz val="9"/>
      <name val="Arial"/>
      <family val="2"/>
    </font>
    <font>
      <b/>
      <sz val="9"/>
      <name val="Symbol"/>
      <family val="1"/>
      <charset val="2"/>
    </font>
    <font>
      <vertAlign val="subscript"/>
      <sz val="9"/>
      <name val="Arial"/>
      <family val="2"/>
    </font>
    <font>
      <sz val="9"/>
      <color indexed="8"/>
      <name val="Arial"/>
      <family val="2"/>
    </font>
    <font>
      <b/>
      <sz val="8"/>
      <color indexed="8"/>
      <name val="Times New Roman"/>
      <family val="1"/>
    </font>
    <font>
      <b/>
      <vertAlign val="subscript"/>
      <sz val="9"/>
      <name val="Arial"/>
      <family val="2"/>
    </font>
    <font>
      <sz val="9"/>
      <color indexed="12"/>
      <name val="Arial"/>
      <family val="2"/>
    </font>
    <font>
      <sz val="11"/>
      <color indexed="10"/>
      <name val="Arial"/>
      <family val="2"/>
    </font>
    <font>
      <b/>
      <sz val="12"/>
      <name val="Symbol"/>
      <family val="1"/>
      <charset val="2"/>
    </font>
    <font>
      <sz val="9"/>
      <name val="Symbol"/>
      <family val="1"/>
      <charset val="2"/>
    </font>
    <font>
      <b/>
      <sz val="11"/>
      <name val="Symbol"/>
      <family val="1"/>
      <charset val="2"/>
    </font>
    <font>
      <b/>
      <vertAlign val="superscript"/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b/>
      <vertAlign val="subscript"/>
      <sz val="10"/>
      <color indexed="8"/>
      <name val="Arial"/>
      <family val="2"/>
    </font>
    <font>
      <b/>
      <sz val="14"/>
      <name val="Symbol"/>
      <family val="1"/>
      <charset val="2"/>
    </font>
    <font>
      <sz val="11"/>
      <color indexed="8"/>
      <name val="Arial"/>
      <family val="2"/>
    </font>
    <font>
      <sz val="11"/>
      <color indexed="58"/>
      <name val="Arial"/>
      <family val="2"/>
    </font>
    <font>
      <sz val="11"/>
      <name val="Trebuchet MS"/>
      <family val="2"/>
    </font>
    <font>
      <b/>
      <sz val="11"/>
      <name val="Trebuchet MS"/>
      <family val="2"/>
    </font>
    <font>
      <b/>
      <vertAlign val="subscript"/>
      <sz val="11"/>
      <name val="Trebuchet MS"/>
      <family val="2"/>
    </font>
    <font>
      <b/>
      <vertAlign val="superscript"/>
      <sz val="11"/>
      <name val="Trebuchet MS"/>
      <family val="2"/>
    </font>
    <font>
      <sz val="11"/>
      <color indexed="9"/>
      <name val="Trebuchet MS"/>
      <family val="2"/>
    </font>
    <font>
      <i/>
      <sz val="9"/>
      <color indexed="9"/>
      <name val="Trebuchet MS"/>
      <family val="2"/>
    </font>
    <font>
      <vertAlign val="subscript"/>
      <sz val="11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0.4"/>
      <name val="Trebuchet MS"/>
      <family val="2"/>
    </font>
    <font>
      <sz val="8"/>
      <name val="Trebuchet MS"/>
      <family val="2"/>
    </font>
    <font>
      <i/>
      <sz val="11"/>
      <name val="Trebuchet MS"/>
      <family val="2"/>
    </font>
    <font>
      <sz val="11"/>
      <color indexed="12"/>
      <name val="Trebuchet MS"/>
      <family val="2"/>
    </font>
    <font>
      <sz val="12"/>
      <color indexed="12"/>
      <name val="Trebuchet MS"/>
      <family val="2"/>
    </font>
    <font>
      <sz val="11"/>
      <color indexed="8"/>
      <name val="Trebuchet MS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Trebuchet MS"/>
      <family val="2"/>
    </font>
    <font>
      <sz val="11"/>
      <color theme="1"/>
      <name val="Arial"/>
      <family val="2"/>
    </font>
    <font>
      <sz val="11"/>
      <color theme="1"/>
      <name val="Trebuchet MS"/>
      <family val="2"/>
    </font>
    <font>
      <sz val="11"/>
      <color rgb="FF0070C0"/>
      <name val="Trebuchet MS"/>
      <family val="2"/>
    </font>
    <font>
      <sz val="11"/>
      <color rgb="FF0070C0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b/>
      <sz val="12"/>
      <color indexed="9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34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51"/>
      </patternFill>
    </fill>
    <fill>
      <patternFill patternType="solid">
        <fgColor indexed="24"/>
        <bgColor indexed="22"/>
      </patternFill>
    </fill>
    <fill>
      <patternFill patternType="solid">
        <fgColor indexed="34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12"/>
        <bgColor indexed="3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/>
        <bgColor indexed="34"/>
      </patternFill>
    </fill>
    <fill>
      <patternFill patternType="solid">
        <fgColor theme="9" tint="0.59999389629810485"/>
        <bgColor theme="5" tint="0.79998168889431442"/>
      </patternFill>
    </fill>
    <fill>
      <patternFill patternType="solid">
        <fgColor theme="4"/>
        <bgColor auto="1"/>
      </patternFill>
    </fill>
    <fill>
      <patternFill patternType="solid">
        <fgColor theme="3" tint="0.79998168889431442"/>
        <bgColor theme="5" tint="0.79998168889431442"/>
      </patternFill>
    </fill>
    <fill>
      <patternFill patternType="solid">
        <fgColor theme="3" tint="0.79998168889431442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 style="double">
        <color indexed="8"/>
      </right>
      <top style="hair">
        <color indexed="8"/>
      </top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double">
        <color indexed="8"/>
      </left>
      <right/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/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double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medium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 diagonalDown="1"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 style="hair">
        <color indexed="8"/>
      </diagonal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/>
      <right style="double">
        <color indexed="8"/>
      </right>
      <top style="medium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medium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hair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indexed="8"/>
      </bottom>
      <diagonal/>
    </border>
    <border>
      <left/>
      <right style="thin">
        <color auto="1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 style="hair">
        <color indexed="8"/>
      </bottom>
      <diagonal/>
    </border>
    <border>
      <left style="thin">
        <color auto="1"/>
      </left>
      <right/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hair">
        <color indexed="8"/>
      </top>
      <bottom style="thin">
        <color indexed="64"/>
      </bottom>
      <diagonal/>
    </border>
    <border>
      <left/>
      <right style="thin">
        <color auto="1"/>
      </right>
      <top style="hair">
        <color indexed="8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1" fontId="2" fillId="0" borderId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82" fillId="23" borderId="7" applyNumberForma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41" fontId="82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36" borderId="15" applyBorder="0" applyAlignment="0">
      <alignment horizontal="center" vertical="center" wrapText="1"/>
    </xf>
  </cellStyleXfs>
  <cellXfs count="779">
    <xf numFmtId="0" fontId="0" fillId="0" borderId="0" xfId="0"/>
    <xf numFmtId="0" fontId="20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3" fillId="20" borderId="10" xfId="0" applyFont="1" applyFill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2" borderId="11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/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20" borderId="16" xfId="0" applyFont="1" applyFill="1" applyBorder="1" applyAlignment="1">
      <alignment horizontal="center" vertical="center"/>
    </xf>
    <xf numFmtId="0" fontId="29" fillId="20" borderId="17" xfId="0" applyFont="1" applyFill="1" applyBorder="1" applyAlignment="1">
      <alignment horizontal="center" vertical="center"/>
    </xf>
    <xf numFmtId="0" fontId="0" fillId="0" borderId="15" xfId="0" applyBorder="1"/>
    <xf numFmtId="164" fontId="3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20" fillId="0" borderId="0" xfId="0" applyNumberFormat="1" applyFont="1"/>
    <xf numFmtId="0" fontId="29" fillId="0" borderId="21" xfId="0" applyFont="1" applyBorder="1" applyAlignment="1">
      <alignment horizontal="center" vertical="center"/>
    </xf>
    <xf numFmtId="165" fontId="20" fillId="0" borderId="22" xfId="0" applyNumberFormat="1" applyFont="1" applyBorder="1" applyAlignment="1">
      <alignment horizontal="center" vertical="center"/>
    </xf>
    <xf numFmtId="165" fontId="20" fillId="0" borderId="23" xfId="0" applyNumberFormat="1" applyFont="1" applyBorder="1" applyAlignment="1">
      <alignment horizontal="center" vertical="center"/>
    </xf>
    <xf numFmtId="0" fontId="30" fillId="22" borderId="15" xfId="0" applyFont="1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165" fontId="20" fillId="0" borderId="25" xfId="0" applyNumberFormat="1" applyFont="1" applyBorder="1" applyAlignment="1">
      <alignment horizontal="center" vertical="center"/>
    </xf>
    <xf numFmtId="165" fontId="20" fillId="0" borderId="26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25" fillId="24" borderId="0" xfId="0" applyNumberFormat="1" applyFont="1" applyFill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33" fillId="0" borderId="0" xfId="0" applyFont="1"/>
    <xf numFmtId="0" fontId="20" fillId="0" borderId="0" xfId="0" applyFont="1" applyAlignment="1">
      <alignment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164" fontId="29" fillId="0" borderId="28" xfId="0" applyNumberFormat="1" applyFont="1" applyBorder="1" applyAlignment="1">
      <alignment horizontal="center" vertical="center"/>
    </xf>
    <xf numFmtId="164" fontId="29" fillId="0" borderId="29" xfId="0" applyNumberFormat="1" applyFont="1" applyBorder="1" applyAlignment="1">
      <alignment horizontal="center" vertical="center"/>
    </xf>
    <xf numFmtId="164" fontId="29" fillId="22" borderId="29" xfId="0" applyNumberFormat="1" applyFont="1" applyFill="1" applyBorder="1" applyAlignment="1">
      <alignment horizontal="center" vertical="center"/>
    </xf>
    <xf numFmtId="164" fontId="29" fillId="0" borderId="30" xfId="0" applyNumberFormat="1" applyFont="1" applyBorder="1" applyAlignment="1">
      <alignment horizontal="center" vertical="center"/>
    </xf>
    <xf numFmtId="0" fontId="29" fillId="0" borderId="0" xfId="0" applyFont="1"/>
    <xf numFmtId="0" fontId="29" fillId="20" borderId="15" xfId="0" applyFont="1" applyFill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35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/>
    </xf>
    <xf numFmtId="0" fontId="20" fillId="0" borderId="34" xfId="0" applyFont="1" applyBorder="1"/>
    <xf numFmtId="0" fontId="20" fillId="0" borderId="49" xfId="0" applyFont="1" applyBorder="1" applyAlignment="1">
      <alignment horizontal="center"/>
    </xf>
    <xf numFmtId="0" fontId="29" fillId="20" borderId="15" xfId="0" applyFont="1" applyFill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1" fontId="20" fillId="0" borderId="22" xfId="0" applyNumberFormat="1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0" fontId="29" fillId="20" borderId="37" xfId="0" applyFont="1" applyFill="1" applyBorder="1" applyAlignment="1">
      <alignment horizontal="center"/>
    </xf>
    <xf numFmtId="0" fontId="20" fillId="0" borderId="48" xfId="0" applyFont="1" applyBorder="1"/>
    <xf numFmtId="0" fontId="20" fillId="0" borderId="50" xfId="0" applyFont="1" applyBorder="1"/>
    <xf numFmtId="0" fontId="20" fillId="0" borderId="51" xfId="0" applyFont="1" applyBorder="1"/>
    <xf numFmtId="0" fontId="20" fillId="25" borderId="37" xfId="0" applyFont="1" applyFill="1" applyBorder="1"/>
    <xf numFmtId="0" fontId="20" fillId="25" borderId="33" xfId="0" applyFont="1" applyFill="1" applyBorder="1"/>
    <xf numFmtId="0" fontId="20" fillId="25" borderId="34" xfId="0" applyFont="1" applyFill="1" applyBorder="1"/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9" fillId="26" borderId="15" xfId="0" applyFont="1" applyFill="1" applyBorder="1" applyAlignment="1">
      <alignment horizontal="center" vertical="center"/>
    </xf>
    <xf numFmtId="0" fontId="29" fillId="26" borderId="15" xfId="0" applyFont="1" applyFill="1" applyBorder="1" applyAlignment="1">
      <alignment horizontal="center"/>
    </xf>
    <xf numFmtId="0" fontId="41" fillId="0" borderId="0" xfId="0" applyFont="1"/>
    <xf numFmtId="0" fontId="42" fillId="0" borderId="0" xfId="0" applyFont="1"/>
    <xf numFmtId="0" fontId="29" fillId="0" borderId="0" xfId="0" applyFont="1" applyAlignment="1">
      <alignment horizontal="left" vertical="center"/>
    </xf>
    <xf numFmtId="0" fontId="20" fillId="0" borderId="44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9" fillId="20" borderId="15" xfId="0" applyFont="1" applyFill="1" applyBorder="1"/>
    <xf numFmtId="0" fontId="20" fillId="0" borderId="27" xfId="0" applyFont="1" applyBorder="1" applyAlignment="1">
      <alignment horizontal="left" indent="1"/>
    </xf>
    <xf numFmtId="0" fontId="20" fillId="0" borderId="22" xfId="0" applyFont="1" applyBorder="1" applyAlignment="1">
      <alignment horizontal="left" indent="1"/>
    </xf>
    <xf numFmtId="0" fontId="20" fillId="0" borderId="31" xfId="0" applyFont="1" applyBorder="1" applyAlignment="1">
      <alignment horizontal="left" indent="1"/>
    </xf>
    <xf numFmtId="0" fontId="20" fillId="0" borderId="56" xfId="0" applyFont="1" applyBorder="1" applyAlignment="1">
      <alignment horizontal="left" indent="1"/>
    </xf>
    <xf numFmtId="0" fontId="20" fillId="0" borderId="56" xfId="0" applyFont="1" applyBorder="1" applyAlignment="1">
      <alignment horizontal="center"/>
    </xf>
    <xf numFmtId="0" fontId="29" fillId="0" borderId="15" xfId="0" applyFont="1" applyBorder="1"/>
    <xf numFmtId="0" fontId="20" fillId="0" borderId="15" xfId="0" applyFont="1" applyBorder="1"/>
    <xf numFmtId="0" fontId="29" fillId="0" borderId="0" xfId="0" applyFont="1" applyAlignment="1">
      <alignment horizontal="left"/>
    </xf>
    <xf numFmtId="0" fontId="20" fillId="0" borderId="57" xfId="0" applyFont="1" applyBorder="1"/>
    <xf numFmtId="0" fontId="20" fillId="0" borderId="58" xfId="0" applyFont="1" applyBorder="1"/>
    <xf numFmtId="0" fontId="20" fillId="0" borderId="0" xfId="0" applyFont="1" applyAlignment="1">
      <alignment horizontal="left"/>
    </xf>
    <xf numFmtId="0" fontId="20" fillId="0" borderId="47" xfId="0" applyFont="1" applyBorder="1" applyAlignment="1">
      <alignment horizontal="center"/>
    </xf>
    <xf numFmtId="2" fontId="20" fillId="0" borderId="27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22" xfId="0" applyNumberFormat="1" applyFont="1" applyBorder="1" applyAlignment="1">
      <alignment horizontal="center"/>
    </xf>
    <xf numFmtId="0" fontId="20" fillId="0" borderId="74" xfId="0" applyFont="1" applyBorder="1"/>
    <xf numFmtId="0" fontId="20" fillId="0" borderId="0" xfId="0" applyFont="1" applyAlignment="1">
      <alignment horizontal="left" indent="5"/>
    </xf>
    <xf numFmtId="0" fontId="20" fillId="0" borderId="14" xfId="0" applyFont="1" applyBorder="1" applyAlignment="1">
      <alignment horizontal="left"/>
    </xf>
    <xf numFmtId="0" fontId="20" fillId="0" borderId="76" xfId="0" applyFont="1" applyBorder="1" applyAlignment="1">
      <alignment horizontal="left"/>
    </xf>
    <xf numFmtId="0" fontId="20" fillId="0" borderId="76" xfId="0" applyFont="1" applyBorder="1" applyAlignment="1">
      <alignment vertical="center"/>
    </xf>
    <xf numFmtId="0" fontId="20" fillId="0" borderId="76" xfId="0" applyFont="1" applyBorder="1"/>
    <xf numFmtId="0" fontId="20" fillId="0" borderId="76" xfId="0" applyFont="1" applyBorder="1" applyAlignment="1">
      <alignment horizontal="center"/>
    </xf>
    <xf numFmtId="0" fontId="20" fillId="0" borderId="77" xfId="0" applyFont="1" applyBorder="1" applyAlignment="1">
      <alignment horizontal="center"/>
    </xf>
    <xf numFmtId="0" fontId="20" fillId="0" borderId="49" xfId="0" applyFont="1" applyBorder="1" applyAlignment="1">
      <alignment horizontal="left"/>
    </xf>
    <xf numFmtId="0" fontId="20" fillId="0" borderId="78" xfId="0" applyFont="1" applyBorder="1"/>
    <xf numFmtId="0" fontId="20" fillId="0" borderId="79" xfId="0" applyFont="1" applyBorder="1"/>
    <xf numFmtId="0" fontId="20" fillId="0" borderId="80" xfId="0" applyFont="1" applyBorder="1" applyAlignment="1">
      <alignment horizontal="left"/>
    </xf>
    <xf numFmtId="0" fontId="20" fillId="0" borderId="80" xfId="0" applyFont="1" applyBorder="1"/>
    <xf numFmtId="0" fontId="20" fillId="0" borderId="80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14" xfId="0" applyFont="1" applyBorder="1" applyAlignment="1">
      <alignment horizontal="left" indent="1"/>
    </xf>
    <xf numFmtId="0" fontId="20" fillId="0" borderId="49" xfId="0" applyFont="1" applyBorder="1" applyAlignment="1">
      <alignment horizontal="left" indent="1"/>
    </xf>
    <xf numFmtId="0" fontId="20" fillId="0" borderId="78" xfId="0" applyFont="1" applyBorder="1" applyAlignment="1">
      <alignment horizontal="center"/>
    </xf>
    <xf numFmtId="0" fontId="20" fillId="0" borderId="79" xfId="0" applyFont="1" applyBorder="1" applyAlignment="1">
      <alignment horizontal="left" indent="1"/>
    </xf>
    <xf numFmtId="0" fontId="20" fillId="0" borderId="78" xfId="0" applyFont="1" applyBorder="1" applyAlignment="1">
      <alignment horizontal="left" indent="1"/>
    </xf>
    <xf numFmtId="0" fontId="20" fillId="0" borderId="0" xfId="0" applyFont="1" applyAlignment="1">
      <alignment horizontal="left" indent="1"/>
    </xf>
    <xf numFmtId="0" fontId="20" fillId="0" borderId="80" xfId="0" applyFont="1" applyBorder="1" applyAlignment="1">
      <alignment horizontal="left" indent="1"/>
    </xf>
    <xf numFmtId="0" fontId="20" fillId="0" borderId="81" xfId="0" applyFont="1" applyBorder="1"/>
    <xf numFmtId="0" fontId="20" fillId="0" borderId="59" xfId="0" applyFont="1" applyBorder="1"/>
    <xf numFmtId="0" fontId="20" fillId="0" borderId="60" xfId="0" applyFont="1" applyBorder="1"/>
    <xf numFmtId="0" fontId="20" fillId="0" borderId="61" xfId="0" applyFont="1" applyBorder="1" applyAlignment="1">
      <alignment horizontal="left"/>
    </xf>
    <xf numFmtId="0" fontId="20" fillId="0" borderId="61" xfId="0" applyFont="1" applyBorder="1"/>
    <xf numFmtId="0" fontId="20" fillId="0" borderId="72" xfId="0" applyFont="1" applyBorder="1"/>
    <xf numFmtId="0" fontId="20" fillId="0" borderId="73" xfId="0" applyFont="1" applyBorder="1" applyAlignment="1">
      <alignment horizontal="center"/>
    </xf>
    <xf numFmtId="0" fontId="20" fillId="0" borderId="73" xfId="0" applyFont="1" applyBorder="1"/>
    <xf numFmtId="0" fontId="20" fillId="0" borderId="82" xfId="0" applyFont="1" applyBorder="1"/>
    <xf numFmtId="0" fontId="44" fillId="0" borderId="0" xfId="0" applyFont="1"/>
    <xf numFmtId="0" fontId="45" fillId="0" borderId="57" xfId="0" applyFont="1" applyBorder="1" applyAlignment="1">
      <alignment horizontal="center"/>
    </xf>
    <xf numFmtId="0" fontId="42" fillId="0" borderId="58" xfId="0" applyFont="1" applyBorder="1"/>
    <xf numFmtId="0" fontId="42" fillId="0" borderId="58" xfId="0" applyFont="1" applyBorder="1" applyAlignment="1">
      <alignment horizontal="center"/>
    </xf>
    <xf numFmtId="0" fontId="42" fillId="0" borderId="59" xfId="0" applyFont="1" applyBorder="1"/>
    <xf numFmtId="0" fontId="42" fillId="0" borderId="0" xfId="0" applyFont="1" applyAlignment="1">
      <alignment horizontal="center"/>
    </xf>
    <xf numFmtId="0" fontId="42" fillId="0" borderId="60" xfId="0" applyFont="1" applyBorder="1"/>
    <xf numFmtId="0" fontId="42" fillId="0" borderId="80" xfId="0" applyFont="1" applyBorder="1" applyAlignment="1">
      <alignment horizontal="center"/>
    </xf>
    <xf numFmtId="0" fontId="42" fillId="0" borderId="61" xfId="0" applyFont="1" applyBorder="1"/>
    <xf numFmtId="164" fontId="42" fillId="0" borderId="0" xfId="0" applyNumberFormat="1" applyFont="1"/>
    <xf numFmtId="0" fontId="42" fillId="0" borderId="72" xfId="0" applyFont="1" applyBorder="1"/>
    <xf numFmtId="0" fontId="42" fillId="0" borderId="73" xfId="0" applyFont="1" applyBorder="1"/>
    <xf numFmtId="0" fontId="42" fillId="0" borderId="73" xfId="0" applyFont="1" applyBorder="1" applyAlignment="1">
      <alignment horizontal="center"/>
    </xf>
    <xf numFmtId="0" fontId="42" fillId="0" borderId="82" xfId="0" applyFont="1" applyBorder="1"/>
    <xf numFmtId="0" fontId="42" fillId="0" borderId="0" xfId="0" applyFont="1" applyAlignment="1">
      <alignment vertical="center"/>
    </xf>
    <xf numFmtId="0" fontId="42" fillId="0" borderId="83" xfId="0" applyFont="1" applyBorder="1"/>
    <xf numFmtId="0" fontId="42" fillId="0" borderId="84" xfId="0" applyFont="1" applyBorder="1"/>
    <xf numFmtId="0" fontId="42" fillId="0" borderId="84" xfId="0" applyFont="1" applyBorder="1" applyAlignment="1">
      <alignment horizontal="center"/>
    </xf>
    <xf numFmtId="164" fontId="42" fillId="0" borderId="84" xfId="0" applyNumberFormat="1" applyFont="1" applyBorder="1" applyAlignment="1">
      <alignment horizontal="center"/>
    </xf>
    <xf numFmtId="164" fontId="42" fillId="0" borderId="85" xfId="0" applyNumberFormat="1" applyFont="1" applyBorder="1"/>
    <xf numFmtId="0" fontId="42" fillId="0" borderId="86" xfId="0" applyFont="1" applyBorder="1"/>
    <xf numFmtId="164" fontId="42" fillId="0" borderId="0" xfId="0" applyNumberFormat="1" applyFont="1" applyAlignment="1">
      <alignment horizontal="center"/>
    </xf>
    <xf numFmtId="164" fontId="42" fillId="0" borderId="87" xfId="0" applyNumberFormat="1" applyFont="1" applyBorder="1"/>
    <xf numFmtId="0" fontId="42" fillId="0" borderId="87" xfId="0" applyFont="1" applyBorder="1"/>
    <xf numFmtId="0" fontId="42" fillId="0" borderId="88" xfId="0" applyFont="1" applyBorder="1"/>
    <xf numFmtId="0" fontId="42" fillId="0" borderId="89" xfId="0" applyFont="1" applyBorder="1"/>
    <xf numFmtId="0" fontId="42" fillId="0" borderId="89" xfId="0" applyFont="1" applyBorder="1" applyAlignment="1">
      <alignment horizontal="center"/>
    </xf>
    <xf numFmtId="164" fontId="42" fillId="0" borderId="89" xfId="0" applyNumberFormat="1" applyFont="1" applyBorder="1" applyAlignment="1">
      <alignment horizontal="center"/>
    </xf>
    <xf numFmtId="164" fontId="42" fillId="0" borderId="90" xfId="0" applyNumberFormat="1" applyFont="1" applyBorder="1"/>
    <xf numFmtId="0" fontId="44" fillId="0" borderId="0" xfId="0" applyFont="1" applyAlignment="1">
      <alignment horizontal="center"/>
    </xf>
    <xf numFmtId="0" fontId="42" fillId="0" borderId="82" xfId="0" applyFont="1" applyBorder="1" applyAlignment="1">
      <alignment vertical="center"/>
    </xf>
    <xf numFmtId="0" fontId="42" fillId="0" borderId="85" xfId="0" applyFont="1" applyBorder="1"/>
    <xf numFmtId="0" fontId="42" fillId="0" borderId="90" xfId="0" applyFont="1" applyBorder="1"/>
    <xf numFmtId="165" fontId="42" fillId="0" borderId="58" xfId="0" applyNumberFormat="1" applyFont="1" applyBorder="1"/>
    <xf numFmtId="165" fontId="42" fillId="0" borderId="80" xfId="0" applyNumberFormat="1" applyFont="1" applyBorder="1"/>
    <xf numFmtId="2" fontId="42" fillId="0" borderId="0" xfId="0" applyNumberFormat="1" applyFont="1"/>
    <xf numFmtId="0" fontId="44" fillId="20" borderId="91" xfId="0" applyFont="1" applyFill="1" applyBorder="1" applyAlignment="1">
      <alignment horizontal="center"/>
    </xf>
    <xf numFmtId="0" fontId="44" fillId="20" borderId="92" xfId="0" applyFont="1" applyFill="1" applyBorder="1" applyAlignment="1">
      <alignment horizontal="center"/>
    </xf>
    <xf numFmtId="0" fontId="44" fillId="20" borderId="93" xfId="0" applyFont="1" applyFill="1" applyBorder="1" applyAlignment="1">
      <alignment horizontal="center"/>
    </xf>
    <xf numFmtId="0" fontId="42" fillId="0" borderId="18" xfId="0" applyFont="1" applyBorder="1"/>
    <xf numFmtId="0" fontId="42" fillId="0" borderId="19" xfId="0" applyFont="1" applyBorder="1"/>
    <xf numFmtId="0" fontId="42" fillId="0" borderId="20" xfId="0" applyFont="1" applyBorder="1"/>
    <xf numFmtId="0" fontId="42" fillId="0" borderId="94" xfId="0" applyFont="1" applyBorder="1"/>
    <xf numFmtId="0" fontId="42" fillId="0" borderId="95" xfId="0" applyFont="1" applyBorder="1"/>
    <xf numFmtId="0" fontId="42" fillId="0" borderId="96" xfId="0" applyFont="1" applyBorder="1"/>
    <xf numFmtId="0" fontId="42" fillId="0" borderId="97" xfId="0" applyFont="1" applyBorder="1" applyAlignment="1">
      <alignment horizontal="center"/>
    </xf>
    <xf numFmtId="0" fontId="42" fillId="0" borderId="15" xfId="0" applyFont="1" applyBorder="1" applyAlignment="1">
      <alignment horizontal="center"/>
    </xf>
    <xf numFmtId="0" fontId="42" fillId="0" borderId="15" xfId="0" applyFont="1" applyBorder="1"/>
    <xf numFmtId="0" fontId="42" fillId="0" borderId="35" xfId="0" applyFont="1" applyBorder="1"/>
    <xf numFmtId="0" fontId="42" fillId="0" borderId="98" xfId="0" applyFont="1" applyBorder="1"/>
    <xf numFmtId="0" fontId="42" fillId="0" borderId="56" xfId="0" applyFont="1" applyBorder="1"/>
    <xf numFmtId="0" fontId="42" fillId="0" borderId="99" xfId="0" applyFont="1" applyBorder="1"/>
    <xf numFmtId="0" fontId="42" fillId="0" borderId="21" xfId="0" applyFont="1" applyBorder="1"/>
    <xf numFmtId="0" fontId="42" fillId="0" borderId="22" xfId="0" applyFont="1" applyBorder="1"/>
    <xf numFmtId="0" fontId="42" fillId="0" borderId="23" xfId="0" applyFont="1" applyBorder="1"/>
    <xf numFmtId="0" fontId="42" fillId="0" borderId="24" xfId="0" applyFont="1" applyBorder="1"/>
    <xf numFmtId="0" fontId="50" fillId="0" borderId="25" xfId="0" applyFont="1" applyBorder="1"/>
    <xf numFmtId="0" fontId="42" fillId="0" borderId="25" xfId="0" applyFont="1" applyBorder="1"/>
    <xf numFmtId="0" fontId="42" fillId="0" borderId="26" xfId="0" applyFont="1" applyBorder="1"/>
    <xf numFmtId="0" fontId="42" fillId="0" borderId="49" xfId="0" applyFont="1" applyBorder="1"/>
    <xf numFmtId="0" fontId="42" fillId="0" borderId="80" xfId="0" applyFont="1" applyBorder="1"/>
    <xf numFmtId="0" fontId="42" fillId="0" borderId="79" xfId="0" applyFont="1" applyBorder="1"/>
    <xf numFmtId="0" fontId="42" fillId="0" borderId="14" xfId="0" applyFont="1" applyBorder="1"/>
    <xf numFmtId="0" fontId="42" fillId="0" borderId="76" xfId="0" applyFont="1" applyBorder="1"/>
    <xf numFmtId="0" fontId="42" fillId="0" borderId="76" xfId="0" applyFont="1" applyBorder="1" applyAlignment="1">
      <alignment horizontal="center"/>
    </xf>
    <xf numFmtId="164" fontId="42" fillId="0" borderId="76" xfId="0" applyNumberFormat="1" applyFont="1" applyBorder="1" applyAlignment="1">
      <alignment horizontal="center"/>
    </xf>
    <xf numFmtId="164" fontId="42" fillId="0" borderId="77" xfId="0" applyNumberFormat="1" applyFont="1" applyBorder="1"/>
    <xf numFmtId="164" fontId="42" fillId="0" borderId="78" xfId="0" applyNumberFormat="1" applyFont="1" applyBorder="1"/>
    <xf numFmtId="0" fontId="42" fillId="0" borderId="78" xfId="0" applyFont="1" applyBorder="1"/>
    <xf numFmtId="164" fontId="42" fillId="0" borderId="80" xfId="0" applyNumberFormat="1" applyFont="1" applyBorder="1" applyAlignment="1">
      <alignment horizontal="center"/>
    </xf>
    <xf numFmtId="164" fontId="42" fillId="0" borderId="81" xfId="0" applyNumberFormat="1" applyFont="1" applyBorder="1"/>
    <xf numFmtId="0" fontId="20" fillId="0" borderId="0" xfId="0" applyFont="1" applyAlignment="1">
      <alignment horizontal="left" indent="6"/>
    </xf>
    <xf numFmtId="0" fontId="20" fillId="0" borderId="14" xfId="0" applyFont="1" applyBorder="1"/>
    <xf numFmtId="0" fontId="20" fillId="0" borderId="77" xfId="0" applyFont="1" applyBorder="1"/>
    <xf numFmtId="0" fontId="20" fillId="0" borderId="49" xfId="0" applyFont="1" applyBorder="1"/>
    <xf numFmtId="164" fontId="20" fillId="0" borderId="33" xfId="0" applyNumberFormat="1" applyFont="1" applyBorder="1" applyAlignment="1">
      <alignment horizontal="center"/>
    </xf>
    <xf numFmtId="165" fontId="20" fillId="0" borderId="33" xfId="0" applyNumberFormat="1" applyFont="1" applyBorder="1" applyAlignment="1">
      <alignment horizontal="center"/>
    </xf>
    <xf numFmtId="2" fontId="20" fillId="0" borderId="33" xfId="0" applyNumberFormat="1" applyFont="1" applyBorder="1" applyAlignment="1">
      <alignment horizontal="center"/>
    </xf>
    <xf numFmtId="1" fontId="20" fillId="0" borderId="33" xfId="0" applyNumberFormat="1" applyFont="1" applyBorder="1" applyAlignment="1">
      <alignment horizontal="center"/>
    </xf>
    <xf numFmtId="1" fontId="20" fillId="0" borderId="0" xfId="0" applyNumberFormat="1" applyFont="1"/>
    <xf numFmtId="1" fontId="20" fillId="0" borderId="34" xfId="0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44" fillId="0" borderId="100" xfId="0" applyFont="1" applyBorder="1" applyAlignment="1">
      <alignment horizontal="center"/>
    </xf>
    <xf numFmtId="0" fontId="45" fillId="0" borderId="101" xfId="0" applyFont="1" applyBorder="1" applyAlignment="1">
      <alignment horizontal="center"/>
    </xf>
    <xf numFmtId="0" fontId="44" fillId="0" borderId="102" xfId="0" applyFont="1" applyBorder="1" applyAlignment="1">
      <alignment horizontal="center"/>
    </xf>
    <xf numFmtId="0" fontId="42" fillId="0" borderId="83" xfId="0" applyFont="1" applyBorder="1" applyAlignment="1">
      <alignment horizontal="center"/>
    </xf>
    <xf numFmtId="0" fontId="44" fillId="0" borderId="103" xfId="0" applyFont="1" applyBorder="1" applyAlignment="1">
      <alignment horizontal="center"/>
    </xf>
    <xf numFmtId="0" fontId="44" fillId="0" borderId="104" xfId="0" applyFont="1" applyBorder="1" applyAlignment="1">
      <alignment horizontal="center"/>
    </xf>
    <xf numFmtId="0" fontId="42" fillId="0" borderId="105" xfId="0" applyFont="1" applyBorder="1" applyAlignment="1">
      <alignment horizontal="center"/>
    </xf>
    <xf numFmtId="0" fontId="42" fillId="0" borderId="106" xfId="0" applyFont="1" applyBorder="1" applyAlignment="1">
      <alignment horizontal="center"/>
    </xf>
    <xf numFmtId="0" fontId="42" fillId="0" borderId="104" xfId="0" applyFont="1" applyBorder="1" applyAlignment="1">
      <alignment horizontal="center"/>
    </xf>
    <xf numFmtId="0" fontId="53" fillId="0" borderId="106" xfId="0" applyFont="1" applyBorder="1" applyAlignment="1">
      <alignment horizontal="center"/>
    </xf>
    <xf numFmtId="0" fontId="42" fillId="0" borderId="103" xfId="0" applyFont="1" applyBorder="1" applyAlignment="1">
      <alignment horizontal="center"/>
    </xf>
    <xf numFmtId="0" fontId="53" fillId="0" borderId="97" xfId="0" applyFont="1" applyBorder="1" applyAlignment="1">
      <alignment horizontal="center"/>
    </xf>
    <xf numFmtId="0" fontId="44" fillId="20" borderId="0" xfId="0" applyFont="1" applyFill="1" applyAlignment="1">
      <alignment horizontal="center"/>
    </xf>
    <xf numFmtId="0" fontId="44" fillId="20" borderId="87" xfId="0" applyFont="1" applyFill="1" applyBorder="1" applyAlignment="1">
      <alignment horizontal="center"/>
    </xf>
    <xf numFmtId="0" fontId="42" fillId="0" borderId="107" xfId="0" applyFont="1" applyBorder="1" applyAlignment="1">
      <alignment horizontal="center"/>
    </xf>
    <xf numFmtId="0" fontId="42" fillId="0" borderId="40" xfId="0" applyFont="1" applyBorder="1" applyAlignment="1">
      <alignment horizontal="center"/>
    </xf>
    <xf numFmtId="0" fontId="42" fillId="0" borderId="42" xfId="0" applyFont="1" applyBorder="1" applyAlignment="1">
      <alignment horizontal="center"/>
    </xf>
    <xf numFmtId="0" fontId="42" fillId="0" borderId="41" xfId="0" applyFont="1" applyBorder="1" applyAlignment="1">
      <alignment horizontal="center"/>
    </xf>
    <xf numFmtId="0" fontId="44" fillId="20" borderId="89" xfId="0" applyFont="1" applyFill="1" applyBorder="1" applyAlignment="1">
      <alignment horizontal="center"/>
    </xf>
    <xf numFmtId="0" fontId="44" fillId="20" borderId="90" xfId="0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42" fillId="0" borderId="100" xfId="0" applyFont="1" applyBorder="1" applyAlignment="1">
      <alignment horizontal="center"/>
    </xf>
    <xf numFmtId="0" fontId="44" fillId="0" borderId="101" xfId="0" applyFont="1" applyBorder="1" applyAlignment="1">
      <alignment horizontal="center"/>
    </xf>
    <xf numFmtId="0" fontId="53" fillId="0" borderId="108" xfId="0" applyFont="1" applyBorder="1" applyAlignment="1">
      <alignment horizontal="center"/>
    </xf>
    <xf numFmtId="0" fontId="42" fillId="20" borderId="109" xfId="0" applyFont="1" applyFill="1" applyBorder="1" applyAlignment="1">
      <alignment horizontal="center"/>
    </xf>
    <xf numFmtId="0" fontId="42" fillId="20" borderId="110" xfId="0" applyFont="1" applyFill="1" applyBorder="1" applyAlignment="1">
      <alignment horizontal="center"/>
    </xf>
    <xf numFmtId="0" fontId="20" fillId="0" borderId="47" xfId="0" applyFont="1" applyBorder="1" applyAlignment="1">
      <alignment vertical="center"/>
    </xf>
    <xf numFmtId="0" fontId="20" fillId="0" borderId="70" xfId="0" applyFont="1" applyBorder="1" applyAlignment="1">
      <alignment vertical="center"/>
    </xf>
    <xf numFmtId="0" fontId="20" fillId="0" borderId="95" xfId="0" applyFont="1" applyBorder="1" applyAlignment="1">
      <alignment horizontal="center" vertical="center"/>
    </xf>
    <xf numFmtId="1" fontId="20" fillId="0" borderId="0" xfId="0" applyNumberFormat="1" applyFont="1" applyAlignment="1">
      <alignment vertical="center"/>
    </xf>
    <xf numFmtId="0" fontId="32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29" fillId="0" borderId="0" xfId="0" applyFont="1" applyAlignment="1">
      <alignment horizontal="left" indent="6"/>
    </xf>
    <xf numFmtId="0" fontId="20" fillId="20" borderId="48" xfId="0" applyFont="1" applyFill="1" applyBorder="1"/>
    <xf numFmtId="0" fontId="20" fillId="20" borderId="51" xfId="0" applyFont="1" applyFill="1" applyBorder="1"/>
    <xf numFmtId="0" fontId="20" fillId="0" borderId="113" xfId="0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114" xfId="0" applyFont="1" applyBorder="1" applyAlignment="1">
      <alignment vertical="center"/>
    </xf>
    <xf numFmtId="0" fontId="20" fillId="0" borderId="115" xfId="0" applyFont="1" applyBorder="1" applyAlignment="1">
      <alignment vertical="center"/>
    </xf>
    <xf numFmtId="0" fontId="29" fillId="20" borderId="113" xfId="0" applyFont="1" applyFill="1" applyBorder="1" applyAlignment="1">
      <alignment vertical="center"/>
    </xf>
    <xf numFmtId="0" fontId="29" fillId="20" borderId="46" xfId="0" applyFont="1" applyFill="1" applyBorder="1" applyAlignment="1">
      <alignment vertical="center"/>
    </xf>
    <xf numFmtId="0" fontId="29" fillId="20" borderId="27" xfId="0" applyFont="1" applyFill="1" applyBorder="1" applyAlignment="1">
      <alignment horizontal="center" vertical="center"/>
    </xf>
    <xf numFmtId="0" fontId="29" fillId="20" borderId="116" xfId="0" applyFont="1" applyFill="1" applyBorder="1" applyAlignment="1">
      <alignment vertical="center"/>
    </xf>
    <xf numFmtId="0" fontId="29" fillId="20" borderId="66" xfId="0" applyFont="1" applyFill="1" applyBorder="1" applyAlignment="1">
      <alignment vertical="center"/>
    </xf>
    <xf numFmtId="0" fontId="29" fillId="20" borderId="31" xfId="0" applyFont="1" applyFill="1" applyBorder="1" applyAlignment="1">
      <alignment horizontal="center" vertical="center"/>
    </xf>
    <xf numFmtId="0" fontId="40" fillId="0" borderId="14" xfId="0" applyFont="1" applyBorder="1"/>
    <xf numFmtId="0" fontId="20" fillId="0" borderId="89" xfId="0" applyFont="1" applyBorder="1" applyAlignment="1">
      <alignment horizontal="center"/>
    </xf>
    <xf numFmtId="0" fontId="20" fillId="0" borderId="89" xfId="0" applyFont="1" applyBorder="1"/>
    <xf numFmtId="0" fontId="20" fillId="0" borderId="0" xfId="0" applyFont="1" applyAlignment="1">
      <alignment horizontal="right" indent="1"/>
    </xf>
    <xf numFmtId="0" fontId="20" fillId="0" borderId="80" xfId="0" applyFont="1" applyBorder="1" applyAlignment="1">
      <alignment horizontal="right" indent="1"/>
    </xf>
    <xf numFmtId="0" fontId="29" fillId="20" borderId="91" xfId="0" applyFont="1" applyFill="1" applyBorder="1" applyAlignment="1">
      <alignment horizontal="center"/>
    </xf>
    <xf numFmtId="0" fontId="20" fillId="0" borderId="98" xfId="0" applyFont="1" applyBorder="1" applyAlignment="1">
      <alignment horizontal="center"/>
    </xf>
    <xf numFmtId="0" fontId="20" fillId="0" borderId="99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94" xfId="0" applyFont="1" applyBorder="1" applyAlignment="1">
      <alignment horizontal="center"/>
    </xf>
    <xf numFmtId="0" fontId="20" fillId="0" borderId="95" xfId="0" applyFont="1" applyBorder="1" applyAlignment="1">
      <alignment horizontal="center"/>
    </xf>
    <xf numFmtId="0" fontId="20" fillId="0" borderId="96" xfId="0" applyFont="1" applyBorder="1" applyAlignment="1">
      <alignment horizontal="center"/>
    </xf>
    <xf numFmtId="0" fontId="20" fillId="20" borderId="97" xfId="0" applyFont="1" applyFill="1" applyBorder="1" applyAlignment="1">
      <alignment horizontal="center"/>
    </xf>
    <xf numFmtId="0" fontId="20" fillId="20" borderId="15" xfId="0" applyFont="1" applyFill="1" applyBorder="1" applyAlignment="1">
      <alignment horizontal="center"/>
    </xf>
    <xf numFmtId="0" fontId="20" fillId="20" borderId="35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20" borderId="40" xfId="0" applyFont="1" applyFill="1" applyBorder="1" applyAlignment="1">
      <alignment horizontal="center"/>
    </xf>
    <xf numFmtId="0" fontId="20" fillId="20" borderId="41" xfId="0" applyFont="1" applyFill="1" applyBorder="1" applyAlignment="1">
      <alignment horizontal="center"/>
    </xf>
    <xf numFmtId="0" fontId="20" fillId="20" borderId="42" xfId="0" applyFont="1" applyFill="1" applyBorder="1" applyAlignment="1">
      <alignment horizontal="center"/>
    </xf>
    <xf numFmtId="0" fontId="20" fillId="0" borderId="56" xfId="0" applyFont="1" applyBorder="1"/>
    <xf numFmtId="0" fontId="20" fillId="0" borderId="31" xfId="0" applyFont="1" applyBorder="1"/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left"/>
    </xf>
    <xf numFmtId="0" fontId="58" fillId="20" borderId="91" xfId="0" applyFont="1" applyFill="1" applyBorder="1" applyAlignment="1">
      <alignment horizontal="center"/>
    </xf>
    <xf numFmtId="0" fontId="25" fillId="20" borderId="92" xfId="0" applyFont="1" applyFill="1" applyBorder="1" applyAlignment="1">
      <alignment horizontal="center"/>
    </xf>
    <xf numFmtId="0" fontId="25" fillId="20" borderId="117" xfId="0" applyFont="1" applyFill="1" applyBorder="1" applyAlignment="1">
      <alignment horizontal="center"/>
    </xf>
    <xf numFmtId="0" fontId="25" fillId="20" borderId="93" xfId="0" applyFont="1" applyFill="1" applyBorder="1" applyAlignment="1">
      <alignment horizontal="center"/>
    </xf>
    <xf numFmtId="164" fontId="20" fillId="0" borderId="27" xfId="0" applyNumberFormat="1" applyFont="1" applyBorder="1" applyAlignment="1">
      <alignment horizontal="center"/>
    </xf>
    <xf numFmtId="0" fontId="59" fillId="0" borderId="98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118" xfId="0" applyNumberFormat="1" applyBorder="1" applyAlignment="1">
      <alignment horizontal="center"/>
    </xf>
    <xf numFmtId="164" fontId="0" fillId="0" borderId="99" xfId="0" applyNumberFormat="1" applyBorder="1" applyAlignment="1">
      <alignment horizontal="center"/>
    </xf>
    <xf numFmtId="164" fontId="20" fillId="0" borderId="22" xfId="0" applyNumberFormat="1" applyFont="1" applyBorder="1" applyAlignment="1">
      <alignment horizontal="center"/>
    </xf>
    <xf numFmtId="0" fontId="59" fillId="0" borderId="21" xfId="0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114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59" fillId="0" borderId="24" xfId="0" applyFon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119" xfId="0" applyNumberFormat="1" applyBorder="1" applyAlignment="1">
      <alignment horizontal="center"/>
    </xf>
    <xf numFmtId="0" fontId="56" fillId="0" borderId="0" xfId="0" applyFont="1"/>
    <xf numFmtId="164" fontId="20" fillId="0" borderId="31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29" fillId="20" borderId="37" xfId="0" applyFont="1" applyFill="1" applyBorder="1" applyAlignment="1">
      <alignment horizontal="right"/>
    </xf>
    <xf numFmtId="0" fontId="20" fillId="0" borderId="46" xfId="0" applyFont="1" applyBorder="1" applyAlignment="1">
      <alignment horizontal="center"/>
    </xf>
    <xf numFmtId="165" fontId="0" fillId="0" borderId="56" xfId="0" applyNumberFormat="1" applyBorder="1" applyAlignment="1">
      <alignment horizontal="center"/>
    </xf>
    <xf numFmtId="165" fontId="0" fillId="0" borderId="118" xfId="0" applyNumberFormat="1" applyBorder="1" applyAlignment="1">
      <alignment horizontal="center"/>
    </xf>
    <xf numFmtId="165" fontId="0" fillId="0" borderId="99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114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5" fontId="0" fillId="0" borderId="119" xfId="0" applyNumberFormat="1" applyBorder="1" applyAlignment="1">
      <alignment horizontal="center"/>
    </xf>
    <xf numFmtId="0" fontId="29" fillId="20" borderId="36" xfId="0" applyFont="1" applyFill="1" applyBorder="1" applyAlignment="1">
      <alignment horizontal="center" vertical="center"/>
    </xf>
    <xf numFmtId="0" fontId="29" fillId="20" borderId="35" xfId="0" applyFont="1" applyFill="1" applyBorder="1" applyAlignment="1">
      <alignment horizontal="center" vertical="center"/>
    </xf>
    <xf numFmtId="0" fontId="29" fillId="0" borderId="120" xfId="0" applyFont="1" applyBorder="1" applyAlignment="1">
      <alignment vertical="center"/>
    </xf>
    <xf numFmtId="0" fontId="20" fillId="0" borderId="121" xfId="0" applyFont="1" applyBorder="1" applyAlignment="1">
      <alignment horizontal="center" vertical="center"/>
    </xf>
    <xf numFmtId="0" fontId="29" fillId="0" borderId="21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20" fillId="0" borderId="122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60" fillId="0" borderId="0" xfId="0" applyFont="1"/>
    <xf numFmtId="0" fontId="60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60" fillId="20" borderId="37" xfId="0" applyFont="1" applyFill="1" applyBorder="1" applyAlignment="1">
      <alignment horizontal="center" vertical="center"/>
    </xf>
    <xf numFmtId="0" fontId="60" fillId="20" borderId="15" xfId="0" applyFont="1" applyFill="1" applyBorder="1" applyAlignment="1">
      <alignment horizontal="center" vertical="center"/>
    </xf>
    <xf numFmtId="0" fontId="60" fillId="21" borderId="91" xfId="0" applyFont="1" applyFill="1" applyBorder="1" applyAlignment="1">
      <alignment horizontal="center" vertical="center"/>
    </xf>
    <xf numFmtId="0" fontId="60" fillId="21" borderId="92" xfId="0" applyFont="1" applyFill="1" applyBorder="1" applyAlignment="1">
      <alignment horizontal="center" vertical="center"/>
    </xf>
    <xf numFmtId="0" fontId="60" fillId="21" borderId="93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60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9" fillId="20" borderId="40" xfId="0" applyFont="1" applyFill="1" applyBorder="1" applyAlignment="1">
      <alignment horizontal="center"/>
    </xf>
    <xf numFmtId="0" fontId="54" fillId="20" borderId="41" xfId="0" applyFont="1" applyFill="1" applyBorder="1" applyAlignment="1">
      <alignment horizontal="center"/>
    </xf>
    <xf numFmtId="0" fontId="29" fillId="20" borderId="42" xfId="0" applyFont="1" applyFill="1" applyBorder="1" applyAlignment="1">
      <alignment horizontal="center"/>
    </xf>
    <xf numFmtId="0" fontId="60" fillId="20" borderId="123" xfId="0" applyFont="1" applyFill="1" applyBorder="1" applyAlignment="1">
      <alignment horizontal="center" vertical="center"/>
    </xf>
    <xf numFmtId="0" fontId="60" fillId="20" borderId="124" xfId="0" applyFont="1" applyFill="1" applyBorder="1" applyAlignment="1">
      <alignment horizontal="center" vertical="center"/>
    </xf>
    <xf numFmtId="0" fontId="60" fillId="20" borderId="125" xfId="0" applyFont="1" applyFill="1" applyBorder="1" applyAlignment="1">
      <alignment horizontal="center" vertical="center"/>
    </xf>
    <xf numFmtId="0" fontId="60" fillId="20" borderId="126" xfId="0" applyFont="1" applyFill="1" applyBorder="1" applyAlignment="1">
      <alignment horizontal="center" vertical="center"/>
    </xf>
    <xf numFmtId="0" fontId="60" fillId="20" borderId="127" xfId="0" applyFont="1" applyFill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/>
    </xf>
    <xf numFmtId="1" fontId="24" fillId="0" borderId="33" xfId="0" applyNumberFormat="1" applyFont="1" applyBorder="1" applyAlignment="1">
      <alignment horizontal="center"/>
    </xf>
    <xf numFmtId="1" fontId="24" fillId="0" borderId="128" xfId="0" applyNumberFormat="1" applyFont="1" applyBorder="1" applyAlignment="1">
      <alignment horizontal="center"/>
    </xf>
    <xf numFmtId="1" fontId="24" fillId="0" borderId="78" xfId="0" applyNumberFormat="1" applyFont="1" applyBorder="1" applyAlignment="1">
      <alignment horizontal="center"/>
    </xf>
    <xf numFmtId="1" fontId="24" fillId="0" borderId="5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6" fillId="0" borderId="129" xfId="0" applyNumberFormat="1" applyFont="1" applyBorder="1" applyAlignment="1">
      <alignment horizontal="center" vertical="center"/>
    </xf>
    <xf numFmtId="1" fontId="26" fillId="0" borderId="0" xfId="0" applyNumberFormat="1" applyFont="1"/>
    <xf numFmtId="0" fontId="24" fillId="0" borderId="130" xfId="0" applyFont="1" applyBorder="1" applyAlignment="1">
      <alignment horizontal="center" vertical="center"/>
    </xf>
    <xf numFmtId="0" fontId="24" fillId="0" borderId="131" xfId="0" applyFont="1" applyBorder="1" applyAlignment="1">
      <alignment horizontal="center"/>
    </xf>
    <xf numFmtId="1" fontId="24" fillId="0" borderId="131" xfId="0" applyNumberFormat="1" applyFont="1" applyBorder="1" applyAlignment="1">
      <alignment horizontal="center"/>
    </xf>
    <xf numFmtId="1" fontId="24" fillId="0" borderId="132" xfId="0" applyNumberFormat="1" applyFont="1" applyBorder="1" applyAlignment="1">
      <alignment horizontal="center"/>
    </xf>
    <xf numFmtId="1" fontId="24" fillId="0" borderId="133" xfId="0" applyNumberFormat="1" applyFont="1" applyBorder="1" applyAlignment="1">
      <alignment horizontal="center"/>
    </xf>
    <xf numFmtId="1" fontId="24" fillId="0" borderId="134" xfId="0" applyNumberFormat="1" applyFont="1" applyBorder="1" applyAlignment="1">
      <alignment horizontal="center"/>
    </xf>
    <xf numFmtId="1" fontId="60" fillId="0" borderId="135" xfId="0" applyNumberFormat="1" applyFont="1" applyBorder="1" applyAlignment="1">
      <alignment horizontal="center"/>
    </xf>
    <xf numFmtId="1" fontId="60" fillId="0" borderId="136" xfId="0" applyNumberFormat="1" applyFont="1" applyBorder="1" applyAlignment="1">
      <alignment horizontal="center"/>
    </xf>
    <xf numFmtId="1" fontId="60" fillId="0" borderId="137" xfId="0" applyNumberFormat="1" applyFont="1" applyBorder="1" applyAlignment="1">
      <alignment horizontal="center"/>
    </xf>
    <xf numFmtId="1" fontId="60" fillId="0" borderId="138" xfId="0" applyNumberFormat="1" applyFont="1" applyBorder="1" applyAlignment="1">
      <alignment horizontal="center"/>
    </xf>
    <xf numFmtId="1" fontId="60" fillId="0" borderId="139" xfId="0" applyNumberFormat="1" applyFont="1" applyBorder="1" applyAlignment="1">
      <alignment horizontal="center"/>
    </xf>
    <xf numFmtId="0" fontId="29" fillId="0" borderId="89" xfId="0" applyFont="1" applyBorder="1" applyAlignment="1">
      <alignment horizontal="center"/>
    </xf>
    <xf numFmtId="0" fontId="29" fillId="0" borderId="41" xfId="0" applyFont="1" applyBorder="1" applyAlignment="1">
      <alignment horizontal="center"/>
    </xf>
    <xf numFmtId="0" fontId="29" fillId="0" borderId="140" xfId="0" applyFont="1" applyBorder="1" applyAlignment="1">
      <alignment horizontal="center"/>
    </xf>
    <xf numFmtId="0" fontId="20" fillId="0" borderId="89" xfId="0" applyFont="1" applyBorder="1" applyAlignment="1">
      <alignment horizontal="center" vertical="center"/>
    </xf>
    <xf numFmtId="0" fontId="20" fillId="0" borderId="141" xfId="0" applyFont="1" applyBorder="1" applyAlignment="1">
      <alignment horizontal="center"/>
    </xf>
    <xf numFmtId="0" fontId="63" fillId="0" borderId="34" xfId="0" applyFont="1" applyBorder="1"/>
    <xf numFmtId="1" fontId="64" fillId="0" borderId="54" xfId="0" applyNumberFormat="1" applyFont="1" applyBorder="1"/>
    <xf numFmtId="1" fontId="34" fillId="0" borderId="0" xfId="0" applyNumberFormat="1" applyFont="1"/>
    <xf numFmtId="1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/>
    </xf>
    <xf numFmtId="0" fontId="63" fillId="0" borderId="15" xfId="0" applyFont="1" applyBorder="1"/>
    <xf numFmtId="1" fontId="64" fillId="0" borderId="45" xfId="0" applyNumberFormat="1" applyFont="1" applyBorder="1"/>
    <xf numFmtId="1" fontId="51" fillId="0" borderId="0" xfId="0" applyNumberFormat="1" applyFont="1" applyAlignment="1">
      <alignment horizontal="center"/>
    </xf>
    <xf numFmtId="0" fontId="20" fillId="0" borderId="142" xfId="0" applyFont="1" applyBorder="1" applyAlignment="1">
      <alignment horizontal="center"/>
    </xf>
    <xf numFmtId="0" fontId="20" fillId="0" borderId="143" xfId="0" applyFont="1" applyBorder="1" applyAlignment="1">
      <alignment horizontal="center"/>
    </xf>
    <xf numFmtId="0" fontId="20" fillId="0" borderId="73" xfId="0" applyFont="1" applyBorder="1" applyAlignment="1">
      <alignment horizontal="left"/>
    </xf>
    <xf numFmtId="0" fontId="20" fillId="0" borderId="16" xfId="0" applyFont="1" applyBorder="1"/>
    <xf numFmtId="0" fontId="63" fillId="0" borderId="16" xfId="0" applyFont="1" applyBorder="1"/>
    <xf numFmtId="1" fontId="64" fillId="0" borderId="75" xfId="0" applyNumberFormat="1" applyFont="1" applyBorder="1"/>
    <xf numFmtId="0" fontId="65" fillId="27" borderId="0" xfId="0" applyFont="1" applyFill="1" applyAlignment="1">
      <alignment vertical="center"/>
    </xf>
    <xf numFmtId="0" fontId="66" fillId="27" borderId="0" xfId="0" applyFont="1" applyFill="1" applyAlignment="1">
      <alignment vertical="center"/>
    </xf>
    <xf numFmtId="0" fontId="66" fillId="27" borderId="144" xfId="0" applyFont="1" applyFill="1" applyBorder="1" applyAlignment="1">
      <alignment horizontal="center" vertical="center"/>
    </xf>
    <xf numFmtId="0" fontId="66" fillId="27" borderId="0" xfId="0" applyFont="1" applyFill="1" applyAlignment="1">
      <alignment horizontal="center" vertical="center"/>
    </xf>
    <xf numFmtId="1" fontId="65" fillId="27" borderId="79" xfId="0" applyNumberFormat="1" applyFont="1" applyFill="1" applyBorder="1" applyAlignment="1">
      <alignment horizontal="center" vertical="center"/>
    </xf>
    <xf numFmtId="1" fontId="65" fillId="27" borderId="0" xfId="0" applyNumberFormat="1" applyFont="1" applyFill="1" applyAlignment="1">
      <alignment horizontal="center" vertical="center"/>
    </xf>
    <xf numFmtId="1" fontId="65" fillId="27" borderId="145" xfId="0" applyNumberFormat="1" applyFont="1" applyFill="1" applyBorder="1" applyAlignment="1">
      <alignment horizontal="center" vertical="center"/>
    </xf>
    <xf numFmtId="0" fontId="69" fillId="27" borderId="0" xfId="0" applyFont="1" applyFill="1" applyAlignment="1">
      <alignment vertical="center"/>
    </xf>
    <xf numFmtId="0" fontId="70" fillId="27" borderId="0" xfId="0" applyFont="1" applyFill="1" applyAlignment="1">
      <alignment vertical="center"/>
    </xf>
    <xf numFmtId="0" fontId="54" fillId="27" borderId="0" xfId="0" applyFont="1" applyFill="1" applyAlignment="1">
      <alignment horizontal="right" vertical="center"/>
    </xf>
    <xf numFmtId="0" fontId="65" fillId="27" borderId="0" xfId="0" applyFont="1" applyFill="1" applyAlignment="1">
      <alignment horizontal="center" vertical="center"/>
    </xf>
    <xf numFmtId="0" fontId="65" fillId="27" borderId="0" xfId="0" applyFont="1" applyFill="1" applyAlignment="1">
      <alignment horizontal="left" vertical="center"/>
    </xf>
    <xf numFmtId="0" fontId="72" fillId="27" borderId="0" xfId="0" applyFont="1" applyFill="1" applyAlignment="1">
      <alignment horizontal="center"/>
    </xf>
    <xf numFmtId="0" fontId="73" fillId="27" borderId="0" xfId="0" applyFont="1" applyFill="1"/>
    <xf numFmtId="164" fontId="72" fillId="27" borderId="0" xfId="0" applyNumberFormat="1" applyFont="1" applyFill="1" applyAlignment="1">
      <alignment horizontal="center"/>
    </xf>
    <xf numFmtId="0" fontId="65" fillId="27" borderId="80" xfId="0" applyFont="1" applyFill="1" applyBorder="1" applyAlignment="1">
      <alignment vertical="center"/>
    </xf>
    <xf numFmtId="0" fontId="65" fillId="27" borderId="80" xfId="0" applyFont="1" applyFill="1" applyBorder="1" applyAlignment="1">
      <alignment horizontal="center" vertical="center"/>
    </xf>
    <xf numFmtId="1" fontId="69" fillId="27" borderId="0" xfId="0" applyNumberFormat="1" applyFont="1" applyFill="1" applyAlignment="1">
      <alignment vertical="center"/>
    </xf>
    <xf numFmtId="1" fontId="69" fillId="27" borderId="0" xfId="0" applyNumberFormat="1" applyFont="1" applyFill="1" applyAlignment="1">
      <alignment horizontal="right" vertical="center"/>
    </xf>
    <xf numFmtId="1" fontId="66" fillId="27" borderId="0" xfId="0" applyNumberFormat="1" applyFont="1" applyFill="1" applyAlignment="1">
      <alignment horizontal="center" vertical="center"/>
    </xf>
    <xf numFmtId="1" fontId="65" fillId="27" borderId="0" xfId="0" applyNumberFormat="1" applyFont="1" applyFill="1" applyAlignment="1">
      <alignment vertical="center"/>
    </xf>
    <xf numFmtId="0" fontId="74" fillId="27" borderId="0" xfId="0" applyFont="1" applyFill="1" applyAlignment="1">
      <alignment vertical="center"/>
    </xf>
    <xf numFmtId="0" fontId="40" fillId="27" borderId="0" xfId="0" applyFont="1" applyFill="1" applyAlignment="1">
      <alignment vertical="center"/>
    </xf>
    <xf numFmtId="2" fontId="65" fillId="27" borderId="0" xfId="0" applyNumberFormat="1" applyFont="1" applyFill="1" applyAlignment="1">
      <alignment vertical="center"/>
    </xf>
    <xf numFmtId="1" fontId="65" fillId="27" borderId="0" xfId="0" applyNumberFormat="1" applyFont="1" applyFill="1" applyAlignment="1">
      <alignment horizontal="left" vertical="center"/>
    </xf>
    <xf numFmtId="1" fontId="22" fillId="27" borderId="0" xfId="0" applyNumberFormat="1" applyFont="1" applyFill="1" applyAlignment="1">
      <alignment vertical="center"/>
    </xf>
    <xf numFmtId="1" fontId="75" fillId="27" borderId="0" xfId="0" applyNumberFormat="1" applyFont="1" applyFill="1" applyAlignment="1">
      <alignment vertical="center"/>
    </xf>
    <xf numFmtId="0" fontId="77" fillId="27" borderId="0" xfId="0" applyFont="1" applyFill="1" applyAlignment="1">
      <alignment horizontal="center" vertical="center"/>
    </xf>
    <xf numFmtId="0" fontId="77" fillId="27" borderId="0" xfId="0" applyFont="1" applyFill="1" applyAlignment="1">
      <alignment vertical="center"/>
    </xf>
    <xf numFmtId="167" fontId="77" fillId="27" borderId="0" xfId="0" applyNumberFormat="1" applyFont="1" applyFill="1" applyAlignment="1">
      <alignment horizontal="center" vertical="center"/>
    </xf>
    <xf numFmtId="0" fontId="65" fillId="27" borderId="89" xfId="0" applyFont="1" applyFill="1" applyBorder="1" applyAlignment="1">
      <alignment vertical="center"/>
    </xf>
    <xf numFmtId="0" fontId="79" fillId="27" borderId="34" xfId="0" applyFont="1" applyFill="1" applyBorder="1" applyAlignment="1">
      <alignment vertical="center"/>
    </xf>
    <xf numFmtId="0" fontId="65" fillId="27" borderId="34" xfId="0" applyFont="1" applyFill="1" applyBorder="1" applyAlignment="1">
      <alignment vertical="center"/>
    </xf>
    <xf numFmtId="0" fontId="65" fillId="27" borderId="15" xfId="0" applyFont="1" applyFill="1" applyBorder="1" applyAlignment="1">
      <alignment vertical="center"/>
    </xf>
    <xf numFmtId="0" fontId="65" fillId="27" borderId="79" xfId="0" applyFont="1" applyFill="1" applyBorder="1" applyAlignment="1">
      <alignment vertical="center"/>
    </xf>
    <xf numFmtId="165" fontId="65" fillId="27" borderId="0" xfId="0" applyNumberFormat="1" applyFont="1" applyFill="1" applyAlignment="1">
      <alignment vertical="center"/>
    </xf>
    <xf numFmtId="165" fontId="42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20" borderId="0" xfId="0" applyFont="1" applyFill="1" applyAlignment="1">
      <alignment horizontal="center" vertical="center"/>
    </xf>
    <xf numFmtId="164" fontId="0" fillId="0" borderId="0" xfId="0" applyNumberFormat="1"/>
    <xf numFmtId="164" fontId="20" fillId="0" borderId="0" xfId="0" applyNumberFormat="1" applyFont="1" applyAlignment="1">
      <alignment horizontal="center"/>
    </xf>
    <xf numFmtId="169" fontId="2" fillId="0" borderId="0" xfId="28" applyNumberFormat="1" applyFill="1"/>
    <xf numFmtId="164" fontId="20" fillId="0" borderId="0" xfId="0" applyNumberFormat="1" applyFont="1"/>
    <xf numFmtId="0" fontId="59" fillId="0" borderId="0" xfId="0" applyFont="1" applyAlignment="1">
      <alignment horizontal="center"/>
    </xf>
    <xf numFmtId="165" fontId="0" fillId="0" borderId="26" xfId="0" applyNumberFormat="1" applyBorder="1" applyAlignment="1">
      <alignment horizontal="center"/>
    </xf>
    <xf numFmtId="0" fontId="20" fillId="0" borderId="22" xfId="0" applyFont="1" applyBorder="1"/>
    <xf numFmtId="165" fontId="0" fillId="0" borderId="0" xfId="0" applyNumberFormat="1" applyAlignment="1">
      <alignment horizontal="center"/>
    </xf>
    <xf numFmtId="2" fontId="0" fillId="28" borderId="0" xfId="0" applyNumberFormat="1" applyFill="1"/>
    <xf numFmtId="0" fontId="42" fillId="0" borderId="146" xfId="0" applyFont="1" applyBorder="1"/>
    <xf numFmtId="0" fontId="47" fillId="0" borderId="80" xfId="0" applyFont="1" applyBorder="1" applyAlignment="1">
      <alignment horizontal="center"/>
    </xf>
    <xf numFmtId="0" fontId="42" fillId="0" borderId="147" xfId="0" applyFont="1" applyBorder="1"/>
    <xf numFmtId="0" fontId="42" fillId="0" borderId="73" xfId="0" applyFont="1" applyBorder="1" applyAlignment="1">
      <alignment horizontal="center" vertical="center"/>
    </xf>
    <xf numFmtId="0" fontId="42" fillId="0" borderId="146" xfId="0" applyFont="1" applyBorder="1" applyAlignment="1">
      <alignment horizontal="center"/>
    </xf>
    <xf numFmtId="0" fontId="81" fillId="0" borderId="0" xfId="0" applyFont="1" applyAlignment="1">
      <alignment horizontal="center" wrapText="1"/>
    </xf>
    <xf numFmtId="0" fontId="80" fillId="0" borderId="0" xfId="0" applyFont="1" applyAlignment="1">
      <alignment horizontal="center" wrapText="1"/>
    </xf>
    <xf numFmtId="0" fontId="80" fillId="0" borderId="0" xfId="0" applyFont="1" applyAlignment="1">
      <alignment wrapText="1"/>
    </xf>
    <xf numFmtId="0" fontId="20" fillId="27" borderId="0" xfId="0" applyFont="1" applyFill="1" applyAlignment="1">
      <alignment vertical="center"/>
    </xf>
    <xf numFmtId="2" fontId="77" fillId="27" borderId="0" xfId="0" applyNumberFormat="1" applyFont="1" applyFill="1" applyAlignment="1">
      <alignment vertical="center"/>
    </xf>
    <xf numFmtId="0" fontId="77" fillId="27" borderId="0" xfId="0" applyFont="1" applyFill="1" applyAlignment="1">
      <alignment horizontal="right" vertical="center"/>
    </xf>
    <xf numFmtId="14" fontId="20" fillId="0" borderId="0" xfId="0" applyNumberFormat="1" applyFont="1"/>
    <xf numFmtId="14" fontId="20" fillId="0" borderId="37" xfId="0" applyNumberFormat="1" applyFont="1" applyBorder="1" applyAlignment="1">
      <alignment horizontal="center"/>
    </xf>
    <xf numFmtId="14" fontId="20" fillId="0" borderId="15" xfId="0" applyNumberFormat="1" applyFont="1" applyBorder="1" applyAlignment="1">
      <alignment horizontal="center"/>
    </xf>
    <xf numFmtId="0" fontId="20" fillId="0" borderId="76" xfId="0" applyFont="1" applyBorder="1" applyAlignment="1">
      <alignment vertical="center" textRotation="180"/>
    </xf>
    <xf numFmtId="41" fontId="2" fillId="0" borderId="37" xfId="28" applyBorder="1" applyAlignment="1">
      <alignment horizontal="center"/>
    </xf>
    <xf numFmtId="1" fontId="20" fillId="0" borderId="37" xfId="0" applyNumberFormat="1" applyFont="1" applyBorder="1" applyAlignment="1">
      <alignment horizontal="center"/>
    </xf>
    <xf numFmtId="0" fontId="29" fillId="20" borderId="0" xfId="0" applyFont="1" applyFill="1" applyAlignment="1">
      <alignment horizontal="center"/>
    </xf>
    <xf numFmtId="41" fontId="2" fillId="0" borderId="0" xfId="28" applyBorder="1" applyAlignment="1">
      <alignment horizontal="center"/>
    </xf>
    <xf numFmtId="0" fontId="29" fillId="26" borderId="0" xfId="0" applyFont="1" applyFill="1" applyAlignment="1">
      <alignment horizontal="center"/>
    </xf>
    <xf numFmtId="0" fontId="29" fillId="0" borderId="49" xfId="0" applyFont="1" applyBorder="1" applyAlignment="1">
      <alignment horizontal="center"/>
    </xf>
    <xf numFmtId="41" fontId="2" fillId="0" borderId="49" xfId="28" applyFill="1" applyBorder="1" applyAlignment="1">
      <alignment horizontal="center"/>
    </xf>
    <xf numFmtId="41" fontId="2" fillId="0" borderId="0" xfId="28" applyFill="1" applyBorder="1" applyAlignment="1">
      <alignment horizontal="center"/>
    </xf>
    <xf numFmtId="1" fontId="20" fillId="0" borderId="15" xfId="0" applyNumberFormat="1" applyFont="1" applyBorder="1" applyAlignment="1">
      <alignment horizontal="center"/>
    </xf>
    <xf numFmtId="2" fontId="0" fillId="0" borderId="0" xfId="0" applyNumberFormat="1"/>
    <xf numFmtId="0" fontId="25" fillId="0" borderId="15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" fontId="66" fillId="27" borderId="0" xfId="0" applyNumberFormat="1" applyFont="1" applyFill="1" applyAlignment="1">
      <alignment vertical="center"/>
    </xf>
    <xf numFmtId="41" fontId="20" fillId="27" borderId="0" xfId="28" applyFont="1" applyFill="1" applyAlignment="1">
      <alignment horizontal="center" vertical="center"/>
    </xf>
    <xf numFmtId="41" fontId="20" fillId="27" borderId="0" xfId="28" applyFont="1" applyFill="1" applyAlignment="1">
      <alignment vertical="center"/>
    </xf>
    <xf numFmtId="41" fontId="20" fillId="27" borderId="0" xfId="28" quotePrefix="1" applyFont="1" applyFill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right" vertical="center"/>
    </xf>
    <xf numFmtId="1" fontId="20" fillId="0" borderId="58" xfId="0" applyNumberFormat="1" applyFont="1" applyBorder="1" applyAlignment="1">
      <alignment horizontal="center" vertical="center"/>
    </xf>
    <xf numFmtId="164" fontId="20" fillId="0" borderId="59" xfId="0" applyNumberFormat="1" applyFont="1" applyBorder="1" applyAlignment="1">
      <alignment horizontal="center" vertical="center"/>
    </xf>
    <xf numFmtId="0" fontId="20" fillId="0" borderId="73" xfId="0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22" fontId="65" fillId="27" borderId="0" xfId="0" applyNumberFormat="1" applyFont="1" applyFill="1" applyAlignment="1">
      <alignment vertical="center"/>
    </xf>
    <xf numFmtId="22" fontId="0" fillId="0" borderId="0" xfId="0" applyNumberFormat="1"/>
    <xf numFmtId="41" fontId="2" fillId="0" borderId="0" xfId="28" applyFill="1" applyAlignment="1">
      <alignment horizontal="center"/>
    </xf>
    <xf numFmtId="0" fontId="28" fillId="0" borderId="0" xfId="0" applyFont="1"/>
    <xf numFmtId="20" fontId="25" fillId="30" borderId="153" xfId="0" applyNumberFormat="1" applyFont="1" applyFill="1" applyBorder="1" applyAlignment="1">
      <alignment vertical="center"/>
    </xf>
    <xf numFmtId="14" fontId="0" fillId="30" borderId="153" xfId="0" applyNumberFormat="1" applyFill="1" applyBorder="1"/>
    <xf numFmtId="2" fontId="0" fillId="0" borderId="153" xfId="0" applyNumberFormat="1" applyBorder="1" applyAlignment="1">
      <alignment horizontal="center"/>
    </xf>
    <xf numFmtId="20" fontId="25" fillId="30" borderId="154" xfId="0" applyNumberFormat="1" applyFont="1" applyFill="1" applyBorder="1" applyAlignment="1">
      <alignment vertical="center"/>
    </xf>
    <xf numFmtId="172" fontId="0" fillId="30" borderId="155" xfId="0" applyNumberFormat="1" applyFill="1" applyBorder="1"/>
    <xf numFmtId="2" fontId="0" fillId="0" borderId="154" xfId="0" applyNumberFormat="1" applyBorder="1" applyAlignment="1">
      <alignment horizontal="center"/>
    </xf>
    <xf numFmtId="172" fontId="0" fillId="30" borderId="156" xfId="0" applyNumberFormat="1" applyFill="1" applyBorder="1"/>
    <xf numFmtId="14" fontId="0" fillId="30" borderId="157" xfId="0" applyNumberFormat="1" applyFill="1" applyBorder="1"/>
    <xf numFmtId="2" fontId="0" fillId="0" borderId="157" xfId="0" applyNumberFormat="1" applyBorder="1" applyAlignment="1">
      <alignment horizontal="center"/>
    </xf>
    <xf numFmtId="2" fontId="0" fillId="0" borderId="158" xfId="0" applyNumberFormat="1" applyBorder="1" applyAlignment="1">
      <alignment horizontal="center"/>
    </xf>
    <xf numFmtId="1" fontId="85" fillId="27" borderId="0" xfId="0" applyNumberFormat="1" applyFont="1" applyFill="1" applyAlignment="1">
      <alignment horizontal="right" vertical="center"/>
    </xf>
    <xf numFmtId="1" fontId="85" fillId="27" borderId="0" xfId="0" applyNumberFormat="1" applyFont="1" applyFill="1" applyAlignment="1">
      <alignment vertical="center"/>
    </xf>
    <xf numFmtId="41" fontId="86" fillId="27" borderId="0" xfId="28" applyFont="1" applyFill="1" applyAlignment="1">
      <alignment vertical="center"/>
    </xf>
    <xf numFmtId="0" fontId="87" fillId="27" borderId="0" xfId="0" applyFont="1" applyFill="1" applyAlignment="1">
      <alignment horizontal="center" vertical="center"/>
    </xf>
    <xf numFmtId="41" fontId="2" fillId="0" borderId="27" xfId="28" applyBorder="1" applyAlignment="1">
      <alignment horizontal="center"/>
    </xf>
    <xf numFmtId="41" fontId="2" fillId="0" borderId="111" xfId="28" applyBorder="1" applyAlignment="1">
      <alignment horizontal="center"/>
    </xf>
    <xf numFmtId="41" fontId="2" fillId="0" borderId="22" xfId="28" applyBorder="1" applyAlignment="1">
      <alignment horizontal="center"/>
    </xf>
    <xf numFmtId="41" fontId="2" fillId="0" borderId="149" xfId="28" applyBorder="1" applyAlignment="1">
      <alignment horizontal="center"/>
    </xf>
    <xf numFmtId="41" fontId="2" fillId="0" borderId="47" xfId="28" applyBorder="1" applyAlignment="1">
      <alignment horizontal="center"/>
    </xf>
    <xf numFmtId="41" fontId="2" fillId="0" borderId="67" xfId="28" applyBorder="1" applyAlignment="1">
      <alignment horizontal="center"/>
    </xf>
    <xf numFmtId="1" fontId="88" fillId="27" borderId="0" xfId="0" applyNumberFormat="1" applyFont="1" applyFill="1" applyAlignment="1">
      <alignment vertical="center"/>
    </xf>
    <xf numFmtId="41" fontId="89" fillId="27" borderId="0" xfId="28" applyFont="1" applyFill="1" applyAlignment="1">
      <alignment vertical="center"/>
    </xf>
    <xf numFmtId="41" fontId="2" fillId="27" borderId="0" xfId="28" applyFill="1" applyAlignment="1">
      <alignment vertical="center"/>
    </xf>
    <xf numFmtId="1" fontId="86" fillId="0" borderId="115" xfId="0" applyNumberFormat="1" applyFont="1" applyBorder="1" applyAlignment="1">
      <alignment horizontal="center" vertical="center"/>
    </xf>
    <xf numFmtId="2" fontId="86" fillId="0" borderId="152" xfId="0" applyNumberFormat="1" applyFont="1" applyBorder="1" applyAlignment="1">
      <alignment horizontal="center" vertical="center"/>
    </xf>
    <xf numFmtId="1" fontId="86" fillId="0" borderId="14" xfId="0" applyNumberFormat="1" applyFont="1" applyBorder="1" applyAlignment="1">
      <alignment horizontal="center" vertical="center"/>
    </xf>
    <xf numFmtId="2" fontId="86" fillId="0" borderId="53" xfId="0" applyNumberFormat="1" applyFont="1" applyBorder="1" applyAlignment="1">
      <alignment horizontal="center" vertical="center"/>
    </xf>
    <xf numFmtId="1" fontId="86" fillId="0" borderId="150" xfId="0" applyNumberFormat="1" applyFont="1" applyBorder="1" applyAlignment="1">
      <alignment horizontal="center" vertical="center"/>
    </xf>
    <xf numFmtId="2" fontId="86" fillId="0" borderId="112" xfId="0" applyNumberFormat="1" applyFont="1" applyBorder="1" applyAlignment="1">
      <alignment horizontal="center" vertical="center"/>
    </xf>
    <xf numFmtId="173" fontId="86" fillId="0" borderId="14" xfId="0" applyNumberFormat="1" applyFont="1" applyBorder="1" applyAlignment="1">
      <alignment horizontal="center" vertical="center"/>
    </xf>
    <xf numFmtId="0" fontId="91" fillId="34" borderId="177" xfId="35" applyFont="1" applyFill="1" applyBorder="1" applyAlignment="1">
      <alignment horizontal="center" vertical="center"/>
    </xf>
    <xf numFmtId="0" fontId="1" fillId="35" borderId="14" xfId="0" applyFont="1" applyFill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35" borderId="115" xfId="0" applyFont="1" applyFill="1" applyBorder="1" applyAlignment="1">
      <alignment horizontal="center" vertical="center"/>
    </xf>
    <xf numFmtId="0" fontId="83" fillId="31" borderId="57" xfId="0" applyFont="1" applyFill="1" applyBorder="1"/>
    <xf numFmtId="0" fontId="83" fillId="31" borderId="58" xfId="0" applyFont="1" applyFill="1" applyBorder="1" applyAlignment="1">
      <alignment horizontal="left"/>
    </xf>
    <xf numFmtId="0" fontId="83" fillId="31" borderId="58" xfId="0" applyFont="1" applyFill="1" applyBorder="1"/>
    <xf numFmtId="0" fontId="83" fillId="31" borderId="58" xfId="0" applyFont="1" applyFill="1" applyBorder="1" applyAlignment="1">
      <alignment horizontal="center"/>
    </xf>
    <xf numFmtId="0" fontId="83" fillId="31" borderId="58" xfId="0" applyFont="1" applyFill="1" applyBorder="1" applyAlignment="1">
      <alignment vertical="center"/>
    </xf>
    <xf numFmtId="0" fontId="83" fillId="31" borderId="59" xfId="0" applyFont="1" applyFill="1" applyBorder="1" applyAlignment="1">
      <alignment horizontal="center"/>
    </xf>
    <xf numFmtId="0" fontId="83" fillId="31" borderId="60" xfId="0" applyFont="1" applyFill="1" applyBorder="1" applyAlignment="1">
      <alignment horizontal="left"/>
    </xf>
    <xf numFmtId="0" fontId="83" fillId="31" borderId="0" xfId="0" applyFont="1" applyFill="1" applyAlignment="1">
      <alignment horizontal="left"/>
    </xf>
    <xf numFmtId="0" fontId="83" fillId="31" borderId="0" xfId="0" applyFont="1" applyFill="1" applyAlignment="1">
      <alignment vertical="center"/>
    </xf>
    <xf numFmtId="0" fontId="83" fillId="31" borderId="0" xfId="0" applyFont="1" applyFill="1"/>
    <xf numFmtId="0" fontId="83" fillId="31" borderId="0" xfId="0" applyFont="1" applyFill="1" applyAlignment="1">
      <alignment horizontal="center"/>
    </xf>
    <xf numFmtId="0" fontId="83" fillId="31" borderId="61" xfId="0" applyFont="1" applyFill="1" applyBorder="1"/>
    <xf numFmtId="0" fontId="84" fillId="0" borderId="62" xfId="0" applyFont="1" applyBorder="1" applyAlignment="1">
      <alignment horizontal="left" indent="1"/>
    </xf>
    <xf numFmtId="0" fontId="84" fillId="0" borderId="63" xfId="0" applyFont="1" applyBorder="1" applyAlignment="1">
      <alignment horizontal="left"/>
    </xf>
    <xf numFmtId="0" fontId="84" fillId="0" borderId="64" xfId="0" applyFont="1" applyBorder="1" applyAlignment="1">
      <alignment horizontal="left" indent="1"/>
    </xf>
    <xf numFmtId="0" fontId="84" fillId="0" borderId="29" xfId="0" applyFont="1" applyBorder="1" applyAlignment="1">
      <alignment horizontal="left"/>
    </xf>
    <xf numFmtId="0" fontId="84" fillId="0" borderId="65" xfId="0" applyFont="1" applyBorder="1" applyAlignment="1">
      <alignment horizontal="left" indent="1"/>
    </xf>
    <xf numFmtId="0" fontId="84" fillId="0" borderId="30" xfId="0" applyFont="1" applyBorder="1" applyAlignment="1">
      <alignment horizontal="left"/>
    </xf>
    <xf numFmtId="2" fontId="84" fillId="0" borderId="46" xfId="0" applyNumberFormat="1" applyFont="1" applyBorder="1" applyAlignment="1">
      <alignment horizontal="right"/>
    </xf>
    <xf numFmtId="0" fontId="84" fillId="0" borderId="47" xfId="0" applyFont="1" applyBorder="1" applyAlignment="1">
      <alignment horizontal="right"/>
    </xf>
    <xf numFmtId="165" fontId="84" fillId="0" borderId="47" xfId="0" applyNumberFormat="1" applyFont="1" applyBorder="1" applyAlignment="1">
      <alignment horizontal="right"/>
    </xf>
    <xf numFmtId="0" fontId="84" fillId="0" borderId="66" xfId="0" applyFont="1" applyBorder="1" applyAlignment="1">
      <alignment horizontal="right"/>
    </xf>
    <xf numFmtId="0" fontId="84" fillId="0" borderId="46" xfId="0" applyFont="1" applyBorder="1" applyAlignment="1">
      <alignment horizontal="right" indent="1"/>
    </xf>
    <xf numFmtId="165" fontId="84" fillId="0" borderId="47" xfId="0" applyNumberFormat="1" applyFont="1" applyBorder="1" applyAlignment="1">
      <alignment horizontal="right" indent="1"/>
    </xf>
    <xf numFmtId="1" fontId="84" fillId="0" borderId="47" xfId="0" applyNumberFormat="1" applyFont="1" applyBorder="1" applyAlignment="1">
      <alignment horizontal="right" indent="1"/>
    </xf>
    <xf numFmtId="0" fontId="0" fillId="0" borderId="180" xfId="0" applyBorder="1" applyAlignment="1">
      <alignment horizontal="center"/>
    </xf>
    <xf numFmtId="1" fontId="2" fillId="0" borderId="180" xfId="28" applyNumberFormat="1" applyFill="1" applyBorder="1" applyAlignment="1">
      <alignment horizontal="center" vertical="center"/>
    </xf>
    <xf numFmtId="0" fontId="0" fillId="0" borderId="182" xfId="0" applyBorder="1" applyAlignment="1">
      <alignment horizontal="center"/>
    </xf>
    <xf numFmtId="1" fontId="2" fillId="0" borderId="182" xfId="28" applyNumberFormat="1" applyFill="1" applyBorder="1" applyAlignment="1">
      <alignment horizontal="center" vertical="center"/>
    </xf>
    <xf numFmtId="0" fontId="0" fillId="0" borderId="185" xfId="0" applyBorder="1" applyAlignment="1">
      <alignment horizontal="center"/>
    </xf>
    <xf numFmtId="1" fontId="2" fillId="0" borderId="185" xfId="28" applyNumberFormat="1" applyFill="1" applyBorder="1" applyAlignment="1">
      <alignment horizontal="center" vertical="center"/>
    </xf>
    <xf numFmtId="0" fontId="0" fillId="0" borderId="187" xfId="0" applyBorder="1" applyAlignment="1">
      <alignment horizontal="center"/>
    </xf>
    <xf numFmtId="1" fontId="2" fillId="0" borderId="187" xfId="28" applyNumberFormat="1" applyFill="1" applyBorder="1" applyAlignment="1">
      <alignment horizontal="center" vertical="center"/>
    </xf>
    <xf numFmtId="0" fontId="0" fillId="0" borderId="184" xfId="0" applyBorder="1" applyAlignment="1">
      <alignment horizontal="center"/>
    </xf>
    <xf numFmtId="1" fontId="2" fillId="0" borderId="184" xfId="28" applyNumberFormat="1" applyFill="1" applyBorder="1" applyAlignment="1">
      <alignment horizontal="center" vertical="center"/>
    </xf>
    <xf numFmtId="0" fontId="0" fillId="0" borderId="189" xfId="0" applyBorder="1" applyAlignment="1">
      <alignment horizontal="center"/>
    </xf>
    <xf numFmtId="1" fontId="2" fillId="0" borderId="189" xfId="28" applyNumberFormat="1" applyFill="1" applyBorder="1" applyAlignment="1">
      <alignment horizontal="center" vertical="center"/>
    </xf>
    <xf numFmtId="0" fontId="90" fillId="33" borderId="178" xfId="0" applyFont="1" applyFill="1" applyBorder="1" applyAlignment="1">
      <alignment horizontal="center" vertical="center" wrapText="1"/>
    </xf>
    <xf numFmtId="1" fontId="2" fillId="0" borderId="192" xfId="28" applyNumberFormat="1" applyBorder="1" applyAlignment="1">
      <alignment horizontal="center" vertical="center"/>
    </xf>
    <xf numFmtId="1" fontId="2" fillId="0" borderId="193" xfId="28" applyNumberFormat="1" applyBorder="1" applyAlignment="1">
      <alignment horizontal="center" vertical="center"/>
    </xf>
    <xf numFmtId="1" fontId="84" fillId="0" borderId="192" xfId="0" applyNumberFormat="1" applyFont="1" applyBorder="1" applyAlignment="1">
      <alignment horizontal="center" vertical="center"/>
    </xf>
    <xf numFmtId="1" fontId="84" fillId="32" borderId="193" xfId="0" applyNumberFormat="1" applyFont="1" applyFill="1" applyBorder="1" applyAlignment="1">
      <alignment horizontal="center" vertical="center"/>
    </xf>
    <xf numFmtId="1" fontId="84" fillId="0" borderId="193" xfId="0" applyNumberFormat="1" applyFont="1" applyBorder="1" applyAlignment="1">
      <alignment horizontal="center" vertical="center"/>
    </xf>
    <xf numFmtId="0" fontId="84" fillId="0" borderId="195" xfId="0" applyFont="1" applyBorder="1" applyAlignment="1">
      <alignment horizontal="left"/>
    </xf>
    <xf numFmtId="0" fontId="84" fillId="0" borderId="196" xfId="0" applyFont="1" applyBorder="1" applyAlignment="1">
      <alignment horizontal="left"/>
    </xf>
    <xf numFmtId="0" fontId="84" fillId="0" borderId="197" xfId="0" applyFont="1" applyBorder="1" applyAlignment="1">
      <alignment horizontal="left" indent="1"/>
    </xf>
    <xf numFmtId="0" fontId="84" fillId="0" borderId="198" xfId="0" applyFont="1" applyBorder="1" applyAlignment="1">
      <alignment horizontal="left" indent="1"/>
    </xf>
    <xf numFmtId="2" fontId="84" fillId="0" borderId="192" xfId="0" applyNumberFormat="1" applyFont="1" applyBorder="1" applyAlignment="1">
      <alignment horizontal="center" vertical="center"/>
    </xf>
    <xf numFmtId="2" fontId="84" fillId="32" borderId="193" xfId="0" applyNumberFormat="1" applyFont="1" applyFill="1" applyBorder="1" applyAlignment="1">
      <alignment horizontal="center" vertical="center"/>
    </xf>
    <xf numFmtId="14" fontId="65" fillId="27" borderId="0" xfId="0" applyNumberFormat="1" applyFont="1" applyFill="1" applyAlignment="1">
      <alignment vertical="center"/>
    </xf>
    <xf numFmtId="41" fontId="20" fillId="0" borderId="0" xfId="28" applyFont="1" applyFill="1" applyAlignment="1">
      <alignment horizontal="center" vertical="center"/>
    </xf>
    <xf numFmtId="0" fontId="4" fillId="36" borderId="15" xfId="48" applyBorder="1" applyAlignment="1">
      <alignment horizontal="center" vertical="center" wrapText="1"/>
    </xf>
    <xf numFmtId="1" fontId="86" fillId="37" borderId="115" xfId="0" applyNumberFormat="1" applyFont="1" applyFill="1" applyBorder="1" applyAlignment="1">
      <alignment horizontal="center" vertical="center"/>
    </xf>
    <xf numFmtId="173" fontId="86" fillId="37" borderId="115" xfId="0" applyNumberFormat="1" applyFont="1" applyFill="1" applyBorder="1" applyAlignment="1">
      <alignment horizontal="center" vertical="center"/>
    </xf>
    <xf numFmtId="2" fontId="86" fillId="37" borderId="152" xfId="0" applyNumberFormat="1" applyFont="1" applyFill="1" applyBorder="1" applyAlignment="1">
      <alignment horizontal="center" vertical="center"/>
    </xf>
    <xf numFmtId="0" fontId="92" fillId="36" borderId="15" xfId="48" applyFont="1" applyBorder="1" applyAlignment="1">
      <alignment horizontal="center" vertical="center" wrapText="1"/>
    </xf>
    <xf numFmtId="173" fontId="1" fillId="0" borderId="113" xfId="0" applyNumberFormat="1" applyFont="1" applyBorder="1" applyAlignment="1">
      <alignment horizontal="center" vertical="center"/>
    </xf>
    <xf numFmtId="1" fontId="1" fillId="0" borderId="113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1" fontId="1" fillId="0" borderId="114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" fontId="1" fillId="0" borderId="116" xfId="0" applyNumberFormat="1" applyFont="1" applyBorder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/>
    </xf>
    <xf numFmtId="0" fontId="4" fillId="36" borderId="15" xfId="48" applyBorder="1" applyAlignment="1">
      <alignment horizontal="center" vertical="center"/>
    </xf>
    <xf numFmtId="173" fontId="1" fillId="38" borderId="114" xfId="0" applyNumberFormat="1" applyFont="1" applyFill="1" applyBorder="1" applyAlignment="1">
      <alignment horizontal="center" vertical="center"/>
    </xf>
    <xf numFmtId="1" fontId="1" fillId="38" borderId="114" xfId="0" applyNumberFormat="1" applyFont="1" applyFill="1" applyBorder="1" applyAlignment="1">
      <alignment horizontal="center" vertical="center"/>
    </xf>
    <xf numFmtId="1" fontId="1" fillId="38" borderId="22" xfId="0" applyNumberFormat="1" applyFont="1" applyFill="1" applyBorder="1" applyAlignment="1">
      <alignment horizontal="center" vertical="center"/>
    </xf>
    <xf numFmtId="1" fontId="2" fillId="0" borderId="113" xfId="28" applyNumberFormat="1" applyFill="1" applyBorder="1" applyAlignment="1">
      <alignment horizontal="center" vertical="center"/>
    </xf>
    <xf numFmtId="1" fontId="2" fillId="0" borderId="27" xfId="28" applyNumberFormat="1" applyFill="1" applyBorder="1" applyAlignment="1">
      <alignment horizontal="center" vertical="center"/>
    </xf>
    <xf numFmtId="1" fontId="2" fillId="38" borderId="114" xfId="28" applyNumberFormat="1" applyFill="1" applyBorder="1" applyAlignment="1">
      <alignment horizontal="center" vertical="center"/>
    </xf>
    <xf numFmtId="1" fontId="2" fillId="38" borderId="22" xfId="28" applyNumberFormat="1" applyFill="1" applyBorder="1" applyAlignment="1">
      <alignment horizontal="center" vertical="center"/>
    </xf>
    <xf numFmtId="0" fontId="4" fillId="36" borderId="178" xfId="48" applyBorder="1" applyAlignment="1">
      <alignment horizontal="center" vertical="center" wrapText="1"/>
    </xf>
    <xf numFmtId="1" fontId="2" fillId="37" borderId="179" xfId="28" applyNumberFormat="1" applyFill="1" applyBorder="1" applyAlignment="1">
      <alignment horizontal="center" vertical="center"/>
    </xf>
    <xf numFmtId="1" fontId="2" fillId="37" borderId="180" xfId="28" applyNumberFormat="1" applyFill="1" applyBorder="1" applyAlignment="1">
      <alignment horizontal="center" vertical="center"/>
    </xf>
    <xf numFmtId="1" fontId="2" fillId="37" borderId="184" xfId="28" applyNumberFormat="1" applyFill="1" applyBorder="1" applyAlignment="1">
      <alignment horizontal="center" vertical="center"/>
    </xf>
    <xf numFmtId="1" fontId="2" fillId="37" borderId="182" xfId="28" applyNumberFormat="1" applyFill="1" applyBorder="1" applyAlignment="1">
      <alignment horizontal="center" vertical="center"/>
    </xf>
    <xf numFmtId="1" fontId="2" fillId="37" borderId="187" xfId="28" applyNumberFormat="1" applyFill="1" applyBorder="1" applyAlignment="1">
      <alignment horizontal="center" vertical="center"/>
    </xf>
    <xf numFmtId="1" fontId="2" fillId="37" borderId="189" xfId="28" applyNumberFormat="1" applyFill="1" applyBorder="1" applyAlignment="1">
      <alignment horizontal="center" vertical="center"/>
    </xf>
    <xf numFmtId="0" fontId="4" fillId="36" borderId="15" xfId="48" applyBorder="1" applyAlignment="1">
      <alignment horizontal="center"/>
    </xf>
    <xf numFmtId="0" fontId="4" fillId="36" borderId="45" xfId="48" applyBorder="1" applyAlignment="1">
      <alignment horizontal="center"/>
    </xf>
    <xf numFmtId="0" fontId="4" fillId="36" borderId="64" xfId="48" applyBorder="1" applyAlignment="1">
      <alignment horizontal="left" indent="1"/>
    </xf>
    <xf numFmtId="0" fontId="4" fillId="36" borderId="29" xfId="48" applyBorder="1" applyAlignment="1">
      <alignment horizontal="left"/>
    </xf>
    <xf numFmtId="0" fontId="4" fillId="36" borderId="47" xfId="48" applyBorder="1" applyAlignment="1">
      <alignment horizontal="center"/>
    </xf>
    <xf numFmtId="0" fontId="4" fillId="36" borderId="67" xfId="48" applyBorder="1" applyAlignment="1">
      <alignment horizontal="center"/>
    </xf>
    <xf numFmtId="0" fontId="4" fillId="36" borderId="68" xfId="48" applyBorder="1" applyAlignment="1">
      <alignment horizontal="left" indent="1"/>
    </xf>
    <xf numFmtId="0" fontId="4" fillId="36" borderId="69" xfId="48" applyBorder="1" applyAlignment="1">
      <alignment horizontal="left" indent="1"/>
    </xf>
    <xf numFmtId="0" fontId="4" fillId="36" borderId="70" xfId="48" applyBorder="1" applyAlignment="1">
      <alignment horizontal="center"/>
    </xf>
    <xf numFmtId="0" fontId="4" fillId="36" borderId="71" xfId="48" applyBorder="1" applyAlignment="1">
      <alignment horizontal="center"/>
    </xf>
    <xf numFmtId="0" fontId="4" fillId="36" borderId="151" xfId="48" applyBorder="1" applyAlignment="1">
      <alignment horizontal="left" indent="1"/>
    </xf>
    <xf numFmtId="0" fontId="4" fillId="36" borderId="176" xfId="48" applyBorder="1" applyAlignment="1">
      <alignment horizontal="left" indent="1"/>
    </xf>
    <xf numFmtId="0" fontId="4" fillId="36" borderId="173" xfId="48" applyBorder="1" applyAlignment="1"/>
    <xf numFmtId="0" fontId="4" fillId="36" borderId="16" xfId="48" applyBorder="1" applyAlignment="1">
      <alignment horizontal="center"/>
    </xf>
    <xf numFmtId="0" fontId="4" fillId="36" borderId="75" xfId="48" applyBorder="1" applyAlignment="1">
      <alignment horizontal="center"/>
    </xf>
    <xf numFmtId="0" fontId="84" fillId="38" borderId="64" xfId="0" applyFont="1" applyFill="1" applyBorder="1" applyAlignment="1">
      <alignment horizontal="left" indent="1"/>
    </xf>
    <xf numFmtId="0" fontId="84" fillId="38" borderId="29" xfId="0" applyFont="1" applyFill="1" applyBorder="1" applyAlignment="1">
      <alignment horizontal="left"/>
    </xf>
    <xf numFmtId="165" fontId="84" fillId="38" borderId="47" xfId="0" applyNumberFormat="1" applyFont="1" applyFill="1" applyBorder="1" applyAlignment="1">
      <alignment horizontal="right"/>
    </xf>
    <xf numFmtId="41" fontId="2" fillId="38" borderId="22" xfId="28" applyFill="1" applyBorder="1" applyAlignment="1">
      <alignment horizontal="center"/>
    </xf>
    <xf numFmtId="41" fontId="2" fillId="38" borderId="149" xfId="28" applyFill="1" applyBorder="1" applyAlignment="1">
      <alignment horizontal="center"/>
    </xf>
    <xf numFmtId="0" fontId="84" fillId="38" borderId="47" xfId="0" applyFont="1" applyFill="1" applyBorder="1" applyAlignment="1">
      <alignment horizontal="right"/>
    </xf>
    <xf numFmtId="0" fontId="84" fillId="38" borderId="47" xfId="0" applyFont="1" applyFill="1" applyBorder="1" applyAlignment="1">
      <alignment horizontal="right" indent="1"/>
    </xf>
    <xf numFmtId="1" fontId="84" fillId="38" borderId="47" xfId="0" applyNumberFormat="1" applyFont="1" applyFill="1" applyBorder="1" applyAlignment="1">
      <alignment horizontal="right" indent="1"/>
    </xf>
    <xf numFmtId="0" fontId="84" fillId="38" borderId="198" xfId="0" applyFont="1" applyFill="1" applyBorder="1" applyAlignment="1">
      <alignment horizontal="left" indent="1"/>
    </xf>
    <xf numFmtId="0" fontId="84" fillId="38" borderId="196" xfId="0" applyFont="1" applyFill="1" applyBorder="1" applyAlignment="1">
      <alignment horizontal="left"/>
    </xf>
    <xf numFmtId="1" fontId="84" fillId="38" borderId="193" xfId="0" applyNumberFormat="1" applyFont="1" applyFill="1" applyBorder="1" applyAlignment="1">
      <alignment horizontal="center" vertical="center"/>
    </xf>
    <xf numFmtId="1" fontId="2" fillId="38" borderId="193" xfId="28" applyNumberFormat="1" applyFill="1" applyBorder="1" applyAlignment="1">
      <alignment horizontal="center" vertical="center"/>
    </xf>
    <xf numFmtId="0" fontId="84" fillId="38" borderId="199" xfId="0" applyFont="1" applyFill="1" applyBorder="1" applyAlignment="1">
      <alignment horizontal="left" indent="1"/>
    </xf>
    <xf numFmtId="0" fontId="84" fillId="38" borderId="200" xfId="0" applyFont="1" applyFill="1" applyBorder="1" applyAlignment="1">
      <alignment horizontal="left"/>
    </xf>
    <xf numFmtId="1" fontId="84" fillId="38" borderId="194" xfId="0" applyNumberFormat="1" applyFont="1" applyFill="1" applyBorder="1" applyAlignment="1">
      <alignment horizontal="center" vertical="center"/>
    </xf>
    <xf numFmtId="1" fontId="2" fillId="38" borderId="194" xfId="28" applyNumberFormat="1" applyFill="1" applyBorder="1" applyAlignment="1">
      <alignment horizontal="center" vertical="center"/>
    </xf>
    <xf numFmtId="1" fontId="4" fillId="36" borderId="178" xfId="48" applyNumberFormat="1" applyBorder="1" applyAlignment="1">
      <alignment horizontal="center" vertical="center" wrapText="1"/>
    </xf>
    <xf numFmtId="0" fontId="25" fillId="30" borderId="159" xfId="0" applyFont="1" applyFill="1" applyBorder="1" applyAlignment="1">
      <alignment horizontal="center" vertical="center"/>
    </xf>
    <xf numFmtId="0" fontId="25" fillId="30" borderId="160" xfId="0" applyFont="1" applyFill="1" applyBorder="1" applyAlignment="1">
      <alignment horizontal="center" vertical="center"/>
    </xf>
    <xf numFmtId="0" fontId="25" fillId="30" borderId="153" xfId="0" applyFont="1" applyFill="1" applyBorder="1" applyAlignment="1">
      <alignment horizontal="center" vertical="center"/>
    </xf>
    <xf numFmtId="0" fontId="25" fillId="30" borderId="161" xfId="0" applyFont="1" applyFill="1" applyBorder="1" applyAlignment="1">
      <alignment horizontal="center" vertical="center"/>
    </xf>
    <xf numFmtId="0" fontId="25" fillId="30" borderId="15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20" borderId="162" xfId="0" applyFont="1" applyFill="1" applyBorder="1" applyAlignment="1">
      <alignment horizontal="center" vertical="center"/>
    </xf>
    <xf numFmtId="0" fontId="23" fillId="20" borderId="163" xfId="0" applyFont="1" applyFill="1" applyBorder="1" applyAlignment="1">
      <alignment horizontal="center" vertical="center" wrapText="1"/>
    </xf>
    <xf numFmtId="0" fontId="23" fillId="20" borderId="164" xfId="0" applyFont="1" applyFill="1" applyBorder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164" fontId="32" fillId="29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9" fillId="20" borderId="165" xfId="0" applyFont="1" applyFill="1" applyBorder="1" applyAlignment="1">
      <alignment horizontal="center" vertical="center"/>
    </xf>
    <xf numFmtId="0" fontId="25" fillId="20" borderId="104" xfId="0" applyFont="1" applyFill="1" applyBorder="1" applyAlignment="1">
      <alignment horizontal="center" vertical="center"/>
    </xf>
    <xf numFmtId="0" fontId="92" fillId="36" borderId="37" xfId="48" applyFont="1" applyBorder="1" applyAlignment="1">
      <alignment horizontal="center" vertical="center" wrapText="1"/>
    </xf>
    <xf numFmtId="0" fontId="92" fillId="36" borderId="34" xfId="48" applyFont="1" applyBorder="1" applyAlignment="1">
      <alignment horizontal="center" vertical="center" wrapText="1"/>
    </xf>
    <xf numFmtId="0" fontId="92" fillId="36" borderId="15" xfId="48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20" borderId="15" xfId="0" applyFont="1" applyFill="1" applyBorder="1" applyAlignment="1">
      <alignment horizontal="center" vertical="center"/>
    </xf>
    <xf numFmtId="0" fontId="29" fillId="20" borderId="15" xfId="0" applyFont="1" applyFill="1" applyBorder="1" applyAlignment="1">
      <alignment horizontal="center" vertical="center"/>
    </xf>
    <xf numFmtId="0" fontId="20" fillId="0" borderId="106" xfId="0" applyFont="1" applyBorder="1" applyAlignment="1">
      <alignment horizontal="center" vertical="center"/>
    </xf>
    <xf numFmtId="0" fontId="4" fillId="36" borderId="15" xfId="48" applyBorder="1" applyAlignment="1">
      <alignment horizontal="center" vertical="center" wrapText="1"/>
    </xf>
    <xf numFmtId="0" fontId="4" fillId="36" borderId="15" xfId="48" applyBorder="1" applyAlignment="1">
      <alignment horizontal="center" vertical="center"/>
    </xf>
    <xf numFmtId="0" fontId="29" fillId="20" borderId="15" xfId="0" applyFont="1" applyFill="1" applyBorder="1" applyAlignment="1">
      <alignment horizontal="center"/>
    </xf>
    <xf numFmtId="0" fontId="20" fillId="0" borderId="15" xfId="0" applyFont="1" applyBorder="1" applyAlignment="1">
      <alignment horizontal="center" vertical="center" textRotation="180"/>
    </xf>
    <xf numFmtId="0" fontId="20" fillId="0" borderId="34" xfId="0" applyFont="1" applyBorder="1" applyAlignment="1">
      <alignment horizontal="center" vertical="center" textRotation="180"/>
    </xf>
    <xf numFmtId="0" fontId="20" fillId="0" borderId="37" xfId="0" applyFont="1" applyBorder="1" applyAlignment="1">
      <alignment horizontal="center" vertical="center" textRotation="180"/>
    </xf>
    <xf numFmtId="0" fontId="20" fillId="0" borderId="33" xfId="0" applyFont="1" applyBorder="1" applyAlignment="1">
      <alignment horizontal="center" vertical="center" textRotation="180"/>
    </xf>
    <xf numFmtId="0" fontId="20" fillId="0" borderId="37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141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9" fillId="20" borderId="148" xfId="0" applyFont="1" applyFill="1" applyBorder="1" applyAlignment="1">
      <alignment horizontal="center" vertical="center"/>
    </xf>
    <xf numFmtId="0" fontId="29" fillId="20" borderId="43" xfId="0" applyFont="1" applyFill="1" applyBorder="1" applyAlignment="1">
      <alignment horizontal="center"/>
    </xf>
    <xf numFmtId="0" fontId="29" fillId="20" borderId="43" xfId="0" applyFont="1" applyFill="1" applyBorder="1" applyAlignment="1">
      <alignment horizontal="center" vertical="center"/>
    </xf>
    <xf numFmtId="0" fontId="29" fillId="20" borderId="164" xfId="0" applyFont="1" applyFill="1" applyBorder="1" applyAlignment="1">
      <alignment horizontal="center" vertical="center"/>
    </xf>
    <xf numFmtId="0" fontId="20" fillId="0" borderId="166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0" fillId="0" borderId="187" xfId="0" applyBorder="1" applyAlignment="1">
      <alignment horizontal="center" vertical="center"/>
    </xf>
    <xf numFmtId="0" fontId="0" fillId="0" borderId="184" xfId="0" applyBorder="1" applyAlignment="1">
      <alignment horizontal="center" vertical="center"/>
    </xf>
    <xf numFmtId="0" fontId="0" fillId="0" borderId="189" xfId="0" applyBorder="1" applyAlignment="1">
      <alignment horizontal="center" vertical="center"/>
    </xf>
    <xf numFmtId="1" fontId="2" fillId="37" borderId="186" xfId="28" applyNumberFormat="1" applyFill="1" applyBorder="1" applyAlignment="1">
      <alignment horizontal="center" vertical="center"/>
    </xf>
    <xf numFmtId="1" fontId="2" fillId="37" borderId="188" xfId="28" applyNumberFormat="1" applyFill="1" applyBorder="1" applyAlignment="1">
      <alignment horizontal="center" vertical="center"/>
    </xf>
    <xf numFmtId="0" fontId="0" fillId="0" borderId="179" xfId="0" applyBorder="1" applyAlignment="1">
      <alignment horizontal="center" vertical="center"/>
    </xf>
    <xf numFmtId="0" fontId="0" fillId="0" borderId="181" xfId="0" applyBorder="1" applyAlignment="1">
      <alignment horizontal="center" vertical="center"/>
    </xf>
    <xf numFmtId="1" fontId="2" fillId="37" borderId="179" xfId="28" applyNumberFormat="1" applyFill="1" applyBorder="1" applyAlignment="1">
      <alignment horizontal="center" vertical="center"/>
    </xf>
    <xf numFmtId="1" fontId="2" fillId="37" borderId="183" xfId="28" applyNumberFormat="1" applyFill="1" applyBorder="1" applyAlignment="1">
      <alignment horizontal="center" vertical="center"/>
    </xf>
    <xf numFmtId="1" fontId="2" fillId="37" borderId="181" xfId="28" applyNumberFormat="1" applyFill="1" applyBorder="1" applyAlignment="1">
      <alignment horizontal="center" vertical="center"/>
    </xf>
    <xf numFmtId="0" fontId="4" fillId="36" borderId="178" xfId="48" applyBorder="1" applyAlignment="1">
      <alignment horizontal="center" vertical="center" wrapText="1"/>
    </xf>
    <xf numFmtId="0" fontId="0" fillId="0" borderId="183" xfId="0" applyBorder="1" applyAlignment="1">
      <alignment horizontal="center" vertical="center"/>
    </xf>
    <xf numFmtId="0" fontId="29" fillId="0" borderId="15" xfId="0" applyFont="1" applyBorder="1" applyAlignment="1">
      <alignment vertical="center" wrapText="1"/>
    </xf>
    <xf numFmtId="166" fontId="20" fillId="0" borderId="78" xfId="0" applyNumberFormat="1" applyFont="1" applyBorder="1" applyAlignment="1">
      <alignment horizontal="left"/>
    </xf>
    <xf numFmtId="0" fontId="4" fillId="36" borderId="44" xfId="48" applyBorder="1" applyAlignment="1">
      <alignment horizontal="center"/>
    </xf>
    <xf numFmtId="170" fontId="83" fillId="31" borderId="0" xfId="0" applyNumberFormat="1" applyFont="1" applyFill="1" applyAlignment="1">
      <alignment horizontal="left"/>
    </xf>
    <xf numFmtId="170" fontId="83" fillId="31" borderId="61" xfId="0" applyNumberFormat="1" applyFont="1" applyFill="1" applyBorder="1" applyAlignment="1">
      <alignment horizontal="left"/>
    </xf>
    <xf numFmtId="164" fontId="42" fillId="0" borderId="73" xfId="0" applyNumberFormat="1" applyFont="1" applyBorder="1" applyAlignment="1">
      <alignment horizontal="left"/>
    </xf>
    <xf numFmtId="0" fontId="42" fillId="0" borderId="0" xfId="0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0" fontId="42" fillId="0" borderId="89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2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0" fillId="0" borderId="78" xfId="0" applyFont="1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29" fillId="20" borderId="93" xfId="0" applyFont="1" applyFill="1" applyBorder="1" applyAlignment="1">
      <alignment horizontal="center"/>
    </xf>
    <xf numFmtId="0" fontId="29" fillId="20" borderId="167" xfId="0" applyFont="1" applyFill="1" applyBorder="1" applyAlignment="1">
      <alignment horizontal="center" vertical="center"/>
    </xf>
    <xf numFmtId="0" fontId="29" fillId="0" borderId="168" xfId="0" applyFont="1" applyBorder="1" applyAlignment="1">
      <alignment horizontal="center"/>
    </xf>
    <xf numFmtId="0" fontId="29" fillId="0" borderId="169" xfId="0" applyFont="1" applyBorder="1" applyAlignment="1">
      <alignment horizontal="center"/>
    </xf>
    <xf numFmtId="0" fontId="29" fillId="20" borderId="167" xfId="0" applyFont="1" applyFill="1" applyBorder="1" applyAlignment="1">
      <alignment horizontal="center"/>
    </xf>
    <xf numFmtId="0" fontId="29" fillId="0" borderId="170" xfId="0" applyFont="1" applyBorder="1" applyAlignment="1">
      <alignment horizontal="center"/>
    </xf>
    <xf numFmtId="0" fontId="24" fillId="20" borderId="72" xfId="0" applyFont="1" applyFill="1" applyBorder="1" applyAlignment="1">
      <alignment horizontal="center"/>
    </xf>
    <xf numFmtId="1" fontId="60" fillId="0" borderId="171" xfId="0" applyNumberFormat="1" applyFont="1" applyBorder="1" applyAlignment="1">
      <alignment horizontal="center"/>
    </xf>
    <xf numFmtId="1" fontId="60" fillId="20" borderId="172" xfId="0" applyNumberFormat="1" applyFont="1" applyFill="1" applyBorder="1" applyAlignment="1">
      <alignment horizontal="center"/>
    </xf>
    <xf numFmtId="0" fontId="29" fillId="0" borderId="123" xfId="0" applyFont="1" applyBorder="1" applyAlignment="1">
      <alignment horizontal="center" vertical="center"/>
    </xf>
    <xf numFmtId="0" fontId="29" fillId="0" borderId="124" xfId="0" applyFont="1" applyBorder="1" applyAlignment="1">
      <alignment horizontal="center" vertical="center"/>
    </xf>
    <xf numFmtId="0" fontId="29" fillId="0" borderId="164" xfId="0" applyFont="1" applyBorder="1" applyAlignment="1">
      <alignment horizontal="center" vertical="center"/>
    </xf>
    <xf numFmtId="0" fontId="20" fillId="0" borderId="89" xfId="0" applyFont="1" applyBorder="1" applyAlignment="1">
      <alignment horizontal="center" wrapText="1"/>
    </xf>
    <xf numFmtId="0" fontId="20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65" fillId="27" borderId="0" xfId="0" applyFont="1" applyFill="1" applyAlignment="1">
      <alignment horizontal="center" vertical="center"/>
    </xf>
    <xf numFmtId="1" fontId="65" fillId="27" borderId="0" xfId="0" applyNumberFormat="1" applyFont="1" applyFill="1" applyAlignment="1">
      <alignment horizontal="center" vertical="center"/>
    </xf>
    <xf numFmtId="0" fontId="78" fillId="27" borderId="0" xfId="0" applyFont="1" applyFill="1" applyAlignment="1">
      <alignment horizontal="left" vertical="center"/>
    </xf>
    <xf numFmtId="165" fontId="65" fillId="27" borderId="0" xfId="0" applyNumberFormat="1" applyFont="1" applyFill="1" applyAlignment="1">
      <alignment horizontal="center" vertical="center"/>
    </xf>
    <xf numFmtId="2" fontId="65" fillId="27" borderId="0" xfId="0" applyNumberFormat="1" applyFont="1" applyFill="1" applyAlignment="1">
      <alignment horizontal="center" vertical="center"/>
    </xf>
    <xf numFmtId="167" fontId="77" fillId="27" borderId="0" xfId="0" applyNumberFormat="1" applyFont="1" applyFill="1" applyAlignment="1">
      <alignment horizontal="center" vertical="center"/>
    </xf>
    <xf numFmtId="168" fontId="77" fillId="27" borderId="0" xfId="0" applyNumberFormat="1" applyFont="1" applyFill="1" applyAlignment="1">
      <alignment horizontal="center" vertical="center"/>
    </xf>
    <xf numFmtId="0" fontId="77" fillId="27" borderId="0" xfId="0" applyFont="1" applyFill="1" applyAlignment="1">
      <alignment horizontal="center" vertical="center"/>
    </xf>
    <xf numFmtId="0" fontId="77" fillId="27" borderId="0" xfId="0" applyFont="1" applyFill="1" applyAlignment="1">
      <alignment vertical="center"/>
    </xf>
    <xf numFmtId="1" fontId="2" fillId="27" borderId="0" xfId="28" applyNumberFormat="1" applyFill="1" applyBorder="1" applyAlignment="1">
      <alignment horizontal="center" vertical="center"/>
    </xf>
    <xf numFmtId="174" fontId="65" fillId="27" borderId="0" xfId="0" applyNumberFormat="1" applyFont="1" applyFill="1" applyAlignment="1">
      <alignment horizontal="center" vertical="center"/>
    </xf>
    <xf numFmtId="1" fontId="66" fillId="27" borderId="0" xfId="0" applyNumberFormat="1" applyFont="1" applyFill="1" applyAlignment="1">
      <alignment horizontal="center" vertical="center"/>
    </xf>
    <xf numFmtId="41" fontId="20" fillId="27" borderId="0" xfId="28" applyFont="1" applyFill="1" applyAlignment="1">
      <alignment horizontal="center" vertical="center"/>
    </xf>
    <xf numFmtId="41" fontId="20" fillId="27" borderId="0" xfId="28" applyFont="1" applyFill="1" applyBorder="1" applyAlignment="1">
      <alignment horizontal="center" vertical="center"/>
    </xf>
    <xf numFmtId="171" fontId="20" fillId="27" borderId="0" xfId="28" applyNumberFormat="1" applyFont="1" applyFill="1" applyBorder="1" applyAlignment="1">
      <alignment horizontal="center" vertical="center"/>
    </xf>
    <xf numFmtId="1" fontId="65" fillId="27" borderId="80" xfId="0" applyNumberFormat="1" applyFont="1" applyFill="1" applyBorder="1" applyAlignment="1">
      <alignment horizontal="center" vertical="center"/>
    </xf>
    <xf numFmtId="0" fontId="65" fillId="27" borderId="0" xfId="0" applyFont="1" applyFill="1" applyAlignment="1">
      <alignment vertical="center"/>
    </xf>
    <xf numFmtId="1" fontId="65" fillId="27" borderId="16" xfId="0" applyNumberFormat="1" applyFont="1" applyFill="1" applyBorder="1" applyAlignment="1">
      <alignment horizontal="center" vertical="center"/>
    </xf>
    <xf numFmtId="1" fontId="65" fillId="27" borderId="75" xfId="0" applyNumberFormat="1" applyFont="1" applyFill="1" applyBorder="1" applyAlignment="1">
      <alignment horizontal="center" vertical="center"/>
    </xf>
    <xf numFmtId="1" fontId="65" fillId="27" borderId="173" xfId="0" applyNumberFormat="1" applyFont="1" applyFill="1" applyBorder="1" applyAlignment="1">
      <alignment horizontal="center" vertical="center"/>
    </xf>
    <xf numFmtId="0" fontId="66" fillId="27" borderId="174" xfId="0" applyFont="1" applyFill="1" applyBorder="1" applyAlignment="1">
      <alignment horizontal="center" vertical="center"/>
    </xf>
    <xf numFmtId="1" fontId="65" fillId="27" borderId="34" xfId="0" applyNumberFormat="1" applyFont="1" applyFill="1" applyBorder="1" applyAlignment="1">
      <alignment horizontal="center" vertical="center"/>
    </xf>
    <xf numFmtId="0" fontId="66" fillId="27" borderId="175" xfId="0" applyFont="1" applyFill="1" applyBorder="1" applyAlignment="1">
      <alignment horizontal="center" vertical="center"/>
    </xf>
    <xf numFmtId="0" fontId="66" fillId="27" borderId="126" xfId="0" applyFont="1" applyFill="1" applyBorder="1" applyAlignment="1">
      <alignment horizontal="center" vertical="center"/>
    </xf>
    <xf numFmtId="0" fontId="66" fillId="27" borderId="124" xfId="0" applyFont="1" applyFill="1" applyBorder="1" applyAlignment="1">
      <alignment horizontal="center" vertical="center"/>
    </xf>
    <xf numFmtId="1" fontId="65" fillId="27" borderId="81" xfId="0" applyNumberFormat="1" applyFont="1" applyFill="1" applyBorder="1" applyAlignment="1">
      <alignment horizontal="center" vertical="center"/>
    </xf>
    <xf numFmtId="0" fontId="66" fillId="27" borderId="0" xfId="0" applyFont="1" applyFill="1" applyAlignment="1">
      <alignment horizontal="center" vertical="center"/>
    </xf>
    <xf numFmtId="1" fontId="65" fillId="27" borderId="54" xfId="0" applyNumberFormat="1" applyFont="1" applyFill="1" applyBorder="1" applyAlignment="1">
      <alignment horizontal="center" vertical="center"/>
    </xf>
    <xf numFmtId="0" fontId="66" fillId="27" borderId="127" xfId="0" applyFont="1" applyFill="1" applyBorder="1" applyAlignment="1">
      <alignment horizontal="center" vertical="center"/>
    </xf>
    <xf numFmtId="0" fontId="90" fillId="33" borderId="202" xfId="0" applyFont="1" applyFill="1" applyBorder="1" applyAlignment="1">
      <alignment horizontal="center" vertical="center" wrapText="1"/>
    </xf>
    <xf numFmtId="0" fontId="90" fillId="33" borderId="203" xfId="0" applyFont="1" applyFill="1" applyBorder="1" applyAlignment="1">
      <alignment horizontal="center" vertical="center" wrapText="1"/>
    </xf>
    <xf numFmtId="0" fontId="90" fillId="33" borderId="201" xfId="0" applyFont="1" applyFill="1" applyBorder="1" applyAlignment="1">
      <alignment horizontal="center" vertical="center" wrapText="1"/>
    </xf>
    <xf numFmtId="0" fontId="90" fillId="33" borderId="204" xfId="0" applyFont="1" applyFill="1" applyBorder="1" applyAlignment="1">
      <alignment horizontal="center" vertical="center" wrapText="1"/>
    </xf>
    <xf numFmtId="0" fontId="90" fillId="33" borderId="205" xfId="0" applyFont="1" applyFill="1" applyBorder="1" applyAlignment="1">
      <alignment horizontal="center" vertical="center" wrapText="1"/>
    </xf>
    <xf numFmtId="0" fontId="90" fillId="33" borderId="206" xfId="0" applyFont="1" applyFill="1" applyBorder="1" applyAlignment="1">
      <alignment horizontal="center" vertical="center" wrapText="1"/>
    </xf>
    <xf numFmtId="0" fontId="90" fillId="33" borderId="179" xfId="0" applyFont="1" applyFill="1" applyBorder="1" applyAlignment="1">
      <alignment horizontal="center" vertical="center" wrapText="1"/>
    </xf>
    <xf numFmtId="0" fontId="90" fillId="33" borderId="207" xfId="0" applyFont="1" applyFill="1" applyBorder="1" applyAlignment="1">
      <alignment horizontal="center" vertical="center" wrapText="1"/>
    </xf>
    <xf numFmtId="0" fontId="90" fillId="33" borderId="208" xfId="0" applyFont="1" applyFill="1" applyBorder="1" applyAlignment="1">
      <alignment horizontal="center" vertical="center" wrapText="1"/>
    </xf>
    <xf numFmtId="0" fontId="90" fillId="33" borderId="190" xfId="0" applyFont="1" applyFill="1" applyBorder="1" applyAlignment="1">
      <alignment horizontal="center" vertical="center" wrapText="1"/>
    </xf>
    <xf numFmtId="0" fontId="90" fillId="33" borderId="191" xfId="0" applyFont="1" applyFill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[0]" xfId="28" builtinId="6"/>
    <cellStyle name="Comma [0] 2" xfId="43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4" xr:uid="{00000000-0005-0000-0000-000027000000}"/>
    <cellStyle name="Normal 2 2" xfId="47" xr:uid="{00000000-0005-0000-0000-000028000000}"/>
    <cellStyle name="Normal 3" xfId="45" xr:uid="{00000000-0005-0000-0000-000029000000}"/>
    <cellStyle name="Normal 3 2" xfId="46" xr:uid="{00000000-0005-0000-0000-00002A000000}"/>
    <cellStyle name="Note" xfId="38" builtinId="10" customBuiltin="1"/>
    <cellStyle name="Output" xfId="39" builtinId="21" customBuiltin="1"/>
    <cellStyle name="Style 1" xfId="48" xr:uid="{ADCD835A-F1C5-4E62-B4A4-FCAB7C9DD599}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BFBFB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DFDFDF"/>
      <rgbColor rgb="0000FFFF"/>
      <rgbColor rgb="00800080"/>
      <rgbColor rgb="00800000"/>
      <rgbColor rgb="00008080"/>
      <rgbColor rgb="000000FF"/>
      <rgbColor rgb="0000CCFF"/>
      <rgbColor rgb="00DCE6F2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2000" b="1"/>
              <a:t>Grafik Pengamatan Pasang Surut</a:t>
            </a:r>
          </a:p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600" b="1"/>
              <a:t>PKT Bontang 14 Mei 2019 - 12 Juni 2019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665704286964127E-2"/>
          <c:y val="0.11347701682611805"/>
          <c:w val="0.90704820647419071"/>
          <c:h val="0.7963623362870305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asli x100'!$B$8:$B$727</c:f>
              <c:numCache>
                <c:formatCode>m/d/yyyy\ h:mm</c:formatCode>
                <c:ptCount val="720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  <c:pt idx="696">
                  <c:v>44738.000022453707</c:v>
                </c:pt>
                <c:pt idx="697">
                  <c:v>44738.041689178244</c:v>
                </c:pt>
                <c:pt idx="698">
                  <c:v>44738.083355902774</c:v>
                </c:pt>
                <c:pt idx="699">
                  <c:v>44738.125022627311</c:v>
                </c:pt>
                <c:pt idx="700">
                  <c:v>44738.166689351849</c:v>
                </c:pt>
                <c:pt idx="701">
                  <c:v>44738.208356076386</c:v>
                </c:pt>
                <c:pt idx="702">
                  <c:v>44738.250022800923</c:v>
                </c:pt>
                <c:pt idx="703">
                  <c:v>44738.29168952546</c:v>
                </c:pt>
                <c:pt idx="704">
                  <c:v>44738.333356249997</c:v>
                </c:pt>
                <c:pt idx="705">
                  <c:v>44738.375022974535</c:v>
                </c:pt>
                <c:pt idx="706">
                  <c:v>44738.416689699072</c:v>
                </c:pt>
                <c:pt idx="707">
                  <c:v>44738.458356423609</c:v>
                </c:pt>
                <c:pt idx="708">
                  <c:v>44738.500023148146</c:v>
                </c:pt>
                <c:pt idx="709">
                  <c:v>44738.541689872683</c:v>
                </c:pt>
                <c:pt idx="710">
                  <c:v>44738.583356539355</c:v>
                </c:pt>
                <c:pt idx="711">
                  <c:v>44738.625023263892</c:v>
                </c:pt>
                <c:pt idx="712">
                  <c:v>44738.666689988429</c:v>
                </c:pt>
                <c:pt idx="713">
                  <c:v>44738.708356712959</c:v>
                </c:pt>
                <c:pt idx="714">
                  <c:v>44738.750023437497</c:v>
                </c:pt>
                <c:pt idx="715">
                  <c:v>44738.791690162034</c:v>
                </c:pt>
                <c:pt idx="716">
                  <c:v>44738.833356886571</c:v>
                </c:pt>
                <c:pt idx="717">
                  <c:v>44738.875023611108</c:v>
                </c:pt>
                <c:pt idx="718">
                  <c:v>44738.916690335645</c:v>
                </c:pt>
                <c:pt idx="719">
                  <c:v>44738.958357060183</c:v>
                </c:pt>
              </c:numCache>
            </c:numRef>
          </c:xVal>
          <c:yVal>
            <c:numRef>
              <c:f>'data asli x100'!$D$8:$D$727</c:f>
              <c:numCache>
                <c:formatCode>0.00</c:formatCode>
                <c:ptCount val="720"/>
                <c:pt idx="0">
                  <c:v>1.36</c:v>
                </c:pt>
                <c:pt idx="1">
                  <c:v>1.655</c:v>
                </c:pt>
                <c:pt idx="2">
                  <c:v>1.9830000000000001</c:v>
                </c:pt>
                <c:pt idx="3">
                  <c:v>2.2469999999999999</c:v>
                </c:pt>
                <c:pt idx="4">
                  <c:v>2.39</c:v>
                </c:pt>
                <c:pt idx="5">
                  <c:v>2.4300000000000002</c:v>
                </c:pt>
                <c:pt idx="6">
                  <c:v>2.3170000000000002</c:v>
                </c:pt>
                <c:pt idx="7">
                  <c:v>2.121</c:v>
                </c:pt>
                <c:pt idx="8">
                  <c:v>1.8839999999999999</c:v>
                </c:pt>
                <c:pt idx="9">
                  <c:v>1.637</c:v>
                </c:pt>
                <c:pt idx="10">
                  <c:v>1.454</c:v>
                </c:pt>
                <c:pt idx="11">
                  <c:v>1.3540000000000001</c:v>
                </c:pt>
                <c:pt idx="12">
                  <c:v>1.42</c:v>
                </c:pt>
                <c:pt idx="13">
                  <c:v>1.5609999999999999</c:v>
                </c:pt>
                <c:pt idx="14">
                  <c:v>1.7310000000000001</c:v>
                </c:pt>
                <c:pt idx="15">
                  <c:v>1.889</c:v>
                </c:pt>
                <c:pt idx="16">
                  <c:v>1.9490000000000001</c:v>
                </c:pt>
                <c:pt idx="17">
                  <c:v>1.9</c:v>
                </c:pt>
                <c:pt idx="18">
                  <c:v>1.7330000000000001</c:v>
                </c:pt>
                <c:pt idx="19">
                  <c:v>1.55</c:v>
                </c:pt>
                <c:pt idx="20">
                  <c:v>1.3240000000000001</c:v>
                </c:pt>
                <c:pt idx="21">
                  <c:v>1.1080000000000001</c:v>
                </c:pt>
                <c:pt idx="22">
                  <c:v>0.96899999999999997</c:v>
                </c:pt>
                <c:pt idx="23">
                  <c:v>0.99099999999999999</c:v>
                </c:pt>
                <c:pt idx="24">
                  <c:v>1.1379999999999999</c:v>
                </c:pt>
                <c:pt idx="25">
                  <c:v>1.4390000000000001</c:v>
                </c:pt>
                <c:pt idx="26">
                  <c:v>1.847</c:v>
                </c:pt>
                <c:pt idx="27">
                  <c:v>2.2229999999999999</c:v>
                </c:pt>
                <c:pt idx="28">
                  <c:v>2.4910000000000001</c:v>
                </c:pt>
                <c:pt idx="29">
                  <c:v>2.581</c:v>
                </c:pt>
                <c:pt idx="30">
                  <c:v>2.5190000000000001</c:v>
                </c:pt>
                <c:pt idx="31">
                  <c:v>2.3260000000000001</c:v>
                </c:pt>
                <c:pt idx="32">
                  <c:v>2.024</c:v>
                </c:pt>
                <c:pt idx="33">
                  <c:v>1.7190000000000001</c:v>
                </c:pt>
                <c:pt idx="34">
                  <c:v>1.4410000000000001</c:v>
                </c:pt>
                <c:pt idx="35">
                  <c:v>1.2529999999999999</c:v>
                </c:pt>
                <c:pt idx="36">
                  <c:v>1.232</c:v>
                </c:pt>
                <c:pt idx="37">
                  <c:v>1.3320000000000001</c:v>
                </c:pt>
                <c:pt idx="38">
                  <c:v>1.5</c:v>
                </c:pt>
                <c:pt idx="39">
                  <c:v>1.6930000000000001</c:v>
                </c:pt>
                <c:pt idx="40">
                  <c:v>1.833</c:v>
                </c:pt>
                <c:pt idx="41">
                  <c:v>1.84</c:v>
                </c:pt>
                <c:pt idx="42">
                  <c:v>1.742</c:v>
                </c:pt>
                <c:pt idx="43">
                  <c:v>1.583</c:v>
                </c:pt>
                <c:pt idx="44">
                  <c:v>1.3320000000000001</c:v>
                </c:pt>
                <c:pt idx="45">
                  <c:v>1.0669999999999999</c:v>
                </c:pt>
                <c:pt idx="46">
                  <c:v>0.81299999999999994</c:v>
                </c:pt>
                <c:pt idx="47">
                  <c:v>0.754</c:v>
                </c:pt>
                <c:pt idx="48">
                  <c:v>0.90600000000000003</c:v>
                </c:pt>
                <c:pt idx="49">
                  <c:v>1.2310000000000001</c:v>
                </c:pt>
                <c:pt idx="50">
                  <c:v>1.627</c:v>
                </c:pt>
                <c:pt idx="51">
                  <c:v>2.0550000000000002</c:v>
                </c:pt>
                <c:pt idx="52">
                  <c:v>2.456</c:v>
                </c:pt>
                <c:pt idx="53">
                  <c:v>2.714</c:v>
                </c:pt>
                <c:pt idx="54">
                  <c:v>2.7280000000000002</c:v>
                </c:pt>
                <c:pt idx="55">
                  <c:v>2.552</c:v>
                </c:pt>
                <c:pt idx="56">
                  <c:v>2.2280000000000002</c:v>
                </c:pt>
                <c:pt idx="57">
                  <c:v>1.8280000000000001</c:v>
                </c:pt>
                <c:pt idx="58">
                  <c:v>1.4850000000000001</c:v>
                </c:pt>
                <c:pt idx="59">
                  <c:v>1.22</c:v>
                </c:pt>
                <c:pt idx="60">
                  <c:v>1.1359999999999999</c:v>
                </c:pt>
                <c:pt idx="61">
                  <c:v>1.234</c:v>
                </c:pt>
                <c:pt idx="62">
                  <c:v>1.4339999999999999</c:v>
                </c:pt>
                <c:pt idx="63">
                  <c:v>1.641</c:v>
                </c:pt>
                <c:pt idx="64">
                  <c:v>1.778</c:v>
                </c:pt>
                <c:pt idx="65">
                  <c:v>1.821</c:v>
                </c:pt>
                <c:pt idx="66">
                  <c:v>1.7869999999999999</c:v>
                </c:pt>
                <c:pt idx="67">
                  <c:v>1.6260000000000001</c:v>
                </c:pt>
                <c:pt idx="68">
                  <c:v>1.399</c:v>
                </c:pt>
                <c:pt idx="69">
                  <c:v>1.1459999999999999</c:v>
                </c:pt>
                <c:pt idx="70">
                  <c:v>0.88500000000000001</c:v>
                </c:pt>
                <c:pt idx="71">
                  <c:v>0.70199999999999996</c:v>
                </c:pt>
                <c:pt idx="72">
                  <c:v>0.74299999999999999</c:v>
                </c:pt>
                <c:pt idx="73">
                  <c:v>1.0089999999999999</c:v>
                </c:pt>
                <c:pt idx="74">
                  <c:v>1.395</c:v>
                </c:pt>
                <c:pt idx="75">
                  <c:v>1.8839999999999999</c:v>
                </c:pt>
                <c:pt idx="76">
                  <c:v>2.3519999999999999</c:v>
                </c:pt>
                <c:pt idx="77">
                  <c:v>2.6960000000000002</c:v>
                </c:pt>
                <c:pt idx="78">
                  <c:v>2.8149999999999999</c:v>
                </c:pt>
                <c:pt idx="79">
                  <c:v>2.738</c:v>
                </c:pt>
                <c:pt idx="80">
                  <c:v>2.46</c:v>
                </c:pt>
                <c:pt idx="81">
                  <c:v>2.028</c:v>
                </c:pt>
                <c:pt idx="82">
                  <c:v>1.653</c:v>
                </c:pt>
                <c:pt idx="83">
                  <c:v>1.345</c:v>
                </c:pt>
                <c:pt idx="84">
                  <c:v>1.18</c:v>
                </c:pt>
                <c:pt idx="85">
                  <c:v>1.1519999999999999</c:v>
                </c:pt>
                <c:pt idx="86">
                  <c:v>1.2609999999999999</c:v>
                </c:pt>
                <c:pt idx="87">
                  <c:v>1.47</c:v>
                </c:pt>
                <c:pt idx="88">
                  <c:v>1.6679999999999999</c:v>
                </c:pt>
                <c:pt idx="89">
                  <c:v>1.7709999999999999</c:v>
                </c:pt>
                <c:pt idx="90">
                  <c:v>1.7649999999999999</c:v>
                </c:pt>
                <c:pt idx="91">
                  <c:v>1.653</c:v>
                </c:pt>
                <c:pt idx="92">
                  <c:v>1.444</c:v>
                </c:pt>
                <c:pt idx="93">
                  <c:v>1.226</c:v>
                </c:pt>
                <c:pt idx="94">
                  <c:v>0.95599999999999996</c:v>
                </c:pt>
                <c:pt idx="95">
                  <c:v>0.73799999999999999</c:v>
                </c:pt>
                <c:pt idx="96">
                  <c:v>0.68700000000000006</c:v>
                </c:pt>
                <c:pt idx="97">
                  <c:v>0.86399999999999999</c:v>
                </c:pt>
                <c:pt idx="98">
                  <c:v>1.246</c:v>
                </c:pt>
                <c:pt idx="99">
                  <c:v>1.7010000000000001</c:v>
                </c:pt>
                <c:pt idx="100">
                  <c:v>2.1930000000000001</c:v>
                </c:pt>
                <c:pt idx="101">
                  <c:v>2.5950000000000002</c:v>
                </c:pt>
                <c:pt idx="102">
                  <c:v>2.8180000000000001</c:v>
                </c:pt>
                <c:pt idx="103">
                  <c:v>2.84</c:v>
                </c:pt>
                <c:pt idx="104">
                  <c:v>2.657</c:v>
                </c:pt>
                <c:pt idx="105">
                  <c:v>2.2879999999999998</c:v>
                </c:pt>
                <c:pt idx="106">
                  <c:v>1.8819999999999999</c:v>
                </c:pt>
                <c:pt idx="107">
                  <c:v>1.5149999999999999</c:v>
                </c:pt>
                <c:pt idx="108">
                  <c:v>1.27</c:v>
                </c:pt>
                <c:pt idx="109">
                  <c:v>1.169</c:v>
                </c:pt>
                <c:pt idx="110">
                  <c:v>1.2250000000000001</c:v>
                </c:pt>
                <c:pt idx="111">
                  <c:v>1.375</c:v>
                </c:pt>
                <c:pt idx="112">
                  <c:v>1.5940000000000001</c:v>
                </c:pt>
                <c:pt idx="113">
                  <c:v>1.784</c:v>
                </c:pt>
                <c:pt idx="114">
                  <c:v>1.839</c:v>
                </c:pt>
                <c:pt idx="115">
                  <c:v>1.7450000000000001</c:v>
                </c:pt>
                <c:pt idx="116">
                  <c:v>1.554</c:v>
                </c:pt>
                <c:pt idx="117">
                  <c:v>1.2949999999999999</c:v>
                </c:pt>
                <c:pt idx="118">
                  <c:v>0.96299999999999997</c:v>
                </c:pt>
                <c:pt idx="119">
                  <c:v>0.76200000000000001</c:v>
                </c:pt>
                <c:pt idx="120">
                  <c:v>0.65800000000000003</c:v>
                </c:pt>
                <c:pt idx="121">
                  <c:v>0.75</c:v>
                </c:pt>
                <c:pt idx="122">
                  <c:v>1.0609999999999999</c:v>
                </c:pt>
                <c:pt idx="123">
                  <c:v>1.4930000000000001</c:v>
                </c:pt>
                <c:pt idx="124">
                  <c:v>1.9990000000000001</c:v>
                </c:pt>
                <c:pt idx="125">
                  <c:v>2.4350000000000001</c:v>
                </c:pt>
                <c:pt idx="126">
                  <c:v>2.7450000000000001</c:v>
                </c:pt>
                <c:pt idx="127">
                  <c:v>2.8460000000000001</c:v>
                </c:pt>
                <c:pt idx="128">
                  <c:v>2.758</c:v>
                </c:pt>
                <c:pt idx="129">
                  <c:v>2.5059999999999998</c:v>
                </c:pt>
                <c:pt idx="130">
                  <c:v>2.1230000000000002</c:v>
                </c:pt>
                <c:pt idx="131">
                  <c:v>1.7490000000000001</c:v>
                </c:pt>
                <c:pt idx="132">
                  <c:v>1.429</c:v>
                </c:pt>
                <c:pt idx="133">
                  <c:v>1.2609999999999999</c:v>
                </c:pt>
                <c:pt idx="134">
                  <c:v>1.2310000000000001</c:v>
                </c:pt>
                <c:pt idx="135">
                  <c:v>1.3720000000000001</c:v>
                </c:pt>
                <c:pt idx="136">
                  <c:v>1.5880000000000001</c:v>
                </c:pt>
                <c:pt idx="137">
                  <c:v>1.7689999999999999</c:v>
                </c:pt>
                <c:pt idx="138">
                  <c:v>1.8129999999999999</c:v>
                </c:pt>
                <c:pt idx="139">
                  <c:v>1.7769999999999999</c:v>
                </c:pt>
                <c:pt idx="140">
                  <c:v>1.641</c:v>
                </c:pt>
                <c:pt idx="141">
                  <c:v>1.4079999999999999</c:v>
                </c:pt>
                <c:pt idx="142">
                  <c:v>1.151</c:v>
                </c:pt>
                <c:pt idx="143">
                  <c:v>0.90400000000000003</c:v>
                </c:pt>
                <c:pt idx="144">
                  <c:v>0.74</c:v>
                </c:pt>
                <c:pt idx="145">
                  <c:v>0.754</c:v>
                </c:pt>
                <c:pt idx="146">
                  <c:v>0.94699999999999995</c:v>
                </c:pt>
                <c:pt idx="147">
                  <c:v>1.3049999999999999</c:v>
                </c:pt>
                <c:pt idx="148">
                  <c:v>1.754</c:v>
                </c:pt>
                <c:pt idx="149">
                  <c:v>2.1850000000000001</c:v>
                </c:pt>
                <c:pt idx="150">
                  <c:v>2.5470000000000002</c:v>
                </c:pt>
                <c:pt idx="151">
                  <c:v>2.758</c:v>
                </c:pt>
                <c:pt idx="152">
                  <c:v>2.7730000000000001</c:v>
                </c:pt>
                <c:pt idx="153">
                  <c:v>2.5979999999999999</c:v>
                </c:pt>
                <c:pt idx="154">
                  <c:v>2.278</c:v>
                </c:pt>
                <c:pt idx="155">
                  <c:v>1.887</c:v>
                </c:pt>
                <c:pt idx="156">
                  <c:v>1.5620000000000001</c:v>
                </c:pt>
                <c:pt idx="157">
                  <c:v>1.349</c:v>
                </c:pt>
                <c:pt idx="158">
                  <c:v>1.28</c:v>
                </c:pt>
                <c:pt idx="159">
                  <c:v>1.35</c:v>
                </c:pt>
                <c:pt idx="160">
                  <c:v>1.5269999999999999</c:v>
                </c:pt>
                <c:pt idx="161">
                  <c:v>1.68</c:v>
                </c:pt>
                <c:pt idx="162">
                  <c:v>1.7789999999999999</c:v>
                </c:pt>
                <c:pt idx="163">
                  <c:v>1.766</c:v>
                </c:pt>
                <c:pt idx="164">
                  <c:v>1.6830000000000001</c:v>
                </c:pt>
                <c:pt idx="165">
                  <c:v>1.4750000000000001</c:v>
                </c:pt>
                <c:pt idx="166">
                  <c:v>1.2629999999999999</c:v>
                </c:pt>
                <c:pt idx="167">
                  <c:v>1.0229999999999999</c:v>
                </c:pt>
                <c:pt idx="168">
                  <c:v>0.79700000000000004</c:v>
                </c:pt>
                <c:pt idx="169">
                  <c:v>0.73399999999999999</c:v>
                </c:pt>
                <c:pt idx="170">
                  <c:v>0.85699999999999998</c:v>
                </c:pt>
                <c:pt idx="171">
                  <c:v>1.1599999999999999</c:v>
                </c:pt>
                <c:pt idx="172">
                  <c:v>1.54</c:v>
                </c:pt>
                <c:pt idx="173">
                  <c:v>1.9890000000000001</c:v>
                </c:pt>
                <c:pt idx="174">
                  <c:v>2.3559999999999999</c:v>
                </c:pt>
                <c:pt idx="175">
                  <c:v>2.5950000000000002</c:v>
                </c:pt>
                <c:pt idx="176">
                  <c:v>2.6890000000000001</c:v>
                </c:pt>
                <c:pt idx="177">
                  <c:v>2.5859999999999999</c:v>
                </c:pt>
                <c:pt idx="178">
                  <c:v>2.339</c:v>
                </c:pt>
                <c:pt idx="179">
                  <c:v>1.9910000000000001</c:v>
                </c:pt>
                <c:pt idx="180">
                  <c:v>1.698</c:v>
                </c:pt>
                <c:pt idx="181">
                  <c:v>1.4355</c:v>
                </c:pt>
                <c:pt idx="182">
                  <c:v>1.319</c:v>
                </c:pt>
                <c:pt idx="183">
                  <c:v>1.304</c:v>
                </c:pt>
                <c:pt idx="184">
                  <c:v>1.421</c:v>
                </c:pt>
                <c:pt idx="185">
                  <c:v>1.5940000000000001</c:v>
                </c:pt>
                <c:pt idx="186">
                  <c:v>1.748</c:v>
                </c:pt>
                <c:pt idx="187">
                  <c:v>1.82</c:v>
                </c:pt>
                <c:pt idx="188">
                  <c:v>1.7709999999999999</c:v>
                </c:pt>
                <c:pt idx="189">
                  <c:v>1.5880000000000001</c:v>
                </c:pt>
                <c:pt idx="190">
                  <c:v>1.36</c:v>
                </c:pt>
                <c:pt idx="191">
                  <c:v>1.1240000000000001</c:v>
                </c:pt>
                <c:pt idx="192">
                  <c:v>0.90500000000000003</c:v>
                </c:pt>
                <c:pt idx="193">
                  <c:v>0.78600000000000003</c:v>
                </c:pt>
                <c:pt idx="194">
                  <c:v>0.84499999999999997</c:v>
                </c:pt>
                <c:pt idx="195">
                  <c:v>1.07</c:v>
                </c:pt>
                <c:pt idx="196">
                  <c:v>1.413</c:v>
                </c:pt>
                <c:pt idx="197">
                  <c:v>1.792</c:v>
                </c:pt>
                <c:pt idx="198">
                  <c:v>2.1789999999999998</c:v>
                </c:pt>
                <c:pt idx="199">
                  <c:v>2.4420000000000002</c:v>
                </c:pt>
                <c:pt idx="200">
                  <c:v>2.5630000000000002</c:v>
                </c:pt>
                <c:pt idx="201">
                  <c:v>2.552</c:v>
                </c:pt>
                <c:pt idx="202">
                  <c:v>2.4060000000000001</c:v>
                </c:pt>
                <c:pt idx="203">
                  <c:v>2.1150000000000002</c:v>
                </c:pt>
                <c:pt idx="204">
                  <c:v>1.8049999999999999</c:v>
                </c:pt>
                <c:pt idx="205">
                  <c:v>1.5640000000000001</c:v>
                </c:pt>
                <c:pt idx="206">
                  <c:v>1.4390000000000001</c:v>
                </c:pt>
                <c:pt idx="207">
                  <c:v>1.4079999999999999</c:v>
                </c:pt>
                <c:pt idx="208">
                  <c:v>1.4790000000000001</c:v>
                </c:pt>
                <c:pt idx="209">
                  <c:v>1.593</c:v>
                </c:pt>
                <c:pt idx="210">
                  <c:v>1.7210000000000001</c:v>
                </c:pt>
                <c:pt idx="211">
                  <c:v>1.8080000000000001</c:v>
                </c:pt>
                <c:pt idx="212">
                  <c:v>1.8049999999999999</c:v>
                </c:pt>
                <c:pt idx="213">
                  <c:v>1.667</c:v>
                </c:pt>
                <c:pt idx="214">
                  <c:v>1.46</c:v>
                </c:pt>
                <c:pt idx="215">
                  <c:v>1.254</c:v>
                </c:pt>
                <c:pt idx="216">
                  <c:v>1.0469999999999999</c:v>
                </c:pt>
                <c:pt idx="217">
                  <c:v>0.90600000000000003</c:v>
                </c:pt>
                <c:pt idx="218">
                  <c:v>0.871</c:v>
                </c:pt>
                <c:pt idx="219">
                  <c:v>1.024</c:v>
                </c:pt>
                <c:pt idx="220">
                  <c:v>1.3140000000000001</c:v>
                </c:pt>
                <c:pt idx="221">
                  <c:v>1.6679999999999999</c:v>
                </c:pt>
                <c:pt idx="222">
                  <c:v>1.9930000000000001</c:v>
                </c:pt>
                <c:pt idx="223">
                  <c:v>2.25</c:v>
                </c:pt>
                <c:pt idx="224">
                  <c:v>2.4020000000000001</c:v>
                </c:pt>
                <c:pt idx="225">
                  <c:v>2.4220000000000002</c:v>
                </c:pt>
                <c:pt idx="226">
                  <c:v>2.3570000000000002</c:v>
                </c:pt>
                <c:pt idx="227">
                  <c:v>2.1829999999999998</c:v>
                </c:pt>
                <c:pt idx="228">
                  <c:v>1.923</c:v>
                </c:pt>
                <c:pt idx="229">
                  <c:v>1.7050000000000001</c:v>
                </c:pt>
                <c:pt idx="230">
                  <c:v>1.556</c:v>
                </c:pt>
                <c:pt idx="231">
                  <c:v>1.4730000000000001</c:v>
                </c:pt>
                <c:pt idx="232">
                  <c:v>1.4790000000000001</c:v>
                </c:pt>
                <c:pt idx="233">
                  <c:v>1.573</c:v>
                </c:pt>
                <c:pt idx="234">
                  <c:v>1.673</c:v>
                </c:pt>
                <c:pt idx="235">
                  <c:v>1.7889999999999999</c:v>
                </c:pt>
                <c:pt idx="236">
                  <c:v>1.8320000000000001</c:v>
                </c:pt>
                <c:pt idx="237">
                  <c:v>1.7549999999999999</c:v>
                </c:pt>
                <c:pt idx="238">
                  <c:v>1.556</c:v>
                </c:pt>
                <c:pt idx="239">
                  <c:v>1.375</c:v>
                </c:pt>
                <c:pt idx="240">
                  <c:v>1.1970000000000001</c:v>
                </c:pt>
                <c:pt idx="241">
                  <c:v>1.0580000000000001</c:v>
                </c:pt>
                <c:pt idx="242">
                  <c:v>1.028</c:v>
                </c:pt>
                <c:pt idx="243">
                  <c:v>1.1000000000000001</c:v>
                </c:pt>
                <c:pt idx="244">
                  <c:v>1.3069999999999999</c:v>
                </c:pt>
                <c:pt idx="245">
                  <c:v>1.593</c:v>
                </c:pt>
                <c:pt idx="246">
                  <c:v>1.8859999999999999</c:v>
                </c:pt>
                <c:pt idx="247">
                  <c:v>2.0960000000000001</c:v>
                </c:pt>
                <c:pt idx="248">
                  <c:v>2.2410000000000001</c:v>
                </c:pt>
                <c:pt idx="249">
                  <c:v>2.3029999999999999</c:v>
                </c:pt>
                <c:pt idx="250">
                  <c:v>2.2469999999999999</c:v>
                </c:pt>
                <c:pt idx="251">
                  <c:v>2.1240000000000001</c:v>
                </c:pt>
                <c:pt idx="252">
                  <c:v>1.986</c:v>
                </c:pt>
                <c:pt idx="253">
                  <c:v>1.8080000000000001</c:v>
                </c:pt>
                <c:pt idx="254">
                  <c:v>1.629</c:v>
                </c:pt>
                <c:pt idx="255">
                  <c:v>1.5349999999999999</c:v>
                </c:pt>
                <c:pt idx="256">
                  <c:v>1.502</c:v>
                </c:pt>
                <c:pt idx="257">
                  <c:v>1.5110000000000001</c:v>
                </c:pt>
                <c:pt idx="258">
                  <c:v>1.595</c:v>
                </c:pt>
                <c:pt idx="259">
                  <c:v>1.724</c:v>
                </c:pt>
                <c:pt idx="260">
                  <c:v>1.796</c:v>
                </c:pt>
                <c:pt idx="261">
                  <c:v>1.766</c:v>
                </c:pt>
                <c:pt idx="262">
                  <c:v>1.64</c:v>
                </c:pt>
                <c:pt idx="263">
                  <c:v>1.4950000000000001</c:v>
                </c:pt>
                <c:pt idx="264">
                  <c:v>1.373</c:v>
                </c:pt>
                <c:pt idx="265">
                  <c:v>1.2709999999999999</c:v>
                </c:pt>
                <c:pt idx="266">
                  <c:v>1.234</c:v>
                </c:pt>
                <c:pt idx="267">
                  <c:v>1.2729999999999999</c:v>
                </c:pt>
                <c:pt idx="268">
                  <c:v>1.3520000000000001</c:v>
                </c:pt>
                <c:pt idx="269">
                  <c:v>1.526</c:v>
                </c:pt>
                <c:pt idx="270">
                  <c:v>1.7390000000000001</c:v>
                </c:pt>
                <c:pt idx="271">
                  <c:v>1.905</c:v>
                </c:pt>
                <c:pt idx="272">
                  <c:v>2.0390000000000001</c:v>
                </c:pt>
                <c:pt idx="273">
                  <c:v>2.0870000000000002</c:v>
                </c:pt>
                <c:pt idx="274">
                  <c:v>2.077</c:v>
                </c:pt>
                <c:pt idx="275">
                  <c:v>2.036</c:v>
                </c:pt>
                <c:pt idx="276">
                  <c:v>1.976</c:v>
                </c:pt>
                <c:pt idx="277">
                  <c:v>1.873</c:v>
                </c:pt>
                <c:pt idx="278">
                  <c:v>1.7649999999999999</c:v>
                </c:pt>
                <c:pt idx="279">
                  <c:v>1.6319999999999999</c:v>
                </c:pt>
                <c:pt idx="280">
                  <c:v>1.5780000000000001</c:v>
                </c:pt>
                <c:pt idx="281">
                  <c:v>1.538</c:v>
                </c:pt>
                <c:pt idx="282">
                  <c:v>1.544</c:v>
                </c:pt>
                <c:pt idx="283">
                  <c:v>1.621</c:v>
                </c:pt>
                <c:pt idx="284">
                  <c:v>1.704</c:v>
                </c:pt>
                <c:pt idx="285">
                  <c:v>1.7210000000000001</c:v>
                </c:pt>
                <c:pt idx="286">
                  <c:v>1.6930000000000001</c:v>
                </c:pt>
                <c:pt idx="287">
                  <c:v>1.61</c:v>
                </c:pt>
                <c:pt idx="288">
                  <c:v>1.496</c:v>
                </c:pt>
                <c:pt idx="289">
                  <c:v>1.4370000000000001</c:v>
                </c:pt>
                <c:pt idx="290">
                  <c:v>1.431</c:v>
                </c:pt>
                <c:pt idx="291">
                  <c:v>1.466</c:v>
                </c:pt>
                <c:pt idx="292">
                  <c:v>1.5389999999999999</c:v>
                </c:pt>
                <c:pt idx="293">
                  <c:v>1.6359999999999999</c:v>
                </c:pt>
                <c:pt idx="294">
                  <c:v>1.7070000000000001</c:v>
                </c:pt>
                <c:pt idx="295">
                  <c:v>1.7969999999999999</c:v>
                </c:pt>
                <c:pt idx="296">
                  <c:v>1.843</c:v>
                </c:pt>
                <c:pt idx="297">
                  <c:v>1.8740000000000001</c:v>
                </c:pt>
                <c:pt idx="298">
                  <c:v>1.899</c:v>
                </c:pt>
                <c:pt idx="299">
                  <c:v>1.9239999999999999</c:v>
                </c:pt>
                <c:pt idx="300">
                  <c:v>1.8939999999999999</c:v>
                </c:pt>
                <c:pt idx="301">
                  <c:v>1.835</c:v>
                </c:pt>
                <c:pt idx="302">
                  <c:v>1.7889999999999999</c:v>
                </c:pt>
                <c:pt idx="303">
                  <c:v>1.6739999999999999</c:v>
                </c:pt>
                <c:pt idx="304">
                  <c:v>1.5760000000000001</c:v>
                </c:pt>
                <c:pt idx="305">
                  <c:v>1.5089999999999999</c:v>
                </c:pt>
                <c:pt idx="306">
                  <c:v>1.468</c:v>
                </c:pt>
                <c:pt idx="307">
                  <c:v>1.484</c:v>
                </c:pt>
                <c:pt idx="308">
                  <c:v>1.5269999999999999</c:v>
                </c:pt>
                <c:pt idx="309">
                  <c:v>1.544</c:v>
                </c:pt>
                <c:pt idx="310">
                  <c:v>1.5840000000000001</c:v>
                </c:pt>
                <c:pt idx="311">
                  <c:v>1.569</c:v>
                </c:pt>
                <c:pt idx="312">
                  <c:v>1.62</c:v>
                </c:pt>
                <c:pt idx="313">
                  <c:v>1.6759999999999999</c:v>
                </c:pt>
                <c:pt idx="314">
                  <c:v>1.669</c:v>
                </c:pt>
                <c:pt idx="315">
                  <c:v>1.6990000000000001</c:v>
                </c:pt>
                <c:pt idx="316">
                  <c:v>1.714</c:v>
                </c:pt>
                <c:pt idx="317">
                  <c:v>1.714</c:v>
                </c:pt>
                <c:pt idx="318">
                  <c:v>1.712</c:v>
                </c:pt>
                <c:pt idx="319">
                  <c:v>1.73</c:v>
                </c:pt>
                <c:pt idx="320">
                  <c:v>1.752</c:v>
                </c:pt>
                <c:pt idx="321">
                  <c:v>1.7230000000000001</c:v>
                </c:pt>
                <c:pt idx="322">
                  <c:v>1.7150000000000001</c:v>
                </c:pt>
                <c:pt idx="323">
                  <c:v>1.7390000000000001</c:v>
                </c:pt>
                <c:pt idx="324">
                  <c:v>1.7849999999999999</c:v>
                </c:pt>
                <c:pt idx="325">
                  <c:v>1.8220000000000001</c:v>
                </c:pt>
                <c:pt idx="326">
                  <c:v>1.823</c:v>
                </c:pt>
                <c:pt idx="327">
                  <c:v>1.766</c:v>
                </c:pt>
                <c:pt idx="328">
                  <c:v>1.6839999999999999</c:v>
                </c:pt>
                <c:pt idx="329">
                  <c:v>1.548</c:v>
                </c:pt>
                <c:pt idx="330">
                  <c:v>1.4219999999999999</c:v>
                </c:pt>
                <c:pt idx="331">
                  <c:v>1.365</c:v>
                </c:pt>
                <c:pt idx="332">
                  <c:v>1.373</c:v>
                </c:pt>
                <c:pt idx="333">
                  <c:v>1.393</c:v>
                </c:pt>
                <c:pt idx="334">
                  <c:v>1.458</c:v>
                </c:pt>
                <c:pt idx="335">
                  <c:v>1.5609999999999999</c:v>
                </c:pt>
                <c:pt idx="336">
                  <c:v>1.696</c:v>
                </c:pt>
                <c:pt idx="337">
                  <c:v>1.8160000000000001</c:v>
                </c:pt>
                <c:pt idx="338">
                  <c:v>1.903</c:v>
                </c:pt>
                <c:pt idx="339">
                  <c:v>1.968</c:v>
                </c:pt>
                <c:pt idx="340">
                  <c:v>2.012</c:v>
                </c:pt>
                <c:pt idx="341">
                  <c:v>2</c:v>
                </c:pt>
                <c:pt idx="342">
                  <c:v>1.913</c:v>
                </c:pt>
                <c:pt idx="343">
                  <c:v>1.82</c:v>
                </c:pt>
                <c:pt idx="344">
                  <c:v>1.722</c:v>
                </c:pt>
                <c:pt idx="345">
                  <c:v>1.6479999999999999</c:v>
                </c:pt>
                <c:pt idx="346">
                  <c:v>1.6</c:v>
                </c:pt>
                <c:pt idx="347">
                  <c:v>1.581</c:v>
                </c:pt>
                <c:pt idx="348">
                  <c:v>1.6080000000000001</c:v>
                </c:pt>
                <c:pt idx="349">
                  <c:v>1.6639999999999999</c:v>
                </c:pt>
                <c:pt idx="350">
                  <c:v>1.7430000000000001</c:v>
                </c:pt>
                <c:pt idx="351">
                  <c:v>1.78</c:v>
                </c:pt>
                <c:pt idx="352">
                  <c:v>1.718</c:v>
                </c:pt>
                <c:pt idx="353">
                  <c:v>1.617</c:v>
                </c:pt>
                <c:pt idx="354">
                  <c:v>1.4930000000000001</c:v>
                </c:pt>
                <c:pt idx="355">
                  <c:v>1.3680000000000001</c:v>
                </c:pt>
                <c:pt idx="356">
                  <c:v>1.2430000000000001</c:v>
                </c:pt>
                <c:pt idx="357">
                  <c:v>1.198</c:v>
                </c:pt>
                <c:pt idx="358">
                  <c:v>1.238</c:v>
                </c:pt>
                <c:pt idx="359">
                  <c:v>1.3879999999999999</c:v>
                </c:pt>
                <c:pt idx="360">
                  <c:v>1.5920000000000001</c:v>
                </c:pt>
                <c:pt idx="361">
                  <c:v>1.819</c:v>
                </c:pt>
                <c:pt idx="362">
                  <c:v>2.048</c:v>
                </c:pt>
                <c:pt idx="363">
                  <c:v>2.238</c:v>
                </c:pt>
                <c:pt idx="364">
                  <c:v>2.3479999999999999</c:v>
                </c:pt>
                <c:pt idx="365">
                  <c:v>2.3090000000000002</c:v>
                </c:pt>
                <c:pt idx="366">
                  <c:v>2.2000000000000002</c:v>
                </c:pt>
                <c:pt idx="367">
                  <c:v>2.0089999999999999</c:v>
                </c:pt>
                <c:pt idx="368">
                  <c:v>1.7969999999999999</c:v>
                </c:pt>
                <c:pt idx="369">
                  <c:v>1.61</c:v>
                </c:pt>
                <c:pt idx="370">
                  <c:v>1.48</c:v>
                </c:pt>
                <c:pt idx="371">
                  <c:v>1.4</c:v>
                </c:pt>
                <c:pt idx="372">
                  <c:v>1.454</c:v>
                </c:pt>
                <c:pt idx="373">
                  <c:v>1.516</c:v>
                </c:pt>
                <c:pt idx="374">
                  <c:v>1.607</c:v>
                </c:pt>
                <c:pt idx="375">
                  <c:v>1.69</c:v>
                </c:pt>
                <c:pt idx="376">
                  <c:v>1.69</c:v>
                </c:pt>
                <c:pt idx="377">
                  <c:v>1.619</c:v>
                </c:pt>
                <c:pt idx="378">
                  <c:v>1.472</c:v>
                </c:pt>
                <c:pt idx="379">
                  <c:v>1.3009999999999999</c:v>
                </c:pt>
                <c:pt idx="380">
                  <c:v>1.1259999999999999</c:v>
                </c:pt>
                <c:pt idx="381">
                  <c:v>1.0249999999999999</c:v>
                </c:pt>
                <c:pt idx="382">
                  <c:v>1.028</c:v>
                </c:pt>
                <c:pt idx="383">
                  <c:v>1.153</c:v>
                </c:pt>
                <c:pt idx="384">
                  <c:v>1.409</c:v>
                </c:pt>
                <c:pt idx="385">
                  <c:v>1.714</c:v>
                </c:pt>
                <c:pt idx="386">
                  <c:v>2.0259999999999998</c:v>
                </c:pt>
                <c:pt idx="387">
                  <c:v>2.3149999999999999</c:v>
                </c:pt>
                <c:pt idx="388">
                  <c:v>2.5209999999999999</c:v>
                </c:pt>
                <c:pt idx="389">
                  <c:v>2.597</c:v>
                </c:pt>
                <c:pt idx="390">
                  <c:v>2.5449999999999999</c:v>
                </c:pt>
                <c:pt idx="391">
                  <c:v>2.3380000000000001</c:v>
                </c:pt>
                <c:pt idx="392">
                  <c:v>2.0609999999999999</c:v>
                </c:pt>
                <c:pt idx="393">
                  <c:v>1.756</c:v>
                </c:pt>
                <c:pt idx="394">
                  <c:v>1.526</c:v>
                </c:pt>
                <c:pt idx="395">
                  <c:v>1.375</c:v>
                </c:pt>
                <c:pt idx="396">
                  <c:v>1.337</c:v>
                </c:pt>
                <c:pt idx="397">
                  <c:v>1.409</c:v>
                </c:pt>
                <c:pt idx="398">
                  <c:v>1.5189999999999999</c:v>
                </c:pt>
                <c:pt idx="399">
                  <c:v>1.613</c:v>
                </c:pt>
                <c:pt idx="400">
                  <c:v>1.65</c:v>
                </c:pt>
                <c:pt idx="401">
                  <c:v>1.5960000000000001</c:v>
                </c:pt>
                <c:pt idx="402">
                  <c:v>1.472</c:v>
                </c:pt>
                <c:pt idx="403">
                  <c:v>1.3080000000000001</c:v>
                </c:pt>
                <c:pt idx="404">
                  <c:v>1.1259999999999999</c:v>
                </c:pt>
                <c:pt idx="405">
                  <c:v>0.94399999999999995</c:v>
                </c:pt>
                <c:pt idx="406">
                  <c:v>0.88400000000000001</c:v>
                </c:pt>
                <c:pt idx="407">
                  <c:v>0.93600000000000005</c:v>
                </c:pt>
                <c:pt idx="408">
                  <c:v>1.159</c:v>
                </c:pt>
                <c:pt idx="409">
                  <c:v>1.49</c:v>
                </c:pt>
                <c:pt idx="410">
                  <c:v>1.871</c:v>
                </c:pt>
                <c:pt idx="411">
                  <c:v>2.2570000000000001</c:v>
                </c:pt>
                <c:pt idx="412">
                  <c:v>2.5539999999999998</c:v>
                </c:pt>
                <c:pt idx="413">
                  <c:v>2.73</c:v>
                </c:pt>
                <c:pt idx="414">
                  <c:v>2.7469999999999999</c:v>
                </c:pt>
                <c:pt idx="415">
                  <c:v>2.5979999999999999</c:v>
                </c:pt>
                <c:pt idx="416">
                  <c:v>2.319</c:v>
                </c:pt>
                <c:pt idx="417">
                  <c:v>1.99</c:v>
                </c:pt>
                <c:pt idx="418">
                  <c:v>1.6919999999999999</c:v>
                </c:pt>
                <c:pt idx="419">
                  <c:v>1.4219999999999999</c:v>
                </c:pt>
                <c:pt idx="420">
                  <c:v>1.2969999999999999</c:v>
                </c:pt>
                <c:pt idx="421">
                  <c:v>1.29</c:v>
                </c:pt>
                <c:pt idx="422">
                  <c:v>1.3859999999999999</c:v>
                </c:pt>
                <c:pt idx="423">
                  <c:v>1.4970000000000001</c:v>
                </c:pt>
                <c:pt idx="424">
                  <c:v>1.5780000000000001</c:v>
                </c:pt>
                <c:pt idx="425">
                  <c:v>1.575</c:v>
                </c:pt>
                <c:pt idx="426">
                  <c:v>1.4690000000000001</c:v>
                </c:pt>
                <c:pt idx="427">
                  <c:v>1.319</c:v>
                </c:pt>
                <c:pt idx="428">
                  <c:v>1.1339999999999999</c:v>
                </c:pt>
                <c:pt idx="429">
                  <c:v>0.94699999999999995</c:v>
                </c:pt>
                <c:pt idx="430">
                  <c:v>0.78100000000000003</c:v>
                </c:pt>
                <c:pt idx="431">
                  <c:v>0.748</c:v>
                </c:pt>
                <c:pt idx="432">
                  <c:v>0.88900000000000001</c:v>
                </c:pt>
                <c:pt idx="433">
                  <c:v>1.194</c:v>
                </c:pt>
                <c:pt idx="434">
                  <c:v>1.6140000000000001</c:v>
                </c:pt>
                <c:pt idx="435">
                  <c:v>2.089</c:v>
                </c:pt>
                <c:pt idx="436">
                  <c:v>2.4740000000000002</c:v>
                </c:pt>
                <c:pt idx="437">
                  <c:v>2.7690000000000001</c:v>
                </c:pt>
                <c:pt idx="438">
                  <c:v>2.88</c:v>
                </c:pt>
                <c:pt idx="439">
                  <c:v>2.8119999999999998</c:v>
                </c:pt>
                <c:pt idx="440">
                  <c:v>2.5680000000000001</c:v>
                </c:pt>
                <c:pt idx="441">
                  <c:v>2.2250000000000001</c:v>
                </c:pt>
                <c:pt idx="442">
                  <c:v>1.9039999999999999</c:v>
                </c:pt>
                <c:pt idx="443">
                  <c:v>1.585</c:v>
                </c:pt>
                <c:pt idx="444">
                  <c:v>1.381</c:v>
                </c:pt>
                <c:pt idx="445">
                  <c:v>1.2809999999999999</c:v>
                </c:pt>
                <c:pt idx="446">
                  <c:v>1.2949999999999999</c:v>
                </c:pt>
                <c:pt idx="447">
                  <c:v>1.425</c:v>
                </c:pt>
                <c:pt idx="448">
                  <c:v>1.492</c:v>
                </c:pt>
                <c:pt idx="449">
                  <c:v>1.5589999999999999</c:v>
                </c:pt>
                <c:pt idx="450">
                  <c:v>1.5109999999999999</c:v>
                </c:pt>
                <c:pt idx="451">
                  <c:v>1.3680000000000001</c:v>
                </c:pt>
                <c:pt idx="452">
                  <c:v>1.19</c:v>
                </c:pt>
                <c:pt idx="453">
                  <c:v>1.0009999999999999</c:v>
                </c:pt>
                <c:pt idx="454">
                  <c:v>0.83</c:v>
                </c:pt>
                <c:pt idx="455">
                  <c:v>0.65300000000000002</c:v>
                </c:pt>
                <c:pt idx="456">
                  <c:v>0.65200000000000002</c:v>
                </c:pt>
                <c:pt idx="457">
                  <c:v>0.86799999999999999</c:v>
                </c:pt>
                <c:pt idx="458">
                  <c:v>1.252</c:v>
                </c:pt>
                <c:pt idx="459">
                  <c:v>1.748</c:v>
                </c:pt>
                <c:pt idx="460">
                  <c:v>2.2589999999999999</c:v>
                </c:pt>
                <c:pt idx="461">
                  <c:v>2.645</c:v>
                </c:pt>
                <c:pt idx="462">
                  <c:v>2.87</c:v>
                </c:pt>
                <c:pt idx="463">
                  <c:v>2.8889999999999998</c:v>
                </c:pt>
                <c:pt idx="464">
                  <c:v>2.7109999999999999</c:v>
                </c:pt>
                <c:pt idx="465">
                  <c:v>2.4220000000000002</c:v>
                </c:pt>
                <c:pt idx="466">
                  <c:v>2.1080000000000001</c:v>
                </c:pt>
                <c:pt idx="467">
                  <c:v>1.7849999999999999</c:v>
                </c:pt>
                <c:pt idx="468">
                  <c:v>1.55</c:v>
                </c:pt>
                <c:pt idx="469">
                  <c:v>1.3819999999999999</c:v>
                </c:pt>
                <c:pt idx="470">
                  <c:v>1.325</c:v>
                </c:pt>
                <c:pt idx="471">
                  <c:v>1.385</c:v>
                </c:pt>
                <c:pt idx="472">
                  <c:v>1.498</c:v>
                </c:pt>
                <c:pt idx="473">
                  <c:v>1.577</c:v>
                </c:pt>
                <c:pt idx="474">
                  <c:v>1.5840000000000001</c:v>
                </c:pt>
                <c:pt idx="475">
                  <c:v>1.4750000000000001</c:v>
                </c:pt>
                <c:pt idx="476">
                  <c:v>1.2949999999999999</c:v>
                </c:pt>
                <c:pt idx="477">
                  <c:v>1.054</c:v>
                </c:pt>
                <c:pt idx="478">
                  <c:v>0.80800000000000005</c:v>
                </c:pt>
                <c:pt idx="479">
                  <c:v>0.626</c:v>
                </c:pt>
                <c:pt idx="480">
                  <c:v>0.56000000000000005</c:v>
                </c:pt>
                <c:pt idx="481">
                  <c:v>0.68500000000000005</c:v>
                </c:pt>
                <c:pt idx="482">
                  <c:v>0.95799999999999996</c:v>
                </c:pt>
                <c:pt idx="483">
                  <c:v>1.4259999999999999</c:v>
                </c:pt>
                <c:pt idx="484">
                  <c:v>1.921</c:v>
                </c:pt>
                <c:pt idx="485">
                  <c:v>2.375</c:v>
                </c:pt>
                <c:pt idx="486">
                  <c:v>2.7250000000000001</c:v>
                </c:pt>
                <c:pt idx="487">
                  <c:v>2.8620000000000001</c:v>
                </c:pt>
                <c:pt idx="488">
                  <c:v>2.8149999999999999</c:v>
                </c:pt>
                <c:pt idx="489">
                  <c:v>2.61</c:v>
                </c:pt>
                <c:pt idx="490">
                  <c:v>2.2730000000000001</c:v>
                </c:pt>
                <c:pt idx="491">
                  <c:v>1.958</c:v>
                </c:pt>
                <c:pt idx="492">
                  <c:v>1.71</c:v>
                </c:pt>
                <c:pt idx="493">
                  <c:v>1.524</c:v>
                </c:pt>
                <c:pt idx="494">
                  <c:v>1.419</c:v>
                </c:pt>
                <c:pt idx="495">
                  <c:v>1.39</c:v>
                </c:pt>
                <c:pt idx="496">
                  <c:v>1.5049999999999999</c:v>
                </c:pt>
                <c:pt idx="497">
                  <c:v>1.6140000000000001</c:v>
                </c:pt>
                <c:pt idx="498">
                  <c:v>1.6870000000000001</c:v>
                </c:pt>
                <c:pt idx="499">
                  <c:v>1.621</c:v>
                </c:pt>
                <c:pt idx="500">
                  <c:v>1.5049999999999999</c:v>
                </c:pt>
                <c:pt idx="501">
                  <c:v>1.254</c:v>
                </c:pt>
                <c:pt idx="502">
                  <c:v>1.012</c:v>
                </c:pt>
                <c:pt idx="503">
                  <c:v>0.81499999999999995</c:v>
                </c:pt>
                <c:pt idx="504">
                  <c:v>0.68799999999999994</c:v>
                </c:pt>
                <c:pt idx="505">
                  <c:v>0.61499999999999999</c:v>
                </c:pt>
                <c:pt idx="506">
                  <c:v>0.77800000000000002</c:v>
                </c:pt>
                <c:pt idx="507">
                  <c:v>1.1100000000000001</c:v>
                </c:pt>
                <c:pt idx="508">
                  <c:v>1.597</c:v>
                </c:pt>
                <c:pt idx="509">
                  <c:v>2.085</c:v>
                </c:pt>
                <c:pt idx="510">
                  <c:v>2.4660000000000002</c:v>
                </c:pt>
                <c:pt idx="511">
                  <c:v>2.6850000000000001</c:v>
                </c:pt>
                <c:pt idx="512">
                  <c:v>2.7040000000000002</c:v>
                </c:pt>
                <c:pt idx="513">
                  <c:v>2.6480000000000001</c:v>
                </c:pt>
                <c:pt idx="514">
                  <c:v>2.427</c:v>
                </c:pt>
                <c:pt idx="515">
                  <c:v>2.081</c:v>
                </c:pt>
                <c:pt idx="516">
                  <c:v>1.7889999999999999</c:v>
                </c:pt>
                <c:pt idx="517">
                  <c:v>1.6279999999999999</c:v>
                </c:pt>
                <c:pt idx="518">
                  <c:v>1.4669999999999999</c:v>
                </c:pt>
                <c:pt idx="519">
                  <c:v>1.4450000000000001</c:v>
                </c:pt>
                <c:pt idx="520">
                  <c:v>1.5149999999999999</c:v>
                </c:pt>
                <c:pt idx="521">
                  <c:v>1.6220000000000001</c:v>
                </c:pt>
                <c:pt idx="522">
                  <c:v>1.712</c:v>
                </c:pt>
                <c:pt idx="523">
                  <c:v>1.734</c:v>
                </c:pt>
                <c:pt idx="524">
                  <c:v>1.6579999999999999</c:v>
                </c:pt>
                <c:pt idx="525">
                  <c:v>1.5</c:v>
                </c:pt>
                <c:pt idx="526">
                  <c:v>1.2909999999999999</c:v>
                </c:pt>
                <c:pt idx="527">
                  <c:v>1.0580000000000001</c:v>
                </c:pt>
                <c:pt idx="528">
                  <c:v>0.83399999999999996</c:v>
                </c:pt>
                <c:pt idx="529">
                  <c:v>0.71199999999999997</c:v>
                </c:pt>
                <c:pt idx="530">
                  <c:v>0.72799999999999998</c:v>
                </c:pt>
                <c:pt idx="531">
                  <c:v>0.91</c:v>
                </c:pt>
                <c:pt idx="532">
                  <c:v>1.268</c:v>
                </c:pt>
                <c:pt idx="533">
                  <c:v>1.7649999999999999</c:v>
                </c:pt>
                <c:pt idx="534">
                  <c:v>2.1970000000000001</c:v>
                </c:pt>
                <c:pt idx="535">
                  <c:v>2.532</c:v>
                </c:pt>
                <c:pt idx="536">
                  <c:v>2.6419999999999999</c:v>
                </c:pt>
                <c:pt idx="537">
                  <c:v>2.58</c:v>
                </c:pt>
                <c:pt idx="538">
                  <c:v>2.4430000000000001</c:v>
                </c:pt>
                <c:pt idx="539">
                  <c:v>2.1709999999999998</c:v>
                </c:pt>
                <c:pt idx="540">
                  <c:v>1.897</c:v>
                </c:pt>
                <c:pt idx="541">
                  <c:v>1.6559999999999999</c:v>
                </c:pt>
                <c:pt idx="542">
                  <c:v>1.4790000000000001</c:v>
                </c:pt>
                <c:pt idx="543">
                  <c:v>1.405</c:v>
                </c:pt>
                <c:pt idx="544">
                  <c:v>1.4670000000000001</c:v>
                </c:pt>
                <c:pt idx="545">
                  <c:v>1.6080000000000001</c:v>
                </c:pt>
                <c:pt idx="546">
                  <c:v>1.7470000000000001</c:v>
                </c:pt>
                <c:pt idx="547">
                  <c:v>1.8240000000000001</c:v>
                </c:pt>
                <c:pt idx="548">
                  <c:v>1.821</c:v>
                </c:pt>
                <c:pt idx="549">
                  <c:v>1.6830000000000001</c:v>
                </c:pt>
                <c:pt idx="550">
                  <c:v>1.4850000000000001</c:v>
                </c:pt>
                <c:pt idx="551">
                  <c:v>1.2869999999999999</c:v>
                </c:pt>
                <c:pt idx="552">
                  <c:v>1.1180000000000001</c:v>
                </c:pt>
                <c:pt idx="553">
                  <c:v>0.93899999999999995</c:v>
                </c:pt>
                <c:pt idx="554">
                  <c:v>0.89200000000000002</c:v>
                </c:pt>
                <c:pt idx="555">
                  <c:v>0.97299999999999998</c:v>
                </c:pt>
                <c:pt idx="556">
                  <c:v>1.1859999999999999</c:v>
                </c:pt>
                <c:pt idx="557">
                  <c:v>1.524</c:v>
                </c:pt>
                <c:pt idx="558">
                  <c:v>1.9590000000000001</c:v>
                </c:pt>
                <c:pt idx="559">
                  <c:v>2.3210000000000002</c:v>
                </c:pt>
                <c:pt idx="560">
                  <c:v>2.504</c:v>
                </c:pt>
                <c:pt idx="561">
                  <c:v>2.5009999999999999</c:v>
                </c:pt>
                <c:pt idx="562">
                  <c:v>2.411</c:v>
                </c:pt>
                <c:pt idx="563">
                  <c:v>2.238</c:v>
                </c:pt>
                <c:pt idx="564">
                  <c:v>1.998</c:v>
                </c:pt>
                <c:pt idx="565">
                  <c:v>1.766</c:v>
                </c:pt>
                <c:pt idx="566">
                  <c:v>1.55</c:v>
                </c:pt>
                <c:pt idx="567">
                  <c:v>1.407</c:v>
                </c:pt>
                <c:pt idx="568">
                  <c:v>1.4139999999999999</c:v>
                </c:pt>
                <c:pt idx="569">
                  <c:v>1.5449999999999999</c:v>
                </c:pt>
                <c:pt idx="570">
                  <c:v>1.7</c:v>
                </c:pt>
                <c:pt idx="571">
                  <c:v>1.8169999999999999</c:v>
                </c:pt>
                <c:pt idx="572">
                  <c:v>1.881</c:v>
                </c:pt>
                <c:pt idx="573">
                  <c:v>1.8440000000000001</c:v>
                </c:pt>
                <c:pt idx="574">
                  <c:v>1.7190000000000001</c:v>
                </c:pt>
                <c:pt idx="575">
                  <c:v>1.5369999999999999</c:v>
                </c:pt>
                <c:pt idx="576">
                  <c:v>1.349</c:v>
                </c:pt>
                <c:pt idx="577">
                  <c:v>1.2190000000000001</c:v>
                </c:pt>
                <c:pt idx="578">
                  <c:v>1.1160000000000001</c:v>
                </c:pt>
                <c:pt idx="579">
                  <c:v>1.139</c:v>
                </c:pt>
                <c:pt idx="580">
                  <c:v>1.22</c:v>
                </c:pt>
                <c:pt idx="581">
                  <c:v>1.4350000000000001</c:v>
                </c:pt>
                <c:pt idx="582">
                  <c:v>1.768</c:v>
                </c:pt>
                <c:pt idx="583">
                  <c:v>2.0880000000000001</c:v>
                </c:pt>
                <c:pt idx="584">
                  <c:v>2.3029999999999999</c:v>
                </c:pt>
                <c:pt idx="585">
                  <c:v>2.379</c:v>
                </c:pt>
                <c:pt idx="586">
                  <c:v>2.3380000000000001</c:v>
                </c:pt>
                <c:pt idx="587">
                  <c:v>2.2210000000000001</c:v>
                </c:pt>
                <c:pt idx="588">
                  <c:v>2.0419999999999998</c:v>
                </c:pt>
                <c:pt idx="589">
                  <c:v>1.849</c:v>
                </c:pt>
                <c:pt idx="590">
                  <c:v>1.6140000000000001</c:v>
                </c:pt>
                <c:pt idx="591">
                  <c:v>1.425</c:v>
                </c:pt>
                <c:pt idx="592">
                  <c:v>1.379</c:v>
                </c:pt>
                <c:pt idx="593">
                  <c:v>1.431</c:v>
                </c:pt>
                <c:pt idx="594">
                  <c:v>1.524</c:v>
                </c:pt>
                <c:pt idx="595">
                  <c:v>1.6759999999999999</c:v>
                </c:pt>
                <c:pt idx="596">
                  <c:v>1.78</c:v>
                </c:pt>
                <c:pt idx="597">
                  <c:v>1.831</c:v>
                </c:pt>
                <c:pt idx="598">
                  <c:v>1.81</c:v>
                </c:pt>
                <c:pt idx="599">
                  <c:v>1.679</c:v>
                </c:pt>
                <c:pt idx="600">
                  <c:v>1.569</c:v>
                </c:pt>
                <c:pt idx="601">
                  <c:v>1.4330000000000001</c:v>
                </c:pt>
                <c:pt idx="602">
                  <c:v>1.3380000000000001</c:v>
                </c:pt>
                <c:pt idx="603">
                  <c:v>1.34</c:v>
                </c:pt>
                <c:pt idx="604">
                  <c:v>1.381</c:v>
                </c:pt>
                <c:pt idx="605">
                  <c:v>1.4670000000000001</c:v>
                </c:pt>
                <c:pt idx="606">
                  <c:v>1.657</c:v>
                </c:pt>
                <c:pt idx="607">
                  <c:v>1.9119999999999999</c:v>
                </c:pt>
                <c:pt idx="608">
                  <c:v>2.0870000000000002</c:v>
                </c:pt>
                <c:pt idx="609">
                  <c:v>2.1850000000000001</c:v>
                </c:pt>
                <c:pt idx="610">
                  <c:v>2.2189999999999999</c:v>
                </c:pt>
                <c:pt idx="611">
                  <c:v>2.17</c:v>
                </c:pt>
                <c:pt idx="612">
                  <c:v>2.0569999999999999</c:v>
                </c:pt>
                <c:pt idx="613">
                  <c:v>1.855</c:v>
                </c:pt>
                <c:pt idx="614">
                  <c:v>1.653</c:v>
                </c:pt>
                <c:pt idx="615">
                  <c:v>1.464</c:v>
                </c:pt>
                <c:pt idx="616">
                  <c:v>1.3340000000000001</c:v>
                </c:pt>
                <c:pt idx="617">
                  <c:v>1.2789999999999999</c:v>
                </c:pt>
                <c:pt idx="618">
                  <c:v>1.337</c:v>
                </c:pt>
                <c:pt idx="619">
                  <c:v>1.429</c:v>
                </c:pt>
                <c:pt idx="620">
                  <c:v>1.54</c:v>
                </c:pt>
                <c:pt idx="621">
                  <c:v>1.6439999999999999</c:v>
                </c:pt>
                <c:pt idx="622">
                  <c:v>1.7609999999999999</c:v>
                </c:pt>
                <c:pt idx="623">
                  <c:v>1.796</c:v>
                </c:pt>
                <c:pt idx="624">
                  <c:v>1.79</c:v>
                </c:pt>
                <c:pt idx="625">
                  <c:v>1.724</c:v>
                </c:pt>
                <c:pt idx="626">
                  <c:v>1.617</c:v>
                </c:pt>
                <c:pt idx="627">
                  <c:v>1.5660000000000001</c:v>
                </c:pt>
                <c:pt idx="628">
                  <c:v>1.532</c:v>
                </c:pt>
                <c:pt idx="629">
                  <c:v>1.5680000000000001</c:v>
                </c:pt>
                <c:pt idx="630">
                  <c:v>1.665</c:v>
                </c:pt>
                <c:pt idx="631">
                  <c:v>1.784</c:v>
                </c:pt>
                <c:pt idx="632">
                  <c:v>1.9379999999999999</c:v>
                </c:pt>
                <c:pt idx="633">
                  <c:v>1.9730000000000001</c:v>
                </c:pt>
                <c:pt idx="634">
                  <c:v>1.97</c:v>
                </c:pt>
                <c:pt idx="635">
                  <c:v>1.944</c:v>
                </c:pt>
                <c:pt idx="636">
                  <c:v>1.8240000000000001</c:v>
                </c:pt>
                <c:pt idx="637">
                  <c:v>1.7350000000000001</c:v>
                </c:pt>
                <c:pt idx="638">
                  <c:v>1.637</c:v>
                </c:pt>
                <c:pt idx="639">
                  <c:v>1.4810000000000001</c:v>
                </c:pt>
                <c:pt idx="640">
                  <c:v>1.3320000000000001</c:v>
                </c:pt>
                <c:pt idx="641">
                  <c:v>1.2470000000000001</c:v>
                </c:pt>
                <c:pt idx="642">
                  <c:v>1.196</c:v>
                </c:pt>
                <c:pt idx="643">
                  <c:v>1.214</c:v>
                </c:pt>
                <c:pt idx="644">
                  <c:v>1.3180000000000001</c:v>
                </c:pt>
                <c:pt idx="645">
                  <c:v>1.466</c:v>
                </c:pt>
                <c:pt idx="646">
                  <c:v>1.6</c:v>
                </c:pt>
                <c:pt idx="647">
                  <c:v>1.6990000000000001</c:v>
                </c:pt>
                <c:pt idx="648">
                  <c:v>1.77</c:v>
                </c:pt>
                <c:pt idx="649">
                  <c:v>1.8049999999999999</c:v>
                </c:pt>
                <c:pt idx="650">
                  <c:v>1.829</c:v>
                </c:pt>
                <c:pt idx="651">
                  <c:v>1.8260000000000001</c:v>
                </c:pt>
                <c:pt idx="652">
                  <c:v>1.788</c:v>
                </c:pt>
                <c:pt idx="653">
                  <c:v>1.7370000000000001</c:v>
                </c:pt>
                <c:pt idx="654">
                  <c:v>1.6970000000000001</c:v>
                </c:pt>
                <c:pt idx="655">
                  <c:v>1.728</c:v>
                </c:pt>
                <c:pt idx="656">
                  <c:v>1.756</c:v>
                </c:pt>
                <c:pt idx="657">
                  <c:v>1.8</c:v>
                </c:pt>
                <c:pt idx="658">
                  <c:v>1.831</c:v>
                </c:pt>
                <c:pt idx="659">
                  <c:v>1.8089999999999999</c:v>
                </c:pt>
                <c:pt idx="660">
                  <c:v>1.76</c:v>
                </c:pt>
                <c:pt idx="661">
                  <c:v>1.7090000000000001</c:v>
                </c:pt>
                <c:pt idx="662">
                  <c:v>1.617</c:v>
                </c:pt>
                <c:pt idx="663">
                  <c:v>1.524</c:v>
                </c:pt>
                <c:pt idx="664">
                  <c:v>1.419</c:v>
                </c:pt>
                <c:pt idx="665">
                  <c:v>1.3140000000000001</c:v>
                </c:pt>
                <c:pt idx="666">
                  <c:v>1.2210000000000001</c:v>
                </c:pt>
                <c:pt idx="667">
                  <c:v>1.171</c:v>
                </c:pt>
                <c:pt idx="668">
                  <c:v>1.149</c:v>
                </c:pt>
                <c:pt idx="669">
                  <c:v>1.244</c:v>
                </c:pt>
                <c:pt idx="670">
                  <c:v>1.385</c:v>
                </c:pt>
                <c:pt idx="671">
                  <c:v>1.5669999999999999</c:v>
                </c:pt>
                <c:pt idx="672">
                  <c:v>1.7190000000000001</c:v>
                </c:pt>
                <c:pt idx="673">
                  <c:v>1.887</c:v>
                </c:pt>
                <c:pt idx="674">
                  <c:v>2.0070000000000001</c:v>
                </c:pt>
                <c:pt idx="675">
                  <c:v>2.0529999999999999</c:v>
                </c:pt>
                <c:pt idx="676">
                  <c:v>2.0379999999999998</c:v>
                </c:pt>
                <c:pt idx="677">
                  <c:v>1.972</c:v>
                </c:pt>
                <c:pt idx="678">
                  <c:v>1.92</c:v>
                </c:pt>
                <c:pt idx="679">
                  <c:v>1.847</c:v>
                </c:pt>
                <c:pt idx="680">
                  <c:v>1.7569999999999999</c:v>
                </c:pt>
                <c:pt idx="681">
                  <c:v>1.6839999999999999</c:v>
                </c:pt>
                <c:pt idx="682">
                  <c:v>1.635</c:v>
                </c:pt>
                <c:pt idx="683">
                  <c:v>1.6539999999999999</c:v>
                </c:pt>
                <c:pt idx="684">
                  <c:v>1.6679999999999999</c:v>
                </c:pt>
                <c:pt idx="685">
                  <c:v>1.6719999999999999</c:v>
                </c:pt>
                <c:pt idx="686">
                  <c:v>1.6679999999999999</c:v>
                </c:pt>
                <c:pt idx="687">
                  <c:v>1.5880000000000001</c:v>
                </c:pt>
                <c:pt idx="688">
                  <c:v>1.4950000000000001</c:v>
                </c:pt>
                <c:pt idx="689">
                  <c:v>1.399</c:v>
                </c:pt>
                <c:pt idx="690">
                  <c:v>1.262</c:v>
                </c:pt>
                <c:pt idx="691">
                  <c:v>1.1439999999999999</c:v>
                </c:pt>
                <c:pt idx="692">
                  <c:v>1.1140000000000001</c:v>
                </c:pt>
                <c:pt idx="693">
                  <c:v>1.1299999999999999</c:v>
                </c:pt>
                <c:pt idx="694">
                  <c:v>1.204</c:v>
                </c:pt>
                <c:pt idx="695">
                  <c:v>1.35</c:v>
                </c:pt>
                <c:pt idx="696">
                  <c:v>1.5640000000000001</c:v>
                </c:pt>
                <c:pt idx="697">
                  <c:v>1.8120000000000001</c:v>
                </c:pt>
                <c:pt idx="698">
                  <c:v>2.0379999999999998</c:v>
                </c:pt>
                <c:pt idx="699">
                  <c:v>2.1909999999999998</c:v>
                </c:pt>
                <c:pt idx="700">
                  <c:v>2.2509999999999999</c:v>
                </c:pt>
                <c:pt idx="701">
                  <c:v>2.2330000000000001</c:v>
                </c:pt>
                <c:pt idx="702">
                  <c:v>2.145</c:v>
                </c:pt>
                <c:pt idx="703">
                  <c:v>2.0009999999999999</c:v>
                </c:pt>
                <c:pt idx="704">
                  <c:v>1.8120000000000001</c:v>
                </c:pt>
                <c:pt idx="705">
                  <c:v>1.653</c:v>
                </c:pt>
                <c:pt idx="706">
                  <c:v>1.5529999999999999</c:v>
                </c:pt>
                <c:pt idx="707">
                  <c:v>1.5029999999999999</c:v>
                </c:pt>
                <c:pt idx="708">
                  <c:v>1.5109999999999999</c:v>
                </c:pt>
                <c:pt idx="709">
                  <c:v>1.57</c:v>
                </c:pt>
                <c:pt idx="710">
                  <c:v>1.5615000000000001</c:v>
                </c:pt>
                <c:pt idx="711">
                  <c:v>1.5529999999999999</c:v>
                </c:pt>
                <c:pt idx="712">
                  <c:v>1.4830000000000001</c:v>
                </c:pt>
                <c:pt idx="713">
                  <c:v>1.42</c:v>
                </c:pt>
                <c:pt idx="714">
                  <c:v>1.3109999999999999</c:v>
                </c:pt>
                <c:pt idx="715">
                  <c:v>1.22</c:v>
                </c:pt>
                <c:pt idx="716">
                  <c:v>1.1080000000000001</c:v>
                </c:pt>
                <c:pt idx="717">
                  <c:v>1.0449999999999999</c:v>
                </c:pt>
                <c:pt idx="718">
                  <c:v>1.0089999999999999</c:v>
                </c:pt>
                <c:pt idx="719">
                  <c:v>1.109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F7-464E-8BB6-FF08FC4FD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09568"/>
        <c:axId val="140511488"/>
      </c:scatterChart>
      <c:valAx>
        <c:axId val="140509568"/>
        <c:scaling>
          <c:orientation val="minMax"/>
          <c:max val="43628.958333333307"/>
          <c:min val="43599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/>
                  <a:t>Tanggal/Bulan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/mm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11488"/>
        <c:crosses val="autoZero"/>
        <c:crossBetween val="midCat"/>
        <c:majorUnit val="2"/>
        <c:minorUnit val="1"/>
      </c:valAx>
      <c:valAx>
        <c:axId val="1405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/>
                  <a:t>Elevasi Muka Air (m)</a:t>
                </a:r>
              </a:p>
            </c:rich>
          </c:tx>
          <c:layout>
            <c:manualLayout>
              <c:xMode val="edge"/>
              <c:yMode val="edge"/>
              <c:x val="8.0508405307468042E-3"/>
              <c:y val="0.4205693627919151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95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skemA3!$B$43:$B$71</c:f>
              <c:numCache>
                <c:formatCode>dd\ mmmm\ yyyy</c:formatCode>
                <c:ptCount val="29"/>
                <c:pt idx="0">
                  <c:v>44709</c:v>
                </c:pt>
                <c:pt idx="1">
                  <c:v>44710</c:v>
                </c:pt>
                <c:pt idx="2">
                  <c:v>44711</c:v>
                </c:pt>
                <c:pt idx="3">
                  <c:v>44712</c:v>
                </c:pt>
                <c:pt idx="4">
                  <c:v>44713</c:v>
                </c:pt>
                <c:pt idx="5">
                  <c:v>44714</c:v>
                </c:pt>
                <c:pt idx="6">
                  <c:v>44715</c:v>
                </c:pt>
                <c:pt idx="7">
                  <c:v>44716</c:v>
                </c:pt>
                <c:pt idx="8">
                  <c:v>44717</c:v>
                </c:pt>
                <c:pt idx="9">
                  <c:v>44718</c:v>
                </c:pt>
                <c:pt idx="10">
                  <c:v>44719</c:v>
                </c:pt>
                <c:pt idx="11">
                  <c:v>44720</c:v>
                </c:pt>
                <c:pt idx="12">
                  <c:v>44721</c:v>
                </c:pt>
                <c:pt idx="13">
                  <c:v>44722</c:v>
                </c:pt>
                <c:pt idx="14">
                  <c:v>44723</c:v>
                </c:pt>
                <c:pt idx="15">
                  <c:v>44724</c:v>
                </c:pt>
                <c:pt idx="16">
                  <c:v>44725</c:v>
                </c:pt>
                <c:pt idx="17">
                  <c:v>44726</c:v>
                </c:pt>
                <c:pt idx="18">
                  <c:v>44727</c:v>
                </c:pt>
                <c:pt idx="19">
                  <c:v>44728</c:v>
                </c:pt>
                <c:pt idx="20">
                  <c:v>44729</c:v>
                </c:pt>
                <c:pt idx="21">
                  <c:v>44730</c:v>
                </c:pt>
                <c:pt idx="22">
                  <c:v>44731</c:v>
                </c:pt>
                <c:pt idx="23">
                  <c:v>44732</c:v>
                </c:pt>
                <c:pt idx="24">
                  <c:v>44733</c:v>
                </c:pt>
                <c:pt idx="25">
                  <c:v>44734</c:v>
                </c:pt>
                <c:pt idx="26">
                  <c:v>44735</c:v>
                </c:pt>
                <c:pt idx="27">
                  <c:v>44736</c:v>
                </c:pt>
                <c:pt idx="28">
                  <c:v>44737</c:v>
                </c:pt>
              </c:numCache>
            </c:numRef>
          </c:xVal>
          <c:yVal>
            <c:numRef>
              <c:f>skemA3!$D$43:$D$71</c:f>
              <c:numCache>
                <c:formatCode>0</c:formatCode>
                <c:ptCount val="29"/>
                <c:pt idx="0">
                  <c:v>247.70000000000027</c:v>
                </c:pt>
                <c:pt idx="1">
                  <c:v>270.19999999999959</c:v>
                </c:pt>
                <c:pt idx="2">
                  <c:v>355.09999999999968</c:v>
                </c:pt>
                <c:pt idx="3">
                  <c:v>468</c:v>
                </c:pt>
                <c:pt idx="4">
                  <c:v>597.29999999999995</c:v>
                </c:pt>
                <c:pt idx="5">
                  <c:v>728.7000000000005</c:v>
                </c:pt>
                <c:pt idx="6">
                  <c:v>791.50000000000023</c:v>
                </c:pt>
                <c:pt idx="7">
                  <c:v>783.95</c:v>
                </c:pt>
                <c:pt idx="8">
                  <c:v>801.90000000000032</c:v>
                </c:pt>
                <c:pt idx="9">
                  <c:v>750.59999999999991</c:v>
                </c:pt>
                <c:pt idx="10">
                  <c:v>656.89999999999986</c:v>
                </c:pt>
                <c:pt idx="11">
                  <c:v>532.29999999999995</c:v>
                </c:pt>
                <c:pt idx="12">
                  <c:v>414</c:v>
                </c:pt>
                <c:pt idx="13">
                  <c:v>313.50000000000045</c:v>
                </c:pt>
                <c:pt idx="14">
                  <c:v>209.10000000000014</c:v>
                </c:pt>
                <c:pt idx="15">
                  <c:v>161.30000000000018</c:v>
                </c:pt>
                <c:pt idx="16">
                  <c:v>247.29999999999995</c:v>
                </c:pt>
                <c:pt idx="17">
                  <c:v>393.19999999999982</c:v>
                </c:pt>
                <c:pt idx="18">
                  <c:v>582.5</c:v>
                </c:pt>
                <c:pt idx="19">
                  <c:v>823.59999999999991</c:v>
                </c:pt>
                <c:pt idx="20">
                  <c:v>958.60000000000036</c:v>
                </c:pt>
                <c:pt idx="21">
                  <c:v>965.09999999999991</c:v>
                </c:pt>
                <c:pt idx="22">
                  <c:v>901.29999999999973</c:v>
                </c:pt>
                <c:pt idx="23">
                  <c:v>748.39999999999964</c:v>
                </c:pt>
                <c:pt idx="24">
                  <c:v>605.89999999999986</c:v>
                </c:pt>
                <c:pt idx="25">
                  <c:v>483.70000000000027</c:v>
                </c:pt>
                <c:pt idx="26">
                  <c:v>324.00000000000068</c:v>
                </c:pt>
                <c:pt idx="27">
                  <c:v>247.2000000000005</c:v>
                </c:pt>
                <c:pt idx="28">
                  <c:v>210.69999999999959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F-4EF1-97BA-9AD9F5A8E088}"/>
            </c:ext>
          </c:extLst>
        </c:ser>
        <c:ser>
          <c:idx val="2"/>
          <c:order val="1"/>
          <c:marker>
            <c:symbol val="none"/>
          </c:marker>
          <c:xVal>
            <c:numRef>
              <c:f>skemA3!$B$43:$B$71</c:f>
              <c:numCache>
                <c:formatCode>dd\ mmmm\ yyyy</c:formatCode>
                <c:ptCount val="29"/>
                <c:pt idx="0">
                  <c:v>44709</c:v>
                </c:pt>
                <c:pt idx="1">
                  <c:v>44710</c:v>
                </c:pt>
                <c:pt idx="2">
                  <c:v>44711</c:v>
                </c:pt>
                <c:pt idx="3">
                  <c:v>44712</c:v>
                </c:pt>
                <c:pt idx="4">
                  <c:v>44713</c:v>
                </c:pt>
                <c:pt idx="5">
                  <c:v>44714</c:v>
                </c:pt>
                <c:pt idx="6">
                  <c:v>44715</c:v>
                </c:pt>
                <c:pt idx="7">
                  <c:v>44716</c:v>
                </c:pt>
                <c:pt idx="8">
                  <c:v>44717</c:v>
                </c:pt>
                <c:pt idx="9">
                  <c:v>44718</c:v>
                </c:pt>
                <c:pt idx="10">
                  <c:v>44719</c:v>
                </c:pt>
                <c:pt idx="11">
                  <c:v>44720</c:v>
                </c:pt>
                <c:pt idx="12">
                  <c:v>44721</c:v>
                </c:pt>
                <c:pt idx="13">
                  <c:v>44722</c:v>
                </c:pt>
                <c:pt idx="14">
                  <c:v>44723</c:v>
                </c:pt>
                <c:pt idx="15">
                  <c:v>44724</c:v>
                </c:pt>
                <c:pt idx="16">
                  <c:v>44725</c:v>
                </c:pt>
                <c:pt idx="17">
                  <c:v>44726</c:v>
                </c:pt>
                <c:pt idx="18">
                  <c:v>44727</c:v>
                </c:pt>
                <c:pt idx="19">
                  <c:v>44728</c:v>
                </c:pt>
                <c:pt idx="20">
                  <c:v>44729</c:v>
                </c:pt>
                <c:pt idx="21">
                  <c:v>44730</c:v>
                </c:pt>
                <c:pt idx="22">
                  <c:v>44731</c:v>
                </c:pt>
                <c:pt idx="23">
                  <c:v>44732</c:v>
                </c:pt>
                <c:pt idx="24">
                  <c:v>44733</c:v>
                </c:pt>
                <c:pt idx="25">
                  <c:v>44734</c:v>
                </c:pt>
                <c:pt idx="26">
                  <c:v>44735</c:v>
                </c:pt>
                <c:pt idx="27">
                  <c:v>44736</c:v>
                </c:pt>
                <c:pt idx="28">
                  <c:v>44737</c:v>
                </c:pt>
              </c:numCache>
            </c:numRef>
          </c:xVal>
          <c:yVal>
            <c:numRef>
              <c:f>skemA3!$E$43:$E$71</c:f>
              <c:numCache>
                <c:formatCode>0</c:formatCode>
                <c:ptCount val="29"/>
                <c:pt idx="0">
                  <c:v>529.30000000000018</c:v>
                </c:pt>
                <c:pt idx="1">
                  <c:v>371.99999999999977</c:v>
                </c:pt>
                <c:pt idx="2">
                  <c:v>355.89999999999986</c:v>
                </c:pt>
                <c:pt idx="3">
                  <c:v>316.59999999999945</c:v>
                </c:pt>
                <c:pt idx="4">
                  <c:v>328.90000000000032</c:v>
                </c:pt>
                <c:pt idx="5">
                  <c:v>422.10000000000036</c:v>
                </c:pt>
                <c:pt idx="6">
                  <c:v>521.09999999999968</c:v>
                </c:pt>
                <c:pt idx="7">
                  <c:v>654.94999999999982</c:v>
                </c:pt>
                <c:pt idx="8">
                  <c:v>793.5</c:v>
                </c:pt>
                <c:pt idx="9">
                  <c:v>925.2</c:v>
                </c:pt>
                <c:pt idx="10">
                  <c:v>980.69999999999982</c:v>
                </c:pt>
                <c:pt idx="11">
                  <c:v>1034.2999999999997</c:v>
                </c:pt>
                <c:pt idx="12">
                  <c:v>940.39999999999986</c:v>
                </c:pt>
                <c:pt idx="13">
                  <c:v>853.69999999999982</c:v>
                </c:pt>
                <c:pt idx="14">
                  <c:v>637.89999999999964</c:v>
                </c:pt>
                <c:pt idx="15">
                  <c:v>383.09999999999968</c:v>
                </c:pt>
                <c:pt idx="16">
                  <c:v>161.10000000000014</c:v>
                </c:pt>
                <c:pt idx="17">
                  <c:v>19.200000000000273</c:v>
                </c:pt>
                <c:pt idx="18">
                  <c:v>-1.7000000000002728</c:v>
                </c:pt>
                <c:pt idx="19">
                  <c:v>135</c:v>
                </c:pt>
                <c:pt idx="20">
                  <c:v>388.79999999999973</c:v>
                </c:pt>
                <c:pt idx="21">
                  <c:v>653.49999999999977</c:v>
                </c:pt>
                <c:pt idx="22">
                  <c:v>857.69999999999982</c:v>
                </c:pt>
                <c:pt idx="23">
                  <c:v>961.20000000000027</c:v>
                </c:pt>
                <c:pt idx="24">
                  <c:v>946.5</c:v>
                </c:pt>
                <c:pt idx="25">
                  <c:v>839.09999999999945</c:v>
                </c:pt>
                <c:pt idx="26">
                  <c:v>667.80000000000018</c:v>
                </c:pt>
                <c:pt idx="27">
                  <c:v>570.40000000000009</c:v>
                </c:pt>
                <c:pt idx="28">
                  <c:v>452.09999999999991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CF-4EF1-97BA-9AD9F5A8E088}"/>
            </c:ext>
          </c:extLst>
        </c:ser>
        <c:ser>
          <c:idx val="3"/>
          <c:order val="2"/>
          <c:marker>
            <c:symbol val="none"/>
          </c:marker>
          <c:xVal>
            <c:numRef>
              <c:f>skemA3!$B$43:$B$71</c:f>
              <c:numCache>
                <c:formatCode>dd\ mmmm\ yyyy</c:formatCode>
                <c:ptCount val="29"/>
                <c:pt idx="0">
                  <c:v>44709</c:v>
                </c:pt>
                <c:pt idx="1">
                  <c:v>44710</c:v>
                </c:pt>
                <c:pt idx="2">
                  <c:v>44711</c:v>
                </c:pt>
                <c:pt idx="3">
                  <c:v>44712</c:v>
                </c:pt>
                <c:pt idx="4">
                  <c:v>44713</c:v>
                </c:pt>
                <c:pt idx="5">
                  <c:v>44714</c:v>
                </c:pt>
                <c:pt idx="6">
                  <c:v>44715</c:v>
                </c:pt>
                <c:pt idx="7">
                  <c:v>44716</c:v>
                </c:pt>
                <c:pt idx="8">
                  <c:v>44717</c:v>
                </c:pt>
                <c:pt idx="9">
                  <c:v>44718</c:v>
                </c:pt>
                <c:pt idx="10">
                  <c:v>44719</c:v>
                </c:pt>
                <c:pt idx="11">
                  <c:v>44720</c:v>
                </c:pt>
                <c:pt idx="12">
                  <c:v>44721</c:v>
                </c:pt>
                <c:pt idx="13">
                  <c:v>44722</c:v>
                </c:pt>
                <c:pt idx="14">
                  <c:v>44723</c:v>
                </c:pt>
                <c:pt idx="15">
                  <c:v>44724</c:v>
                </c:pt>
                <c:pt idx="16">
                  <c:v>44725</c:v>
                </c:pt>
                <c:pt idx="17">
                  <c:v>44726</c:v>
                </c:pt>
                <c:pt idx="18">
                  <c:v>44727</c:v>
                </c:pt>
                <c:pt idx="19">
                  <c:v>44728</c:v>
                </c:pt>
                <c:pt idx="20">
                  <c:v>44729</c:v>
                </c:pt>
                <c:pt idx="21">
                  <c:v>44730</c:v>
                </c:pt>
                <c:pt idx="22">
                  <c:v>44731</c:v>
                </c:pt>
                <c:pt idx="23">
                  <c:v>44732</c:v>
                </c:pt>
                <c:pt idx="24">
                  <c:v>44733</c:v>
                </c:pt>
                <c:pt idx="25">
                  <c:v>44734</c:v>
                </c:pt>
                <c:pt idx="26">
                  <c:v>44735</c:v>
                </c:pt>
                <c:pt idx="27">
                  <c:v>44736</c:v>
                </c:pt>
                <c:pt idx="28">
                  <c:v>44737</c:v>
                </c:pt>
              </c:numCache>
            </c:numRef>
          </c:xVal>
          <c:yVal>
            <c:numRef>
              <c:f>skemA3!$F$43:$F$71</c:f>
              <c:numCache>
                <c:formatCode>0</c:formatCode>
                <c:ptCount val="29"/>
                <c:pt idx="0">
                  <c:v>248.89999999999941</c:v>
                </c:pt>
                <c:pt idx="1">
                  <c:v>34.800000000000182</c:v>
                </c:pt>
                <c:pt idx="2">
                  <c:v>-95.099999999999454</c:v>
                </c:pt>
                <c:pt idx="3">
                  <c:v>-103.00000000000023</c:v>
                </c:pt>
                <c:pt idx="4">
                  <c:v>-52.900000000000318</c:v>
                </c:pt>
                <c:pt idx="5">
                  <c:v>99.499999999999773</c:v>
                </c:pt>
                <c:pt idx="6">
                  <c:v>304.89999999999986</c:v>
                </c:pt>
                <c:pt idx="7">
                  <c:v>484.14999999999986</c:v>
                </c:pt>
                <c:pt idx="8">
                  <c:v>652.50000000000023</c:v>
                </c:pt>
                <c:pt idx="9">
                  <c:v>818.59999999999968</c:v>
                </c:pt>
                <c:pt idx="10">
                  <c:v>939.49999999999955</c:v>
                </c:pt>
                <c:pt idx="11">
                  <c:v>1026.5000000000005</c:v>
                </c:pt>
                <c:pt idx="12">
                  <c:v>1005.0000000000005</c:v>
                </c:pt>
                <c:pt idx="13">
                  <c:v>950.49999999999955</c:v>
                </c:pt>
                <c:pt idx="14">
                  <c:v>742.89999999999964</c:v>
                </c:pt>
                <c:pt idx="15">
                  <c:v>493.29999999999995</c:v>
                </c:pt>
                <c:pt idx="16">
                  <c:v>269.30000000000018</c:v>
                </c:pt>
                <c:pt idx="17">
                  <c:v>129.59999999999968</c:v>
                </c:pt>
                <c:pt idx="18">
                  <c:v>71.499999999999545</c:v>
                </c:pt>
                <c:pt idx="19">
                  <c:v>89.600000000000136</c:v>
                </c:pt>
                <c:pt idx="20">
                  <c:v>233.20000000000005</c:v>
                </c:pt>
                <c:pt idx="21">
                  <c:v>463.69999999999982</c:v>
                </c:pt>
                <c:pt idx="22">
                  <c:v>676.89999999999964</c:v>
                </c:pt>
                <c:pt idx="23">
                  <c:v>928.2</c:v>
                </c:pt>
                <c:pt idx="24">
                  <c:v>1127.9000000000003</c:v>
                </c:pt>
                <c:pt idx="25">
                  <c:v>1245.2999999999995</c:v>
                </c:pt>
                <c:pt idx="26">
                  <c:v>1213.8000000000002</c:v>
                </c:pt>
                <c:pt idx="27">
                  <c:v>1079.6000000000001</c:v>
                </c:pt>
                <c:pt idx="28">
                  <c:v>868.89999999999964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CF-4EF1-97BA-9AD9F5A8E088}"/>
            </c:ext>
          </c:extLst>
        </c:ser>
        <c:ser>
          <c:idx val="4"/>
          <c:order val="3"/>
          <c:marker>
            <c:symbol val="none"/>
          </c:marker>
          <c:xVal>
            <c:numRef>
              <c:f>skemA3!$B$43:$B$71</c:f>
              <c:numCache>
                <c:formatCode>dd\ mmmm\ yyyy</c:formatCode>
                <c:ptCount val="29"/>
                <c:pt idx="0">
                  <c:v>44709</c:v>
                </c:pt>
                <c:pt idx="1">
                  <c:v>44710</c:v>
                </c:pt>
                <c:pt idx="2">
                  <c:v>44711</c:v>
                </c:pt>
                <c:pt idx="3">
                  <c:v>44712</c:v>
                </c:pt>
                <c:pt idx="4">
                  <c:v>44713</c:v>
                </c:pt>
                <c:pt idx="5">
                  <c:v>44714</c:v>
                </c:pt>
                <c:pt idx="6">
                  <c:v>44715</c:v>
                </c:pt>
                <c:pt idx="7">
                  <c:v>44716</c:v>
                </c:pt>
                <c:pt idx="8">
                  <c:v>44717</c:v>
                </c:pt>
                <c:pt idx="9">
                  <c:v>44718</c:v>
                </c:pt>
                <c:pt idx="10">
                  <c:v>44719</c:v>
                </c:pt>
                <c:pt idx="11">
                  <c:v>44720</c:v>
                </c:pt>
                <c:pt idx="12">
                  <c:v>44721</c:v>
                </c:pt>
                <c:pt idx="13">
                  <c:v>44722</c:v>
                </c:pt>
                <c:pt idx="14">
                  <c:v>44723</c:v>
                </c:pt>
                <c:pt idx="15">
                  <c:v>44724</c:v>
                </c:pt>
                <c:pt idx="16">
                  <c:v>44725</c:v>
                </c:pt>
                <c:pt idx="17">
                  <c:v>44726</c:v>
                </c:pt>
                <c:pt idx="18">
                  <c:v>44727</c:v>
                </c:pt>
                <c:pt idx="19">
                  <c:v>44728</c:v>
                </c:pt>
                <c:pt idx="20">
                  <c:v>44729</c:v>
                </c:pt>
                <c:pt idx="21">
                  <c:v>44730</c:v>
                </c:pt>
                <c:pt idx="22">
                  <c:v>44731</c:v>
                </c:pt>
                <c:pt idx="23">
                  <c:v>44732</c:v>
                </c:pt>
                <c:pt idx="24">
                  <c:v>44733</c:v>
                </c:pt>
                <c:pt idx="25">
                  <c:v>44734</c:v>
                </c:pt>
                <c:pt idx="26">
                  <c:v>44735</c:v>
                </c:pt>
                <c:pt idx="27">
                  <c:v>44736</c:v>
                </c:pt>
                <c:pt idx="28">
                  <c:v>44737</c:v>
                </c:pt>
              </c:numCache>
            </c:numRef>
          </c:xVal>
          <c:yVal>
            <c:numRef>
              <c:f>skemA3!$G$43:$G$71</c:f>
              <c:numCache>
                <c:formatCode>0</c:formatCode>
                <c:ptCount val="29"/>
                <c:pt idx="0">
                  <c:v>1407.3</c:v>
                </c:pt>
                <c:pt idx="1">
                  <c:v>1257.5999999999999</c:v>
                </c:pt>
                <c:pt idx="2">
                  <c:v>1044.6999999999998</c:v>
                </c:pt>
                <c:pt idx="3">
                  <c:v>776</c:v>
                </c:pt>
                <c:pt idx="4">
                  <c:v>554.50000000000023</c:v>
                </c:pt>
                <c:pt idx="5">
                  <c:v>362.5</c:v>
                </c:pt>
                <c:pt idx="6">
                  <c:v>260.30000000000018</c:v>
                </c:pt>
                <c:pt idx="7">
                  <c:v>188.15000000000032</c:v>
                </c:pt>
                <c:pt idx="8">
                  <c:v>212.69999999999982</c:v>
                </c:pt>
                <c:pt idx="9">
                  <c:v>295.19999999999959</c:v>
                </c:pt>
                <c:pt idx="10">
                  <c:v>434.09999999999991</c:v>
                </c:pt>
                <c:pt idx="11">
                  <c:v>661.49999999999955</c:v>
                </c:pt>
                <c:pt idx="12">
                  <c:v>906.19999999999982</c:v>
                </c:pt>
                <c:pt idx="13">
                  <c:v>1157.7</c:v>
                </c:pt>
                <c:pt idx="14">
                  <c:v>1331.3000000000004</c:v>
                </c:pt>
                <c:pt idx="15">
                  <c:v>1432.9000000000003</c:v>
                </c:pt>
                <c:pt idx="16">
                  <c:v>1343.5000000000005</c:v>
                </c:pt>
                <c:pt idx="17">
                  <c:v>1151.7999999999995</c:v>
                </c:pt>
                <c:pt idx="18">
                  <c:v>893.50000000000023</c:v>
                </c:pt>
                <c:pt idx="19">
                  <c:v>651.39999999999986</c:v>
                </c:pt>
                <c:pt idx="20">
                  <c:v>395.00000000000045</c:v>
                </c:pt>
                <c:pt idx="21">
                  <c:v>237.5</c:v>
                </c:pt>
                <c:pt idx="22">
                  <c:v>131.70000000000027</c:v>
                </c:pt>
                <c:pt idx="23">
                  <c:v>188.00000000000023</c:v>
                </c:pt>
                <c:pt idx="24">
                  <c:v>382.10000000000036</c:v>
                </c:pt>
                <c:pt idx="25">
                  <c:v>643.30000000000041</c:v>
                </c:pt>
                <c:pt idx="26">
                  <c:v>928.60000000000014</c:v>
                </c:pt>
                <c:pt idx="27">
                  <c:v>1174.0000000000002</c:v>
                </c:pt>
                <c:pt idx="28">
                  <c:v>1346.4999999999998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CF-4EF1-97BA-9AD9F5A8E088}"/>
            </c:ext>
          </c:extLst>
        </c:ser>
        <c:ser>
          <c:idx val="5"/>
          <c:order val="4"/>
          <c:marker>
            <c:symbol val="none"/>
          </c:marker>
          <c:xVal>
            <c:numRef>
              <c:f>skemA3!$B$43:$B$71</c:f>
              <c:numCache>
                <c:formatCode>dd\ mmmm\ yyyy</c:formatCode>
                <c:ptCount val="29"/>
                <c:pt idx="0">
                  <c:v>44709</c:v>
                </c:pt>
                <c:pt idx="1">
                  <c:v>44710</c:v>
                </c:pt>
                <c:pt idx="2">
                  <c:v>44711</c:v>
                </c:pt>
                <c:pt idx="3">
                  <c:v>44712</c:v>
                </c:pt>
                <c:pt idx="4">
                  <c:v>44713</c:v>
                </c:pt>
                <c:pt idx="5">
                  <c:v>44714</c:v>
                </c:pt>
                <c:pt idx="6">
                  <c:v>44715</c:v>
                </c:pt>
                <c:pt idx="7">
                  <c:v>44716</c:v>
                </c:pt>
                <c:pt idx="8">
                  <c:v>44717</c:v>
                </c:pt>
                <c:pt idx="9">
                  <c:v>44718</c:v>
                </c:pt>
                <c:pt idx="10">
                  <c:v>44719</c:v>
                </c:pt>
                <c:pt idx="11">
                  <c:v>44720</c:v>
                </c:pt>
                <c:pt idx="12">
                  <c:v>44721</c:v>
                </c:pt>
                <c:pt idx="13">
                  <c:v>44722</c:v>
                </c:pt>
                <c:pt idx="14">
                  <c:v>44723</c:v>
                </c:pt>
                <c:pt idx="15">
                  <c:v>44724</c:v>
                </c:pt>
                <c:pt idx="16">
                  <c:v>44725</c:v>
                </c:pt>
                <c:pt idx="17">
                  <c:v>44726</c:v>
                </c:pt>
                <c:pt idx="18">
                  <c:v>44727</c:v>
                </c:pt>
                <c:pt idx="19">
                  <c:v>44728</c:v>
                </c:pt>
                <c:pt idx="20">
                  <c:v>44729</c:v>
                </c:pt>
                <c:pt idx="21">
                  <c:v>44730</c:v>
                </c:pt>
                <c:pt idx="22">
                  <c:v>44731</c:v>
                </c:pt>
                <c:pt idx="23">
                  <c:v>44732</c:v>
                </c:pt>
                <c:pt idx="24">
                  <c:v>44733</c:v>
                </c:pt>
                <c:pt idx="25">
                  <c:v>44734</c:v>
                </c:pt>
                <c:pt idx="26">
                  <c:v>44735</c:v>
                </c:pt>
                <c:pt idx="27">
                  <c:v>44736</c:v>
                </c:pt>
                <c:pt idx="28">
                  <c:v>44737</c:v>
                </c:pt>
              </c:numCache>
            </c:numRef>
          </c:xVal>
          <c:yVal>
            <c:numRef>
              <c:f>skemA3!$H$43:$H$71</c:f>
              <c:numCache>
                <c:formatCode>0</c:formatCode>
                <c:ptCount val="29"/>
                <c:pt idx="0">
                  <c:v>70.199999999999818</c:v>
                </c:pt>
                <c:pt idx="1">
                  <c:v>65.400000000000091</c:v>
                </c:pt>
                <c:pt idx="2">
                  <c:v>65.600000000000136</c:v>
                </c:pt>
                <c:pt idx="3">
                  <c:v>88.499999999999773</c:v>
                </c:pt>
                <c:pt idx="4">
                  <c:v>92.900000000000318</c:v>
                </c:pt>
                <c:pt idx="5">
                  <c:v>103.20000000000027</c:v>
                </c:pt>
                <c:pt idx="6">
                  <c:v>99.200000000000045</c:v>
                </c:pt>
                <c:pt idx="7">
                  <c:v>102.30000000000018</c:v>
                </c:pt>
                <c:pt idx="8">
                  <c:v>101.50000000000023</c:v>
                </c:pt>
                <c:pt idx="9">
                  <c:v>109.99999999999977</c:v>
                </c:pt>
                <c:pt idx="10">
                  <c:v>98.900000000000091</c:v>
                </c:pt>
                <c:pt idx="11">
                  <c:v>88.700000000000045</c:v>
                </c:pt>
                <c:pt idx="12">
                  <c:v>105.5</c:v>
                </c:pt>
                <c:pt idx="13">
                  <c:v>90.300000000000182</c:v>
                </c:pt>
                <c:pt idx="14">
                  <c:v>109.10000000000036</c:v>
                </c:pt>
                <c:pt idx="15">
                  <c:v>105.80000000000018</c:v>
                </c:pt>
                <c:pt idx="16">
                  <c:v>90.700000000000045</c:v>
                </c:pt>
                <c:pt idx="17">
                  <c:v>74.599999999999909</c:v>
                </c:pt>
                <c:pt idx="18">
                  <c:v>82.000000000000227</c:v>
                </c:pt>
                <c:pt idx="19">
                  <c:v>109.70000000000005</c:v>
                </c:pt>
                <c:pt idx="20">
                  <c:v>106.70000000000005</c:v>
                </c:pt>
                <c:pt idx="21">
                  <c:v>119.10000000000014</c:v>
                </c:pt>
                <c:pt idx="22">
                  <c:v>125.80000000000018</c:v>
                </c:pt>
                <c:pt idx="23">
                  <c:v>106.70000000000005</c:v>
                </c:pt>
                <c:pt idx="24">
                  <c:v>86.200000000000273</c:v>
                </c:pt>
                <c:pt idx="25">
                  <c:v>108.09999999999991</c:v>
                </c:pt>
                <c:pt idx="26">
                  <c:v>93.700000000000273</c:v>
                </c:pt>
                <c:pt idx="27">
                  <c:v>112.99999999999977</c:v>
                </c:pt>
                <c:pt idx="28">
                  <c:v>94.299999999999955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CF-4EF1-97BA-9AD9F5A8E088}"/>
            </c:ext>
          </c:extLst>
        </c:ser>
        <c:ser>
          <c:idx val="6"/>
          <c:order val="5"/>
          <c:marker>
            <c:symbol val="none"/>
          </c:marker>
          <c:xVal>
            <c:numRef>
              <c:f>skemA3!$B$43:$B$71</c:f>
              <c:numCache>
                <c:formatCode>dd\ mmmm\ yyyy</c:formatCode>
                <c:ptCount val="29"/>
                <c:pt idx="0">
                  <c:v>44709</c:v>
                </c:pt>
                <c:pt idx="1">
                  <c:v>44710</c:v>
                </c:pt>
                <c:pt idx="2">
                  <c:v>44711</c:v>
                </c:pt>
                <c:pt idx="3">
                  <c:v>44712</c:v>
                </c:pt>
                <c:pt idx="4">
                  <c:v>44713</c:v>
                </c:pt>
                <c:pt idx="5">
                  <c:v>44714</c:v>
                </c:pt>
                <c:pt idx="6">
                  <c:v>44715</c:v>
                </c:pt>
                <c:pt idx="7">
                  <c:v>44716</c:v>
                </c:pt>
                <c:pt idx="8">
                  <c:v>44717</c:v>
                </c:pt>
                <c:pt idx="9">
                  <c:v>44718</c:v>
                </c:pt>
                <c:pt idx="10">
                  <c:v>44719</c:v>
                </c:pt>
                <c:pt idx="11">
                  <c:v>44720</c:v>
                </c:pt>
                <c:pt idx="12">
                  <c:v>44721</c:v>
                </c:pt>
                <c:pt idx="13">
                  <c:v>44722</c:v>
                </c:pt>
                <c:pt idx="14">
                  <c:v>44723</c:v>
                </c:pt>
                <c:pt idx="15">
                  <c:v>44724</c:v>
                </c:pt>
                <c:pt idx="16">
                  <c:v>44725</c:v>
                </c:pt>
                <c:pt idx="17">
                  <c:v>44726</c:v>
                </c:pt>
                <c:pt idx="18">
                  <c:v>44727</c:v>
                </c:pt>
                <c:pt idx="19">
                  <c:v>44728</c:v>
                </c:pt>
                <c:pt idx="20">
                  <c:v>44729</c:v>
                </c:pt>
                <c:pt idx="21">
                  <c:v>44730</c:v>
                </c:pt>
                <c:pt idx="22">
                  <c:v>44731</c:v>
                </c:pt>
                <c:pt idx="23">
                  <c:v>44732</c:v>
                </c:pt>
                <c:pt idx="24">
                  <c:v>44733</c:v>
                </c:pt>
                <c:pt idx="25">
                  <c:v>44734</c:v>
                </c:pt>
                <c:pt idx="26">
                  <c:v>44735</c:v>
                </c:pt>
                <c:pt idx="27">
                  <c:v>44736</c:v>
                </c:pt>
                <c:pt idx="28">
                  <c:v>44737</c:v>
                </c:pt>
              </c:numCache>
            </c:numRef>
          </c:xVal>
          <c:yVal>
            <c:numRef>
              <c:f>skemA3!$I$43:$I$71</c:f>
              <c:numCache>
                <c:formatCode>0</c:formatCode>
                <c:ptCount val="29"/>
                <c:pt idx="0">
                  <c:v>232.09999999999945</c:v>
                </c:pt>
                <c:pt idx="1">
                  <c:v>230.60000000000014</c:v>
                </c:pt>
                <c:pt idx="2">
                  <c:v>215.7000000000005</c:v>
                </c:pt>
                <c:pt idx="3">
                  <c:v>182.80000000000041</c:v>
                </c:pt>
                <c:pt idx="4">
                  <c:v>196.70000000000027</c:v>
                </c:pt>
                <c:pt idx="5">
                  <c:v>147.29999999999995</c:v>
                </c:pt>
                <c:pt idx="6">
                  <c:v>161.29999999999995</c:v>
                </c:pt>
                <c:pt idx="7">
                  <c:v>182.34999999999968</c:v>
                </c:pt>
                <c:pt idx="8">
                  <c:v>165.29999999999973</c:v>
                </c:pt>
                <c:pt idx="9">
                  <c:v>176.79999999999995</c:v>
                </c:pt>
                <c:pt idx="10">
                  <c:v>192.09999999999991</c:v>
                </c:pt>
                <c:pt idx="11">
                  <c:v>192.09999999999991</c:v>
                </c:pt>
                <c:pt idx="12">
                  <c:v>191.40000000000009</c:v>
                </c:pt>
                <c:pt idx="13">
                  <c:v>203.50000000000023</c:v>
                </c:pt>
                <c:pt idx="14">
                  <c:v>224.10000000000014</c:v>
                </c:pt>
                <c:pt idx="15">
                  <c:v>235.09999999999991</c:v>
                </c:pt>
                <c:pt idx="16">
                  <c:v>255.09999999999991</c:v>
                </c:pt>
                <c:pt idx="17">
                  <c:v>230.80000000000041</c:v>
                </c:pt>
                <c:pt idx="18">
                  <c:v>197.69999999999982</c:v>
                </c:pt>
                <c:pt idx="19">
                  <c:v>193.80000000000018</c:v>
                </c:pt>
                <c:pt idx="20">
                  <c:v>191.79999999999995</c:v>
                </c:pt>
                <c:pt idx="21">
                  <c:v>154.50000000000045</c:v>
                </c:pt>
                <c:pt idx="22">
                  <c:v>199.70000000000027</c:v>
                </c:pt>
                <c:pt idx="23">
                  <c:v>214.59999999999945</c:v>
                </c:pt>
                <c:pt idx="24">
                  <c:v>204.10000000000036</c:v>
                </c:pt>
                <c:pt idx="25">
                  <c:v>182.70000000000027</c:v>
                </c:pt>
                <c:pt idx="26">
                  <c:v>206.39999999999986</c:v>
                </c:pt>
                <c:pt idx="27">
                  <c:v>196.7999999999995</c:v>
                </c:pt>
                <c:pt idx="28">
                  <c:v>246.30000000000018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CF-4EF1-97BA-9AD9F5A8E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26688"/>
        <c:axId val="163428224"/>
      </c:scatterChart>
      <c:valAx>
        <c:axId val="163426688"/>
        <c:scaling>
          <c:orientation val="minMax"/>
        </c:scaling>
        <c:delete val="0"/>
        <c:axPos val="b"/>
        <c:numFmt formatCode="dd\ mmmm\ yyyy" sourceLinked="1"/>
        <c:majorTickMark val="out"/>
        <c:minorTickMark val="none"/>
        <c:tickLblPos val="nextTo"/>
        <c:crossAx val="163428224"/>
        <c:crosses val="autoZero"/>
        <c:crossBetween val="midCat"/>
      </c:valAx>
      <c:valAx>
        <c:axId val="1634282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3426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baseline="0">
                <a:effectLst/>
              </a:rPr>
              <a:t>Grafik Pengamatan Pasang Surut 29 Hari</a:t>
            </a:r>
            <a:endParaRPr lang="en-US" sz="1400">
              <a:effectLst/>
            </a:endParaRPr>
          </a:p>
          <a:p>
            <a:pPr algn="ctr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 sz="1100" b="1" i="0" baseline="0">
                <a:effectLst/>
              </a:rPr>
              <a:t>Pantai Sanur,</a:t>
            </a:r>
            <a:r>
              <a:rPr lang="en-US" sz="1100" b="1" i="0" baseline="0">
                <a:effectLst/>
              </a:rPr>
              <a:t> 17</a:t>
            </a:r>
            <a:r>
              <a:rPr lang="id-ID" sz="1100" b="1" i="0" baseline="0">
                <a:effectLst/>
              </a:rPr>
              <a:t> </a:t>
            </a:r>
            <a:r>
              <a:rPr lang="en-ID" sz="1100" b="1" i="0" baseline="0">
                <a:effectLst/>
              </a:rPr>
              <a:t>Januari - 14 Februari </a:t>
            </a:r>
            <a:r>
              <a:rPr lang="en-US" sz="1100" b="1" i="0" baseline="0">
                <a:effectLst/>
              </a:rPr>
              <a:t>20</a:t>
            </a:r>
            <a:r>
              <a:rPr lang="en-ID" sz="1100" b="1" i="0" baseline="0">
                <a:effectLst/>
              </a:rPr>
              <a:t>21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4179002159608762"/>
          <c:y val="3.01838222080060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167737183275756E-2"/>
          <c:y val="0.19291381848648492"/>
          <c:w val="0.80036579933600505"/>
          <c:h val="0.60105121678102102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'data asli x100'!$B$8:$B$703</c:f>
              <c:numCache>
                <c:formatCode>m/d/yyyy\ h:mm</c:formatCode>
                <c:ptCount val="696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</c:numCache>
            </c:numRef>
          </c:xVal>
          <c:yVal>
            <c:numRef>
              <c:f>'data asli x100'!$C$8:$C$703</c:f>
              <c:numCache>
                <c:formatCode>0.00</c:formatCode>
                <c:ptCount val="696"/>
                <c:pt idx="0">
                  <c:v>136</c:v>
                </c:pt>
                <c:pt idx="1">
                  <c:v>165.5</c:v>
                </c:pt>
                <c:pt idx="2">
                  <c:v>198.3</c:v>
                </c:pt>
                <c:pt idx="3">
                  <c:v>224.7</c:v>
                </c:pt>
                <c:pt idx="4">
                  <c:v>239</c:v>
                </c:pt>
                <c:pt idx="5">
                  <c:v>243.00000000000003</c:v>
                </c:pt>
                <c:pt idx="6">
                  <c:v>231.70000000000002</c:v>
                </c:pt>
                <c:pt idx="7">
                  <c:v>212.1</c:v>
                </c:pt>
                <c:pt idx="8">
                  <c:v>188.39999999999998</c:v>
                </c:pt>
                <c:pt idx="9">
                  <c:v>163.69999999999999</c:v>
                </c:pt>
                <c:pt idx="10">
                  <c:v>145.4</c:v>
                </c:pt>
                <c:pt idx="11">
                  <c:v>135.4</c:v>
                </c:pt>
                <c:pt idx="12">
                  <c:v>142</c:v>
                </c:pt>
                <c:pt idx="13">
                  <c:v>156.1</c:v>
                </c:pt>
                <c:pt idx="14">
                  <c:v>173.10000000000002</c:v>
                </c:pt>
                <c:pt idx="15">
                  <c:v>188.9</c:v>
                </c:pt>
                <c:pt idx="16">
                  <c:v>194.9</c:v>
                </c:pt>
                <c:pt idx="17">
                  <c:v>190</c:v>
                </c:pt>
                <c:pt idx="18">
                  <c:v>173.3</c:v>
                </c:pt>
                <c:pt idx="19">
                  <c:v>155</c:v>
                </c:pt>
                <c:pt idx="20">
                  <c:v>132.4</c:v>
                </c:pt>
                <c:pt idx="21">
                  <c:v>110.80000000000001</c:v>
                </c:pt>
                <c:pt idx="22">
                  <c:v>96.899999999999991</c:v>
                </c:pt>
                <c:pt idx="23">
                  <c:v>99.1</c:v>
                </c:pt>
                <c:pt idx="24">
                  <c:v>113.79999999999998</c:v>
                </c:pt>
                <c:pt idx="25">
                  <c:v>143.9</c:v>
                </c:pt>
                <c:pt idx="26">
                  <c:v>184.7</c:v>
                </c:pt>
                <c:pt idx="27">
                  <c:v>222.29999999999998</c:v>
                </c:pt>
                <c:pt idx="28">
                  <c:v>249.10000000000002</c:v>
                </c:pt>
                <c:pt idx="29">
                  <c:v>258.10000000000002</c:v>
                </c:pt>
                <c:pt idx="30">
                  <c:v>251.9</c:v>
                </c:pt>
                <c:pt idx="31">
                  <c:v>232.6</c:v>
                </c:pt>
                <c:pt idx="32">
                  <c:v>202.4</c:v>
                </c:pt>
                <c:pt idx="33">
                  <c:v>171.9</c:v>
                </c:pt>
                <c:pt idx="34">
                  <c:v>144.1</c:v>
                </c:pt>
                <c:pt idx="35">
                  <c:v>125.29999999999998</c:v>
                </c:pt>
                <c:pt idx="36">
                  <c:v>123.2</c:v>
                </c:pt>
                <c:pt idx="37">
                  <c:v>133.20000000000002</c:v>
                </c:pt>
                <c:pt idx="38">
                  <c:v>150</c:v>
                </c:pt>
                <c:pt idx="39">
                  <c:v>169.3</c:v>
                </c:pt>
                <c:pt idx="40">
                  <c:v>183.29999999999998</c:v>
                </c:pt>
                <c:pt idx="41">
                  <c:v>184</c:v>
                </c:pt>
                <c:pt idx="42">
                  <c:v>174.2</c:v>
                </c:pt>
                <c:pt idx="43">
                  <c:v>158.29999999999998</c:v>
                </c:pt>
                <c:pt idx="44">
                  <c:v>133.20000000000002</c:v>
                </c:pt>
                <c:pt idx="45">
                  <c:v>106.69999999999999</c:v>
                </c:pt>
                <c:pt idx="46">
                  <c:v>81.3</c:v>
                </c:pt>
                <c:pt idx="47">
                  <c:v>75.400000000000006</c:v>
                </c:pt>
                <c:pt idx="48">
                  <c:v>90.600000000000009</c:v>
                </c:pt>
                <c:pt idx="49">
                  <c:v>123.10000000000001</c:v>
                </c:pt>
                <c:pt idx="50">
                  <c:v>162.69999999999999</c:v>
                </c:pt>
                <c:pt idx="51">
                  <c:v>205.50000000000003</c:v>
                </c:pt>
                <c:pt idx="52">
                  <c:v>245.6</c:v>
                </c:pt>
                <c:pt idx="53">
                  <c:v>271.39999999999998</c:v>
                </c:pt>
                <c:pt idx="54">
                  <c:v>272.8</c:v>
                </c:pt>
                <c:pt idx="55">
                  <c:v>255.20000000000002</c:v>
                </c:pt>
                <c:pt idx="56">
                  <c:v>222.8</c:v>
                </c:pt>
                <c:pt idx="57">
                  <c:v>182.8</c:v>
                </c:pt>
                <c:pt idx="58">
                  <c:v>148.5</c:v>
                </c:pt>
                <c:pt idx="59">
                  <c:v>122</c:v>
                </c:pt>
                <c:pt idx="60">
                  <c:v>113.6</c:v>
                </c:pt>
                <c:pt idx="61">
                  <c:v>123.4</c:v>
                </c:pt>
                <c:pt idx="62">
                  <c:v>143.4</c:v>
                </c:pt>
                <c:pt idx="63">
                  <c:v>164.1</c:v>
                </c:pt>
                <c:pt idx="64">
                  <c:v>177.8</c:v>
                </c:pt>
                <c:pt idx="65">
                  <c:v>182.1</c:v>
                </c:pt>
                <c:pt idx="66">
                  <c:v>178.7</c:v>
                </c:pt>
                <c:pt idx="67">
                  <c:v>162.60000000000002</c:v>
                </c:pt>
                <c:pt idx="68">
                  <c:v>139.9</c:v>
                </c:pt>
                <c:pt idx="69">
                  <c:v>114.6</c:v>
                </c:pt>
                <c:pt idx="70">
                  <c:v>88.5</c:v>
                </c:pt>
                <c:pt idx="71">
                  <c:v>70.199999999999989</c:v>
                </c:pt>
                <c:pt idx="72">
                  <c:v>74.3</c:v>
                </c:pt>
                <c:pt idx="73">
                  <c:v>100.89999999999999</c:v>
                </c:pt>
                <c:pt idx="74">
                  <c:v>139.5</c:v>
                </c:pt>
                <c:pt idx="75">
                  <c:v>188.39999999999998</c:v>
                </c:pt>
                <c:pt idx="76">
                  <c:v>235.2</c:v>
                </c:pt>
                <c:pt idx="77">
                  <c:v>269.60000000000002</c:v>
                </c:pt>
                <c:pt idx="78">
                  <c:v>281.5</c:v>
                </c:pt>
                <c:pt idx="79">
                  <c:v>273.8</c:v>
                </c:pt>
                <c:pt idx="80">
                  <c:v>246</c:v>
                </c:pt>
                <c:pt idx="81">
                  <c:v>202.8</c:v>
                </c:pt>
                <c:pt idx="82">
                  <c:v>165.3</c:v>
                </c:pt>
                <c:pt idx="83">
                  <c:v>134.5</c:v>
                </c:pt>
                <c:pt idx="84">
                  <c:v>118</c:v>
                </c:pt>
                <c:pt idx="85">
                  <c:v>115.19999999999999</c:v>
                </c:pt>
                <c:pt idx="86">
                  <c:v>126.1</c:v>
                </c:pt>
                <c:pt idx="87">
                  <c:v>147</c:v>
                </c:pt>
                <c:pt idx="88">
                  <c:v>166.79999999999998</c:v>
                </c:pt>
                <c:pt idx="89">
                  <c:v>177.1</c:v>
                </c:pt>
                <c:pt idx="90">
                  <c:v>176.5</c:v>
                </c:pt>
                <c:pt idx="91">
                  <c:v>165.3</c:v>
                </c:pt>
                <c:pt idx="92">
                  <c:v>144.4</c:v>
                </c:pt>
                <c:pt idx="93">
                  <c:v>122.6</c:v>
                </c:pt>
                <c:pt idx="94">
                  <c:v>95.6</c:v>
                </c:pt>
                <c:pt idx="95">
                  <c:v>73.8</c:v>
                </c:pt>
                <c:pt idx="96">
                  <c:v>68.7</c:v>
                </c:pt>
                <c:pt idx="97">
                  <c:v>86.4</c:v>
                </c:pt>
                <c:pt idx="98">
                  <c:v>124.6</c:v>
                </c:pt>
                <c:pt idx="99">
                  <c:v>170.1</c:v>
                </c:pt>
                <c:pt idx="100">
                  <c:v>219.3</c:v>
                </c:pt>
                <c:pt idx="101">
                  <c:v>259.5</c:v>
                </c:pt>
                <c:pt idx="102">
                  <c:v>281.8</c:v>
                </c:pt>
                <c:pt idx="103">
                  <c:v>284</c:v>
                </c:pt>
                <c:pt idx="104">
                  <c:v>265.7</c:v>
                </c:pt>
                <c:pt idx="105">
                  <c:v>228.79999999999998</c:v>
                </c:pt>
                <c:pt idx="106">
                  <c:v>188.2</c:v>
                </c:pt>
                <c:pt idx="107">
                  <c:v>151.5</c:v>
                </c:pt>
                <c:pt idx="108">
                  <c:v>127</c:v>
                </c:pt>
                <c:pt idx="109">
                  <c:v>116.9</c:v>
                </c:pt>
                <c:pt idx="110">
                  <c:v>122.50000000000001</c:v>
                </c:pt>
                <c:pt idx="111">
                  <c:v>137.5</c:v>
                </c:pt>
                <c:pt idx="112">
                  <c:v>159.4</c:v>
                </c:pt>
                <c:pt idx="113">
                  <c:v>178.4</c:v>
                </c:pt>
                <c:pt idx="114">
                  <c:v>183.9</c:v>
                </c:pt>
                <c:pt idx="115">
                  <c:v>174.5</c:v>
                </c:pt>
                <c:pt idx="116">
                  <c:v>155.4</c:v>
                </c:pt>
                <c:pt idx="117">
                  <c:v>129.5</c:v>
                </c:pt>
                <c:pt idx="118">
                  <c:v>96.3</c:v>
                </c:pt>
                <c:pt idx="119">
                  <c:v>76.2</c:v>
                </c:pt>
                <c:pt idx="120">
                  <c:v>65.8</c:v>
                </c:pt>
                <c:pt idx="121">
                  <c:v>75</c:v>
                </c:pt>
                <c:pt idx="122">
                  <c:v>106.1</c:v>
                </c:pt>
                <c:pt idx="123">
                  <c:v>149.30000000000001</c:v>
                </c:pt>
                <c:pt idx="124">
                  <c:v>199.9</c:v>
                </c:pt>
                <c:pt idx="125">
                  <c:v>243.5</c:v>
                </c:pt>
                <c:pt idx="126">
                  <c:v>274.5</c:v>
                </c:pt>
                <c:pt idx="127">
                  <c:v>284.60000000000002</c:v>
                </c:pt>
                <c:pt idx="128">
                  <c:v>275.8</c:v>
                </c:pt>
                <c:pt idx="129">
                  <c:v>250.59999999999997</c:v>
                </c:pt>
                <c:pt idx="130">
                  <c:v>212.3</c:v>
                </c:pt>
                <c:pt idx="131">
                  <c:v>174.9</c:v>
                </c:pt>
                <c:pt idx="132">
                  <c:v>142.9</c:v>
                </c:pt>
                <c:pt idx="133">
                  <c:v>126.1</c:v>
                </c:pt>
                <c:pt idx="134">
                  <c:v>123.10000000000001</c:v>
                </c:pt>
                <c:pt idx="135">
                  <c:v>137.20000000000002</c:v>
                </c:pt>
                <c:pt idx="136">
                  <c:v>158.80000000000001</c:v>
                </c:pt>
                <c:pt idx="137">
                  <c:v>176.89999999999998</c:v>
                </c:pt>
                <c:pt idx="138">
                  <c:v>181.29999999999998</c:v>
                </c:pt>
                <c:pt idx="139">
                  <c:v>177.7</c:v>
                </c:pt>
                <c:pt idx="140">
                  <c:v>164.1</c:v>
                </c:pt>
                <c:pt idx="141">
                  <c:v>140.79999999999998</c:v>
                </c:pt>
                <c:pt idx="142">
                  <c:v>115.10000000000001</c:v>
                </c:pt>
                <c:pt idx="143">
                  <c:v>90.4</c:v>
                </c:pt>
                <c:pt idx="144">
                  <c:v>74</c:v>
                </c:pt>
                <c:pt idx="145">
                  <c:v>75.400000000000006</c:v>
                </c:pt>
                <c:pt idx="146">
                  <c:v>94.699999999999989</c:v>
                </c:pt>
                <c:pt idx="147">
                  <c:v>130.5</c:v>
                </c:pt>
                <c:pt idx="148">
                  <c:v>175.4</c:v>
                </c:pt>
                <c:pt idx="149">
                  <c:v>218.5</c:v>
                </c:pt>
                <c:pt idx="150">
                  <c:v>254.70000000000002</c:v>
                </c:pt>
                <c:pt idx="151">
                  <c:v>275.8</c:v>
                </c:pt>
                <c:pt idx="152">
                  <c:v>277.3</c:v>
                </c:pt>
                <c:pt idx="153">
                  <c:v>259.8</c:v>
                </c:pt>
                <c:pt idx="154">
                  <c:v>227.8</c:v>
                </c:pt>
                <c:pt idx="155">
                  <c:v>188.7</c:v>
                </c:pt>
                <c:pt idx="156">
                  <c:v>156.20000000000002</c:v>
                </c:pt>
                <c:pt idx="157">
                  <c:v>134.9</c:v>
                </c:pt>
                <c:pt idx="158">
                  <c:v>128</c:v>
                </c:pt>
                <c:pt idx="159">
                  <c:v>135</c:v>
                </c:pt>
                <c:pt idx="160">
                  <c:v>152.69999999999999</c:v>
                </c:pt>
                <c:pt idx="161">
                  <c:v>168</c:v>
                </c:pt>
                <c:pt idx="162">
                  <c:v>177.89999999999998</c:v>
                </c:pt>
                <c:pt idx="163">
                  <c:v>176.6</c:v>
                </c:pt>
                <c:pt idx="164">
                  <c:v>168.3</c:v>
                </c:pt>
                <c:pt idx="165">
                  <c:v>147.5</c:v>
                </c:pt>
                <c:pt idx="166">
                  <c:v>126.29999999999998</c:v>
                </c:pt>
                <c:pt idx="167">
                  <c:v>102.3</c:v>
                </c:pt>
                <c:pt idx="168">
                  <c:v>79.7</c:v>
                </c:pt>
                <c:pt idx="169">
                  <c:v>73.400000000000006</c:v>
                </c:pt>
                <c:pt idx="170">
                  <c:v>85.7</c:v>
                </c:pt>
                <c:pt idx="171">
                  <c:v>115.99999999999999</c:v>
                </c:pt>
                <c:pt idx="172">
                  <c:v>154</c:v>
                </c:pt>
                <c:pt idx="173">
                  <c:v>198.9</c:v>
                </c:pt>
                <c:pt idx="174">
                  <c:v>235.6</c:v>
                </c:pt>
                <c:pt idx="175">
                  <c:v>259.5</c:v>
                </c:pt>
                <c:pt idx="176">
                  <c:v>268.89999999999998</c:v>
                </c:pt>
                <c:pt idx="177">
                  <c:v>258.59999999999997</c:v>
                </c:pt>
                <c:pt idx="178">
                  <c:v>233.9</c:v>
                </c:pt>
                <c:pt idx="179">
                  <c:v>199.10000000000002</c:v>
                </c:pt>
                <c:pt idx="180">
                  <c:v>169.79999999999998</c:v>
                </c:pt>
                <c:pt idx="181">
                  <c:v>143.55000000000001</c:v>
                </c:pt>
                <c:pt idx="182">
                  <c:v>131.9</c:v>
                </c:pt>
                <c:pt idx="183">
                  <c:v>130.4</c:v>
                </c:pt>
                <c:pt idx="184">
                  <c:v>142.1</c:v>
                </c:pt>
                <c:pt idx="185">
                  <c:v>159.4</c:v>
                </c:pt>
                <c:pt idx="186">
                  <c:v>174.8</c:v>
                </c:pt>
                <c:pt idx="187">
                  <c:v>182</c:v>
                </c:pt>
                <c:pt idx="188">
                  <c:v>177.1</c:v>
                </c:pt>
                <c:pt idx="189">
                  <c:v>158.80000000000001</c:v>
                </c:pt>
                <c:pt idx="190">
                  <c:v>136</c:v>
                </c:pt>
                <c:pt idx="191">
                  <c:v>112.4</c:v>
                </c:pt>
                <c:pt idx="192">
                  <c:v>90.5</c:v>
                </c:pt>
                <c:pt idx="193">
                  <c:v>78.600000000000009</c:v>
                </c:pt>
                <c:pt idx="194">
                  <c:v>84.5</c:v>
                </c:pt>
                <c:pt idx="195">
                  <c:v>107</c:v>
                </c:pt>
                <c:pt idx="196">
                  <c:v>141.30000000000001</c:v>
                </c:pt>
                <c:pt idx="197">
                  <c:v>179.20000000000002</c:v>
                </c:pt>
                <c:pt idx="198">
                  <c:v>217.89999999999998</c:v>
                </c:pt>
                <c:pt idx="199">
                  <c:v>244.20000000000002</c:v>
                </c:pt>
                <c:pt idx="200">
                  <c:v>256.3</c:v>
                </c:pt>
                <c:pt idx="201">
                  <c:v>255.20000000000002</c:v>
                </c:pt>
                <c:pt idx="202">
                  <c:v>240.60000000000002</c:v>
                </c:pt>
                <c:pt idx="203">
                  <c:v>211.50000000000003</c:v>
                </c:pt>
                <c:pt idx="204">
                  <c:v>180.5</c:v>
                </c:pt>
                <c:pt idx="205">
                  <c:v>156.4</c:v>
                </c:pt>
                <c:pt idx="206">
                  <c:v>143.9</c:v>
                </c:pt>
                <c:pt idx="207">
                  <c:v>140.79999999999998</c:v>
                </c:pt>
                <c:pt idx="208">
                  <c:v>147.9</c:v>
                </c:pt>
                <c:pt idx="209">
                  <c:v>159.30000000000001</c:v>
                </c:pt>
                <c:pt idx="210">
                  <c:v>172.10000000000002</c:v>
                </c:pt>
                <c:pt idx="211">
                  <c:v>180.8</c:v>
                </c:pt>
                <c:pt idx="212">
                  <c:v>180.5</c:v>
                </c:pt>
                <c:pt idx="213">
                  <c:v>166.70000000000002</c:v>
                </c:pt>
                <c:pt idx="214">
                  <c:v>146</c:v>
                </c:pt>
                <c:pt idx="215">
                  <c:v>125.4</c:v>
                </c:pt>
                <c:pt idx="216">
                  <c:v>104.69999999999999</c:v>
                </c:pt>
                <c:pt idx="217">
                  <c:v>90.600000000000009</c:v>
                </c:pt>
                <c:pt idx="218">
                  <c:v>87.1</c:v>
                </c:pt>
                <c:pt idx="219">
                  <c:v>102.4</c:v>
                </c:pt>
                <c:pt idx="220">
                  <c:v>131.4</c:v>
                </c:pt>
                <c:pt idx="221">
                  <c:v>166.79999999999998</c:v>
                </c:pt>
                <c:pt idx="222">
                  <c:v>199.3</c:v>
                </c:pt>
                <c:pt idx="223">
                  <c:v>225</c:v>
                </c:pt>
                <c:pt idx="224">
                  <c:v>240.20000000000002</c:v>
                </c:pt>
                <c:pt idx="225">
                  <c:v>242.20000000000002</c:v>
                </c:pt>
                <c:pt idx="226">
                  <c:v>235.70000000000002</c:v>
                </c:pt>
                <c:pt idx="227">
                  <c:v>218.29999999999998</c:v>
                </c:pt>
                <c:pt idx="228">
                  <c:v>192.3</c:v>
                </c:pt>
                <c:pt idx="229">
                  <c:v>170.5</c:v>
                </c:pt>
                <c:pt idx="230">
                  <c:v>155.6</c:v>
                </c:pt>
                <c:pt idx="231">
                  <c:v>147.30000000000001</c:v>
                </c:pt>
                <c:pt idx="232">
                  <c:v>147.9</c:v>
                </c:pt>
                <c:pt idx="233">
                  <c:v>157.29999999999998</c:v>
                </c:pt>
                <c:pt idx="234">
                  <c:v>167.3</c:v>
                </c:pt>
                <c:pt idx="235">
                  <c:v>178.9</c:v>
                </c:pt>
                <c:pt idx="236">
                  <c:v>183.20000000000002</c:v>
                </c:pt>
                <c:pt idx="237">
                  <c:v>175.5</c:v>
                </c:pt>
                <c:pt idx="238">
                  <c:v>155.6</c:v>
                </c:pt>
                <c:pt idx="239">
                  <c:v>137.5</c:v>
                </c:pt>
                <c:pt idx="240">
                  <c:v>119.7</c:v>
                </c:pt>
                <c:pt idx="241">
                  <c:v>105.80000000000001</c:v>
                </c:pt>
                <c:pt idx="242">
                  <c:v>102.8</c:v>
                </c:pt>
                <c:pt idx="243">
                  <c:v>110.00000000000001</c:v>
                </c:pt>
                <c:pt idx="244">
                  <c:v>130.69999999999999</c:v>
                </c:pt>
                <c:pt idx="245">
                  <c:v>159.30000000000001</c:v>
                </c:pt>
                <c:pt idx="246">
                  <c:v>188.6</c:v>
                </c:pt>
                <c:pt idx="247">
                  <c:v>209.60000000000002</c:v>
                </c:pt>
                <c:pt idx="248">
                  <c:v>224.10000000000002</c:v>
                </c:pt>
                <c:pt idx="249">
                  <c:v>230.29999999999998</c:v>
                </c:pt>
                <c:pt idx="250">
                  <c:v>224.7</c:v>
                </c:pt>
                <c:pt idx="251">
                  <c:v>212.4</c:v>
                </c:pt>
                <c:pt idx="252">
                  <c:v>198.6</c:v>
                </c:pt>
                <c:pt idx="253">
                  <c:v>180.8</c:v>
                </c:pt>
                <c:pt idx="254">
                  <c:v>162.9</c:v>
                </c:pt>
                <c:pt idx="255">
                  <c:v>153.5</c:v>
                </c:pt>
                <c:pt idx="256">
                  <c:v>150.19999999999999</c:v>
                </c:pt>
                <c:pt idx="257">
                  <c:v>151.10000000000002</c:v>
                </c:pt>
                <c:pt idx="258">
                  <c:v>159.5</c:v>
                </c:pt>
                <c:pt idx="259">
                  <c:v>172.4</c:v>
                </c:pt>
                <c:pt idx="260">
                  <c:v>179.6</c:v>
                </c:pt>
                <c:pt idx="261">
                  <c:v>176.6</c:v>
                </c:pt>
                <c:pt idx="262">
                  <c:v>164</c:v>
                </c:pt>
                <c:pt idx="263">
                  <c:v>149.5</c:v>
                </c:pt>
                <c:pt idx="264">
                  <c:v>137.30000000000001</c:v>
                </c:pt>
                <c:pt idx="265">
                  <c:v>127.1</c:v>
                </c:pt>
                <c:pt idx="266">
                  <c:v>123.4</c:v>
                </c:pt>
                <c:pt idx="267">
                  <c:v>127.3</c:v>
                </c:pt>
                <c:pt idx="268">
                  <c:v>135.20000000000002</c:v>
                </c:pt>
                <c:pt idx="269">
                  <c:v>152.6</c:v>
                </c:pt>
                <c:pt idx="270">
                  <c:v>173.9</c:v>
                </c:pt>
                <c:pt idx="271">
                  <c:v>190.5</c:v>
                </c:pt>
                <c:pt idx="272">
                  <c:v>203.9</c:v>
                </c:pt>
                <c:pt idx="273">
                  <c:v>208.70000000000002</c:v>
                </c:pt>
                <c:pt idx="274">
                  <c:v>207.7</c:v>
                </c:pt>
                <c:pt idx="275">
                  <c:v>203.6</c:v>
                </c:pt>
                <c:pt idx="276">
                  <c:v>197.6</c:v>
                </c:pt>
                <c:pt idx="277">
                  <c:v>187.3</c:v>
                </c:pt>
                <c:pt idx="278">
                  <c:v>176.5</c:v>
                </c:pt>
                <c:pt idx="279">
                  <c:v>163.19999999999999</c:v>
                </c:pt>
                <c:pt idx="280">
                  <c:v>157.80000000000001</c:v>
                </c:pt>
                <c:pt idx="281">
                  <c:v>153.80000000000001</c:v>
                </c:pt>
                <c:pt idx="282">
                  <c:v>154.4</c:v>
                </c:pt>
                <c:pt idx="283">
                  <c:v>162.1</c:v>
                </c:pt>
                <c:pt idx="284">
                  <c:v>170.4</c:v>
                </c:pt>
                <c:pt idx="285">
                  <c:v>172.10000000000002</c:v>
                </c:pt>
                <c:pt idx="286">
                  <c:v>169.3</c:v>
                </c:pt>
                <c:pt idx="287">
                  <c:v>161</c:v>
                </c:pt>
                <c:pt idx="288">
                  <c:v>149.6</c:v>
                </c:pt>
                <c:pt idx="289">
                  <c:v>143.70000000000002</c:v>
                </c:pt>
                <c:pt idx="290">
                  <c:v>143.1</c:v>
                </c:pt>
                <c:pt idx="291">
                  <c:v>146.6</c:v>
                </c:pt>
                <c:pt idx="292">
                  <c:v>153.9</c:v>
                </c:pt>
                <c:pt idx="293">
                  <c:v>163.6</c:v>
                </c:pt>
                <c:pt idx="294">
                  <c:v>170.70000000000002</c:v>
                </c:pt>
                <c:pt idx="295">
                  <c:v>179.7</c:v>
                </c:pt>
                <c:pt idx="296">
                  <c:v>184.3</c:v>
                </c:pt>
                <c:pt idx="297">
                  <c:v>187.4</c:v>
                </c:pt>
                <c:pt idx="298">
                  <c:v>189.9</c:v>
                </c:pt>
                <c:pt idx="299">
                  <c:v>192.4</c:v>
                </c:pt>
                <c:pt idx="300">
                  <c:v>189.39999999999998</c:v>
                </c:pt>
                <c:pt idx="301">
                  <c:v>183.5</c:v>
                </c:pt>
                <c:pt idx="302">
                  <c:v>178.9</c:v>
                </c:pt>
                <c:pt idx="303">
                  <c:v>167.4</c:v>
                </c:pt>
                <c:pt idx="304">
                  <c:v>157.6</c:v>
                </c:pt>
                <c:pt idx="305">
                  <c:v>150.89999999999998</c:v>
                </c:pt>
                <c:pt idx="306">
                  <c:v>146.80000000000001</c:v>
                </c:pt>
                <c:pt idx="307">
                  <c:v>148.4</c:v>
                </c:pt>
                <c:pt idx="308">
                  <c:v>152.69999999999999</c:v>
                </c:pt>
                <c:pt idx="309">
                  <c:v>154.4</c:v>
                </c:pt>
                <c:pt idx="310">
                  <c:v>158.4</c:v>
                </c:pt>
                <c:pt idx="311">
                  <c:v>156.9</c:v>
                </c:pt>
                <c:pt idx="312">
                  <c:v>162</c:v>
                </c:pt>
                <c:pt idx="313">
                  <c:v>167.6</c:v>
                </c:pt>
                <c:pt idx="314">
                  <c:v>166.9</c:v>
                </c:pt>
                <c:pt idx="315">
                  <c:v>169.9</c:v>
                </c:pt>
                <c:pt idx="316">
                  <c:v>171.4</c:v>
                </c:pt>
                <c:pt idx="317">
                  <c:v>171.4</c:v>
                </c:pt>
                <c:pt idx="318">
                  <c:v>171.2</c:v>
                </c:pt>
                <c:pt idx="319">
                  <c:v>173</c:v>
                </c:pt>
                <c:pt idx="320">
                  <c:v>175.2</c:v>
                </c:pt>
                <c:pt idx="321">
                  <c:v>172.3</c:v>
                </c:pt>
                <c:pt idx="322">
                  <c:v>171.5</c:v>
                </c:pt>
                <c:pt idx="323">
                  <c:v>173.9</c:v>
                </c:pt>
                <c:pt idx="324">
                  <c:v>178.5</c:v>
                </c:pt>
                <c:pt idx="325">
                  <c:v>182.20000000000002</c:v>
                </c:pt>
                <c:pt idx="326">
                  <c:v>182.29999999999998</c:v>
                </c:pt>
                <c:pt idx="327">
                  <c:v>176.6</c:v>
                </c:pt>
                <c:pt idx="328">
                  <c:v>168.4</c:v>
                </c:pt>
                <c:pt idx="329">
                  <c:v>154.80000000000001</c:v>
                </c:pt>
                <c:pt idx="330">
                  <c:v>142.19999999999999</c:v>
                </c:pt>
                <c:pt idx="331">
                  <c:v>136.5</c:v>
                </c:pt>
                <c:pt idx="332">
                  <c:v>137.30000000000001</c:v>
                </c:pt>
                <c:pt idx="333">
                  <c:v>139.30000000000001</c:v>
                </c:pt>
                <c:pt idx="334">
                  <c:v>145.79999999999998</c:v>
                </c:pt>
                <c:pt idx="335">
                  <c:v>156.1</c:v>
                </c:pt>
                <c:pt idx="336">
                  <c:v>169.6</c:v>
                </c:pt>
                <c:pt idx="337">
                  <c:v>181.6</c:v>
                </c:pt>
                <c:pt idx="338">
                  <c:v>190.3</c:v>
                </c:pt>
                <c:pt idx="339">
                  <c:v>196.8</c:v>
                </c:pt>
                <c:pt idx="340">
                  <c:v>201.2</c:v>
                </c:pt>
                <c:pt idx="341">
                  <c:v>200</c:v>
                </c:pt>
                <c:pt idx="342">
                  <c:v>191.3</c:v>
                </c:pt>
                <c:pt idx="343">
                  <c:v>182</c:v>
                </c:pt>
                <c:pt idx="344">
                  <c:v>172.2</c:v>
                </c:pt>
                <c:pt idx="345">
                  <c:v>164.79999999999998</c:v>
                </c:pt>
                <c:pt idx="346">
                  <c:v>160</c:v>
                </c:pt>
                <c:pt idx="347">
                  <c:v>158.1</c:v>
                </c:pt>
                <c:pt idx="348">
                  <c:v>160.80000000000001</c:v>
                </c:pt>
                <c:pt idx="349">
                  <c:v>166.4</c:v>
                </c:pt>
                <c:pt idx="350">
                  <c:v>174.3</c:v>
                </c:pt>
                <c:pt idx="351">
                  <c:v>178</c:v>
                </c:pt>
                <c:pt idx="352">
                  <c:v>171.8</c:v>
                </c:pt>
                <c:pt idx="353">
                  <c:v>161.69999999999999</c:v>
                </c:pt>
                <c:pt idx="354">
                  <c:v>149.30000000000001</c:v>
                </c:pt>
                <c:pt idx="355">
                  <c:v>136.80000000000001</c:v>
                </c:pt>
                <c:pt idx="356">
                  <c:v>124.30000000000001</c:v>
                </c:pt>
                <c:pt idx="357">
                  <c:v>119.8</c:v>
                </c:pt>
                <c:pt idx="358">
                  <c:v>123.8</c:v>
                </c:pt>
                <c:pt idx="359">
                  <c:v>138.79999999999998</c:v>
                </c:pt>
                <c:pt idx="360">
                  <c:v>159.20000000000002</c:v>
                </c:pt>
                <c:pt idx="361">
                  <c:v>181.9</c:v>
                </c:pt>
                <c:pt idx="362">
                  <c:v>204.8</c:v>
                </c:pt>
                <c:pt idx="363">
                  <c:v>223.8</c:v>
                </c:pt>
                <c:pt idx="364">
                  <c:v>234.79999999999998</c:v>
                </c:pt>
                <c:pt idx="365">
                  <c:v>230.9</c:v>
                </c:pt>
                <c:pt idx="366">
                  <c:v>220.00000000000003</c:v>
                </c:pt>
                <c:pt idx="367">
                  <c:v>200.89999999999998</c:v>
                </c:pt>
                <c:pt idx="368">
                  <c:v>179.7</c:v>
                </c:pt>
                <c:pt idx="369">
                  <c:v>161</c:v>
                </c:pt>
                <c:pt idx="370">
                  <c:v>148</c:v>
                </c:pt>
                <c:pt idx="371">
                  <c:v>140</c:v>
                </c:pt>
                <c:pt idx="372">
                  <c:v>145.4</c:v>
                </c:pt>
                <c:pt idx="373">
                  <c:v>151.6</c:v>
                </c:pt>
                <c:pt idx="374">
                  <c:v>160.69999999999999</c:v>
                </c:pt>
                <c:pt idx="375">
                  <c:v>169</c:v>
                </c:pt>
                <c:pt idx="376">
                  <c:v>169</c:v>
                </c:pt>
                <c:pt idx="377">
                  <c:v>161.9</c:v>
                </c:pt>
                <c:pt idx="378">
                  <c:v>147.19999999999999</c:v>
                </c:pt>
                <c:pt idx="379">
                  <c:v>130.1</c:v>
                </c:pt>
                <c:pt idx="380">
                  <c:v>112.6</c:v>
                </c:pt>
                <c:pt idx="381">
                  <c:v>102.49999999999999</c:v>
                </c:pt>
                <c:pt idx="382">
                  <c:v>102.8</c:v>
                </c:pt>
                <c:pt idx="383">
                  <c:v>115.3</c:v>
                </c:pt>
                <c:pt idx="384">
                  <c:v>140.9</c:v>
                </c:pt>
                <c:pt idx="385">
                  <c:v>171.4</c:v>
                </c:pt>
                <c:pt idx="386">
                  <c:v>202.59999999999997</c:v>
                </c:pt>
                <c:pt idx="387">
                  <c:v>231.5</c:v>
                </c:pt>
                <c:pt idx="388">
                  <c:v>252.1</c:v>
                </c:pt>
                <c:pt idx="389">
                  <c:v>259.7</c:v>
                </c:pt>
                <c:pt idx="390">
                  <c:v>254.5</c:v>
                </c:pt>
                <c:pt idx="391">
                  <c:v>233.8</c:v>
                </c:pt>
                <c:pt idx="392">
                  <c:v>206.1</c:v>
                </c:pt>
                <c:pt idx="393">
                  <c:v>175.6</c:v>
                </c:pt>
                <c:pt idx="394">
                  <c:v>152.6</c:v>
                </c:pt>
                <c:pt idx="395">
                  <c:v>137.5</c:v>
                </c:pt>
                <c:pt idx="396">
                  <c:v>133.69999999999999</c:v>
                </c:pt>
                <c:pt idx="397">
                  <c:v>140.9</c:v>
                </c:pt>
                <c:pt idx="398">
                  <c:v>151.89999999999998</c:v>
                </c:pt>
                <c:pt idx="399">
                  <c:v>161.30000000000001</c:v>
                </c:pt>
                <c:pt idx="400">
                  <c:v>165</c:v>
                </c:pt>
                <c:pt idx="401">
                  <c:v>159.60000000000002</c:v>
                </c:pt>
                <c:pt idx="402">
                  <c:v>147.19999999999999</c:v>
                </c:pt>
                <c:pt idx="403">
                  <c:v>130.80000000000001</c:v>
                </c:pt>
                <c:pt idx="404">
                  <c:v>112.6</c:v>
                </c:pt>
                <c:pt idx="405">
                  <c:v>94.399999999999991</c:v>
                </c:pt>
                <c:pt idx="406">
                  <c:v>88.4</c:v>
                </c:pt>
                <c:pt idx="407">
                  <c:v>93.600000000000009</c:v>
                </c:pt>
                <c:pt idx="408">
                  <c:v>115.9</c:v>
                </c:pt>
                <c:pt idx="409">
                  <c:v>149</c:v>
                </c:pt>
                <c:pt idx="410">
                  <c:v>187.1</c:v>
                </c:pt>
                <c:pt idx="411">
                  <c:v>225.70000000000002</c:v>
                </c:pt>
                <c:pt idx="412">
                  <c:v>255.39999999999998</c:v>
                </c:pt>
                <c:pt idx="413">
                  <c:v>273</c:v>
                </c:pt>
                <c:pt idx="414">
                  <c:v>274.7</c:v>
                </c:pt>
                <c:pt idx="415">
                  <c:v>259.8</c:v>
                </c:pt>
                <c:pt idx="416">
                  <c:v>231.9</c:v>
                </c:pt>
                <c:pt idx="417">
                  <c:v>199</c:v>
                </c:pt>
                <c:pt idx="418">
                  <c:v>169.2</c:v>
                </c:pt>
                <c:pt idx="419">
                  <c:v>142.19999999999999</c:v>
                </c:pt>
                <c:pt idx="420">
                  <c:v>129.69999999999999</c:v>
                </c:pt>
                <c:pt idx="421">
                  <c:v>129</c:v>
                </c:pt>
                <c:pt idx="422">
                  <c:v>138.6</c:v>
                </c:pt>
                <c:pt idx="423">
                  <c:v>149.70000000000002</c:v>
                </c:pt>
                <c:pt idx="424">
                  <c:v>157.80000000000001</c:v>
                </c:pt>
                <c:pt idx="425">
                  <c:v>157.5</c:v>
                </c:pt>
                <c:pt idx="426">
                  <c:v>146.9</c:v>
                </c:pt>
                <c:pt idx="427">
                  <c:v>131.9</c:v>
                </c:pt>
                <c:pt idx="428">
                  <c:v>113.39999999999999</c:v>
                </c:pt>
                <c:pt idx="429">
                  <c:v>94.699999999999989</c:v>
                </c:pt>
                <c:pt idx="430">
                  <c:v>78.100000000000009</c:v>
                </c:pt>
                <c:pt idx="431">
                  <c:v>74.8</c:v>
                </c:pt>
                <c:pt idx="432">
                  <c:v>88.9</c:v>
                </c:pt>
                <c:pt idx="433">
                  <c:v>119.39999999999999</c:v>
                </c:pt>
                <c:pt idx="434">
                  <c:v>161.4</c:v>
                </c:pt>
                <c:pt idx="435">
                  <c:v>208.9</c:v>
                </c:pt>
                <c:pt idx="436">
                  <c:v>247.40000000000003</c:v>
                </c:pt>
                <c:pt idx="437">
                  <c:v>276.90000000000003</c:v>
                </c:pt>
                <c:pt idx="438">
                  <c:v>288</c:v>
                </c:pt>
                <c:pt idx="439">
                  <c:v>281.2</c:v>
                </c:pt>
                <c:pt idx="440">
                  <c:v>256.8</c:v>
                </c:pt>
                <c:pt idx="441">
                  <c:v>222.5</c:v>
                </c:pt>
                <c:pt idx="442">
                  <c:v>190.39999999999998</c:v>
                </c:pt>
                <c:pt idx="443">
                  <c:v>158.5</c:v>
                </c:pt>
                <c:pt idx="444">
                  <c:v>138.1</c:v>
                </c:pt>
                <c:pt idx="445">
                  <c:v>128.1</c:v>
                </c:pt>
                <c:pt idx="446">
                  <c:v>129.5</c:v>
                </c:pt>
                <c:pt idx="447">
                  <c:v>142.5</c:v>
                </c:pt>
                <c:pt idx="448">
                  <c:v>149.19999999999999</c:v>
                </c:pt>
                <c:pt idx="449">
                  <c:v>155.9</c:v>
                </c:pt>
                <c:pt idx="450">
                  <c:v>151.1</c:v>
                </c:pt>
                <c:pt idx="451">
                  <c:v>136.80000000000001</c:v>
                </c:pt>
                <c:pt idx="452">
                  <c:v>119</c:v>
                </c:pt>
                <c:pt idx="453">
                  <c:v>100.1</c:v>
                </c:pt>
                <c:pt idx="454">
                  <c:v>83</c:v>
                </c:pt>
                <c:pt idx="455">
                  <c:v>65.3</c:v>
                </c:pt>
                <c:pt idx="456">
                  <c:v>65.2</c:v>
                </c:pt>
                <c:pt idx="457">
                  <c:v>86.8</c:v>
                </c:pt>
                <c:pt idx="458">
                  <c:v>125.2</c:v>
                </c:pt>
                <c:pt idx="459">
                  <c:v>174.8</c:v>
                </c:pt>
                <c:pt idx="460">
                  <c:v>225.89999999999998</c:v>
                </c:pt>
                <c:pt idx="461">
                  <c:v>264.5</c:v>
                </c:pt>
                <c:pt idx="462">
                  <c:v>287</c:v>
                </c:pt>
                <c:pt idx="463">
                  <c:v>288.89999999999998</c:v>
                </c:pt>
                <c:pt idx="464">
                  <c:v>271.09999999999997</c:v>
                </c:pt>
                <c:pt idx="465">
                  <c:v>242.20000000000002</c:v>
                </c:pt>
                <c:pt idx="466">
                  <c:v>210.8</c:v>
                </c:pt>
                <c:pt idx="467">
                  <c:v>178.5</c:v>
                </c:pt>
                <c:pt idx="468">
                  <c:v>155</c:v>
                </c:pt>
                <c:pt idx="469">
                  <c:v>138.19999999999999</c:v>
                </c:pt>
                <c:pt idx="470">
                  <c:v>132.5</c:v>
                </c:pt>
                <c:pt idx="471">
                  <c:v>138.5</c:v>
                </c:pt>
                <c:pt idx="472">
                  <c:v>149.80000000000001</c:v>
                </c:pt>
                <c:pt idx="473">
                  <c:v>157.69999999999999</c:v>
                </c:pt>
                <c:pt idx="474">
                  <c:v>158.4</c:v>
                </c:pt>
                <c:pt idx="475">
                  <c:v>147.5</c:v>
                </c:pt>
                <c:pt idx="476">
                  <c:v>129.5</c:v>
                </c:pt>
                <c:pt idx="477">
                  <c:v>105.4</c:v>
                </c:pt>
                <c:pt idx="478">
                  <c:v>80.800000000000011</c:v>
                </c:pt>
                <c:pt idx="479">
                  <c:v>62.6</c:v>
                </c:pt>
                <c:pt idx="480">
                  <c:v>56.000000000000007</c:v>
                </c:pt>
                <c:pt idx="481">
                  <c:v>68.5</c:v>
                </c:pt>
                <c:pt idx="482">
                  <c:v>95.8</c:v>
                </c:pt>
                <c:pt idx="483">
                  <c:v>142.6</c:v>
                </c:pt>
                <c:pt idx="484">
                  <c:v>192.1</c:v>
                </c:pt>
                <c:pt idx="485">
                  <c:v>237.5</c:v>
                </c:pt>
                <c:pt idx="486">
                  <c:v>272.5</c:v>
                </c:pt>
                <c:pt idx="487">
                  <c:v>286.2</c:v>
                </c:pt>
                <c:pt idx="488">
                  <c:v>281.5</c:v>
                </c:pt>
                <c:pt idx="489">
                  <c:v>261</c:v>
                </c:pt>
                <c:pt idx="490">
                  <c:v>227.3</c:v>
                </c:pt>
                <c:pt idx="491">
                  <c:v>195.79999999999998</c:v>
                </c:pt>
                <c:pt idx="492">
                  <c:v>171</c:v>
                </c:pt>
                <c:pt idx="493">
                  <c:v>152.4</c:v>
                </c:pt>
                <c:pt idx="494">
                  <c:v>141.9</c:v>
                </c:pt>
                <c:pt idx="495">
                  <c:v>139</c:v>
                </c:pt>
                <c:pt idx="496">
                  <c:v>150.5</c:v>
                </c:pt>
                <c:pt idx="497">
                  <c:v>161.4</c:v>
                </c:pt>
                <c:pt idx="498">
                  <c:v>168.70000000000002</c:v>
                </c:pt>
                <c:pt idx="499">
                  <c:v>162.1</c:v>
                </c:pt>
                <c:pt idx="500">
                  <c:v>150.5</c:v>
                </c:pt>
                <c:pt idx="501">
                  <c:v>125.4</c:v>
                </c:pt>
                <c:pt idx="502">
                  <c:v>101.2</c:v>
                </c:pt>
                <c:pt idx="503">
                  <c:v>81.5</c:v>
                </c:pt>
                <c:pt idx="504">
                  <c:v>68.8</c:v>
                </c:pt>
                <c:pt idx="505">
                  <c:v>61.5</c:v>
                </c:pt>
                <c:pt idx="506">
                  <c:v>77.8</c:v>
                </c:pt>
                <c:pt idx="507">
                  <c:v>111.00000000000001</c:v>
                </c:pt>
                <c:pt idx="508">
                  <c:v>159.69999999999999</c:v>
                </c:pt>
                <c:pt idx="509">
                  <c:v>208.5</c:v>
                </c:pt>
                <c:pt idx="510">
                  <c:v>246.60000000000002</c:v>
                </c:pt>
                <c:pt idx="511">
                  <c:v>268.5</c:v>
                </c:pt>
                <c:pt idx="512">
                  <c:v>270.40000000000003</c:v>
                </c:pt>
                <c:pt idx="513">
                  <c:v>264.8</c:v>
                </c:pt>
                <c:pt idx="514">
                  <c:v>242.70000000000002</c:v>
                </c:pt>
                <c:pt idx="515">
                  <c:v>208.1</c:v>
                </c:pt>
                <c:pt idx="516">
                  <c:v>178.9</c:v>
                </c:pt>
                <c:pt idx="517">
                  <c:v>162.79999999999998</c:v>
                </c:pt>
                <c:pt idx="518">
                  <c:v>146.69999999999999</c:v>
                </c:pt>
                <c:pt idx="519">
                  <c:v>144.5</c:v>
                </c:pt>
                <c:pt idx="520">
                  <c:v>151.5</c:v>
                </c:pt>
                <c:pt idx="521">
                  <c:v>162.20000000000002</c:v>
                </c:pt>
                <c:pt idx="522">
                  <c:v>171.2</c:v>
                </c:pt>
                <c:pt idx="523">
                  <c:v>173.4</c:v>
                </c:pt>
                <c:pt idx="524">
                  <c:v>165.79999999999998</c:v>
                </c:pt>
                <c:pt idx="525">
                  <c:v>150</c:v>
                </c:pt>
                <c:pt idx="526">
                  <c:v>129.1</c:v>
                </c:pt>
                <c:pt idx="527">
                  <c:v>105.80000000000001</c:v>
                </c:pt>
                <c:pt idx="528">
                  <c:v>83.399999999999991</c:v>
                </c:pt>
                <c:pt idx="529">
                  <c:v>71.2</c:v>
                </c:pt>
                <c:pt idx="530">
                  <c:v>72.8</c:v>
                </c:pt>
                <c:pt idx="531">
                  <c:v>91</c:v>
                </c:pt>
                <c:pt idx="532">
                  <c:v>126.8</c:v>
                </c:pt>
                <c:pt idx="533">
                  <c:v>176.5</c:v>
                </c:pt>
                <c:pt idx="534">
                  <c:v>219.70000000000002</c:v>
                </c:pt>
                <c:pt idx="535">
                  <c:v>253.2</c:v>
                </c:pt>
                <c:pt idx="536">
                  <c:v>264.2</c:v>
                </c:pt>
                <c:pt idx="537">
                  <c:v>258</c:v>
                </c:pt>
                <c:pt idx="538">
                  <c:v>244.3</c:v>
                </c:pt>
                <c:pt idx="539">
                  <c:v>217.1</c:v>
                </c:pt>
                <c:pt idx="540">
                  <c:v>189.7</c:v>
                </c:pt>
                <c:pt idx="541">
                  <c:v>165.6</c:v>
                </c:pt>
                <c:pt idx="542">
                  <c:v>147.9</c:v>
                </c:pt>
                <c:pt idx="543">
                  <c:v>140.5</c:v>
                </c:pt>
                <c:pt idx="544">
                  <c:v>146.70000000000002</c:v>
                </c:pt>
                <c:pt idx="545">
                  <c:v>160.80000000000001</c:v>
                </c:pt>
                <c:pt idx="546">
                  <c:v>174.70000000000002</c:v>
                </c:pt>
                <c:pt idx="547">
                  <c:v>182.4</c:v>
                </c:pt>
                <c:pt idx="548">
                  <c:v>182.1</c:v>
                </c:pt>
                <c:pt idx="549">
                  <c:v>168.3</c:v>
                </c:pt>
                <c:pt idx="550">
                  <c:v>148.5</c:v>
                </c:pt>
                <c:pt idx="551">
                  <c:v>128.69999999999999</c:v>
                </c:pt>
                <c:pt idx="552">
                  <c:v>111.80000000000001</c:v>
                </c:pt>
                <c:pt idx="553">
                  <c:v>93.899999999999991</c:v>
                </c:pt>
                <c:pt idx="554">
                  <c:v>89.2</c:v>
                </c:pt>
                <c:pt idx="555">
                  <c:v>97.3</c:v>
                </c:pt>
                <c:pt idx="556">
                  <c:v>118.6</c:v>
                </c:pt>
                <c:pt idx="557">
                  <c:v>152.4</c:v>
                </c:pt>
                <c:pt idx="558">
                  <c:v>195.9</c:v>
                </c:pt>
                <c:pt idx="559">
                  <c:v>232.10000000000002</c:v>
                </c:pt>
                <c:pt idx="560">
                  <c:v>250.4</c:v>
                </c:pt>
                <c:pt idx="561">
                  <c:v>250.1</c:v>
                </c:pt>
                <c:pt idx="562">
                  <c:v>241.1</c:v>
                </c:pt>
                <c:pt idx="563">
                  <c:v>223.8</c:v>
                </c:pt>
                <c:pt idx="564">
                  <c:v>199.8</c:v>
                </c:pt>
                <c:pt idx="565">
                  <c:v>176.6</c:v>
                </c:pt>
                <c:pt idx="566">
                  <c:v>155</c:v>
                </c:pt>
                <c:pt idx="567">
                  <c:v>140.69999999999999</c:v>
                </c:pt>
                <c:pt idx="568">
                  <c:v>141.4</c:v>
                </c:pt>
                <c:pt idx="569">
                  <c:v>154.5</c:v>
                </c:pt>
                <c:pt idx="570">
                  <c:v>170</c:v>
                </c:pt>
                <c:pt idx="571">
                  <c:v>181.7</c:v>
                </c:pt>
                <c:pt idx="572">
                  <c:v>188.1</c:v>
                </c:pt>
                <c:pt idx="573">
                  <c:v>184.4</c:v>
                </c:pt>
                <c:pt idx="574">
                  <c:v>171.9</c:v>
                </c:pt>
                <c:pt idx="575">
                  <c:v>153.69999999999999</c:v>
                </c:pt>
                <c:pt idx="576">
                  <c:v>134.9</c:v>
                </c:pt>
                <c:pt idx="577">
                  <c:v>121.9</c:v>
                </c:pt>
                <c:pt idx="578">
                  <c:v>111.60000000000001</c:v>
                </c:pt>
                <c:pt idx="579">
                  <c:v>113.9</c:v>
                </c:pt>
                <c:pt idx="580">
                  <c:v>122</c:v>
                </c:pt>
                <c:pt idx="581">
                  <c:v>143.5</c:v>
                </c:pt>
                <c:pt idx="582">
                  <c:v>176.8</c:v>
                </c:pt>
                <c:pt idx="583">
                  <c:v>208.8</c:v>
                </c:pt>
                <c:pt idx="584">
                  <c:v>230.29999999999998</c:v>
                </c:pt>
                <c:pt idx="585">
                  <c:v>237.9</c:v>
                </c:pt>
                <c:pt idx="586">
                  <c:v>233.8</c:v>
                </c:pt>
                <c:pt idx="587">
                  <c:v>222.10000000000002</c:v>
                </c:pt>
                <c:pt idx="588">
                  <c:v>204.2</c:v>
                </c:pt>
                <c:pt idx="589">
                  <c:v>184.9</c:v>
                </c:pt>
                <c:pt idx="590">
                  <c:v>161.4</c:v>
                </c:pt>
                <c:pt idx="591">
                  <c:v>142.5</c:v>
                </c:pt>
                <c:pt idx="592">
                  <c:v>137.9</c:v>
                </c:pt>
                <c:pt idx="593">
                  <c:v>143.1</c:v>
                </c:pt>
                <c:pt idx="594">
                  <c:v>152.4</c:v>
                </c:pt>
                <c:pt idx="595">
                  <c:v>167.6</c:v>
                </c:pt>
                <c:pt idx="596">
                  <c:v>178</c:v>
                </c:pt>
                <c:pt idx="597">
                  <c:v>183.1</c:v>
                </c:pt>
                <c:pt idx="598">
                  <c:v>181</c:v>
                </c:pt>
                <c:pt idx="599">
                  <c:v>167.9</c:v>
                </c:pt>
                <c:pt idx="600">
                  <c:v>156.9</c:v>
                </c:pt>
                <c:pt idx="601">
                  <c:v>143.30000000000001</c:v>
                </c:pt>
                <c:pt idx="602">
                  <c:v>133.80000000000001</c:v>
                </c:pt>
                <c:pt idx="603">
                  <c:v>134</c:v>
                </c:pt>
                <c:pt idx="604">
                  <c:v>138.1</c:v>
                </c:pt>
                <c:pt idx="605">
                  <c:v>146.70000000000002</c:v>
                </c:pt>
                <c:pt idx="606">
                  <c:v>165.7</c:v>
                </c:pt>
                <c:pt idx="607">
                  <c:v>191.2</c:v>
                </c:pt>
                <c:pt idx="608">
                  <c:v>208.70000000000002</c:v>
                </c:pt>
                <c:pt idx="609">
                  <c:v>218.5</c:v>
                </c:pt>
                <c:pt idx="610">
                  <c:v>221.89999999999998</c:v>
                </c:pt>
                <c:pt idx="611">
                  <c:v>217</c:v>
                </c:pt>
                <c:pt idx="612">
                  <c:v>205.7</c:v>
                </c:pt>
                <c:pt idx="613">
                  <c:v>185.5</c:v>
                </c:pt>
                <c:pt idx="614">
                  <c:v>165.3</c:v>
                </c:pt>
                <c:pt idx="615">
                  <c:v>146.4</c:v>
                </c:pt>
                <c:pt idx="616">
                  <c:v>133.4</c:v>
                </c:pt>
                <c:pt idx="617">
                  <c:v>127.89999999999999</c:v>
                </c:pt>
                <c:pt idx="618">
                  <c:v>133.69999999999999</c:v>
                </c:pt>
                <c:pt idx="619">
                  <c:v>142.9</c:v>
                </c:pt>
                <c:pt idx="620">
                  <c:v>154</c:v>
                </c:pt>
                <c:pt idx="621">
                  <c:v>164.39999999999998</c:v>
                </c:pt>
                <c:pt idx="622">
                  <c:v>176.1</c:v>
                </c:pt>
                <c:pt idx="623">
                  <c:v>179.6</c:v>
                </c:pt>
                <c:pt idx="624">
                  <c:v>179</c:v>
                </c:pt>
                <c:pt idx="625">
                  <c:v>172.4</c:v>
                </c:pt>
                <c:pt idx="626">
                  <c:v>161.69999999999999</c:v>
                </c:pt>
                <c:pt idx="627">
                  <c:v>156.6</c:v>
                </c:pt>
                <c:pt idx="628">
                  <c:v>153.19999999999999</c:v>
                </c:pt>
                <c:pt idx="629">
                  <c:v>156.80000000000001</c:v>
                </c:pt>
                <c:pt idx="630">
                  <c:v>166.5</c:v>
                </c:pt>
                <c:pt idx="631">
                  <c:v>178.4</c:v>
                </c:pt>
                <c:pt idx="632">
                  <c:v>193.79999999999998</c:v>
                </c:pt>
                <c:pt idx="633">
                  <c:v>197.3</c:v>
                </c:pt>
                <c:pt idx="634">
                  <c:v>197</c:v>
                </c:pt>
                <c:pt idx="635">
                  <c:v>194.4</c:v>
                </c:pt>
                <c:pt idx="636">
                  <c:v>182.4</c:v>
                </c:pt>
                <c:pt idx="637">
                  <c:v>173.5</c:v>
                </c:pt>
                <c:pt idx="638">
                  <c:v>163.69999999999999</c:v>
                </c:pt>
                <c:pt idx="639">
                  <c:v>148.10000000000002</c:v>
                </c:pt>
                <c:pt idx="640">
                  <c:v>133.20000000000002</c:v>
                </c:pt>
                <c:pt idx="641">
                  <c:v>124.70000000000002</c:v>
                </c:pt>
                <c:pt idx="642">
                  <c:v>119.6</c:v>
                </c:pt>
                <c:pt idx="643">
                  <c:v>121.39999999999999</c:v>
                </c:pt>
                <c:pt idx="644">
                  <c:v>131.80000000000001</c:v>
                </c:pt>
                <c:pt idx="645">
                  <c:v>146.6</c:v>
                </c:pt>
                <c:pt idx="646">
                  <c:v>160</c:v>
                </c:pt>
                <c:pt idx="647">
                  <c:v>169.9</c:v>
                </c:pt>
                <c:pt idx="648">
                  <c:v>177</c:v>
                </c:pt>
                <c:pt idx="649">
                  <c:v>180.5</c:v>
                </c:pt>
                <c:pt idx="650">
                  <c:v>182.9</c:v>
                </c:pt>
                <c:pt idx="651">
                  <c:v>182.6</c:v>
                </c:pt>
                <c:pt idx="652">
                  <c:v>178.8</c:v>
                </c:pt>
                <c:pt idx="653">
                  <c:v>173.70000000000002</c:v>
                </c:pt>
                <c:pt idx="654">
                  <c:v>169.70000000000002</c:v>
                </c:pt>
                <c:pt idx="655">
                  <c:v>172.8</c:v>
                </c:pt>
                <c:pt idx="656">
                  <c:v>175.6</c:v>
                </c:pt>
                <c:pt idx="657">
                  <c:v>180</c:v>
                </c:pt>
                <c:pt idx="658">
                  <c:v>183.1</c:v>
                </c:pt>
                <c:pt idx="659">
                  <c:v>180.9</c:v>
                </c:pt>
                <c:pt idx="660">
                  <c:v>176</c:v>
                </c:pt>
                <c:pt idx="661">
                  <c:v>170.9</c:v>
                </c:pt>
                <c:pt idx="662">
                  <c:v>161.69999999999999</c:v>
                </c:pt>
                <c:pt idx="663">
                  <c:v>152.4</c:v>
                </c:pt>
                <c:pt idx="664">
                  <c:v>141.9</c:v>
                </c:pt>
                <c:pt idx="665">
                  <c:v>131.4</c:v>
                </c:pt>
                <c:pt idx="666">
                  <c:v>122.10000000000001</c:v>
                </c:pt>
                <c:pt idx="667">
                  <c:v>117.10000000000001</c:v>
                </c:pt>
                <c:pt idx="668">
                  <c:v>114.9</c:v>
                </c:pt>
                <c:pt idx="669">
                  <c:v>124.4</c:v>
                </c:pt>
                <c:pt idx="670">
                  <c:v>138.5</c:v>
                </c:pt>
                <c:pt idx="671">
                  <c:v>156.69999999999999</c:v>
                </c:pt>
                <c:pt idx="672">
                  <c:v>171.9</c:v>
                </c:pt>
                <c:pt idx="673">
                  <c:v>188.7</c:v>
                </c:pt>
                <c:pt idx="674">
                  <c:v>200.70000000000002</c:v>
                </c:pt>
                <c:pt idx="675">
                  <c:v>205.29999999999998</c:v>
                </c:pt>
                <c:pt idx="676">
                  <c:v>203.79999999999998</c:v>
                </c:pt>
                <c:pt idx="677">
                  <c:v>197.2</c:v>
                </c:pt>
                <c:pt idx="678">
                  <c:v>192</c:v>
                </c:pt>
                <c:pt idx="679">
                  <c:v>184.7</c:v>
                </c:pt>
                <c:pt idx="680">
                  <c:v>175.7</c:v>
                </c:pt>
                <c:pt idx="681">
                  <c:v>168.4</c:v>
                </c:pt>
                <c:pt idx="682">
                  <c:v>163.5</c:v>
                </c:pt>
                <c:pt idx="683">
                  <c:v>165.39999999999998</c:v>
                </c:pt>
                <c:pt idx="684">
                  <c:v>166.79999999999998</c:v>
                </c:pt>
                <c:pt idx="685">
                  <c:v>167.2</c:v>
                </c:pt>
                <c:pt idx="686">
                  <c:v>166.79999999999998</c:v>
                </c:pt>
                <c:pt idx="687">
                  <c:v>158.80000000000001</c:v>
                </c:pt>
                <c:pt idx="688">
                  <c:v>149.5</c:v>
                </c:pt>
                <c:pt idx="689">
                  <c:v>139.9</c:v>
                </c:pt>
                <c:pt idx="690">
                  <c:v>126.2</c:v>
                </c:pt>
                <c:pt idx="691">
                  <c:v>114.39999999999999</c:v>
                </c:pt>
                <c:pt idx="692">
                  <c:v>111.4</c:v>
                </c:pt>
                <c:pt idx="693">
                  <c:v>112.99999999999999</c:v>
                </c:pt>
                <c:pt idx="694">
                  <c:v>120.39999999999999</c:v>
                </c:pt>
                <c:pt idx="695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59-4AA1-AB5C-CF1772437C8F}"/>
            </c:ext>
          </c:extLst>
        </c:ser>
        <c:ser>
          <c:idx val="1"/>
          <c:order val="1"/>
          <c:tx>
            <c:strRef>
              <c:f>ChartDatA!$M$9</c:f>
              <c:strCache>
                <c:ptCount val="1"/>
                <c:pt idx="0">
                  <c:v>HAT</c:v>
                </c:pt>
              </c:strCache>
            </c:strRef>
          </c:tx>
          <c:spPr>
            <a:ln w="28575">
              <a:solidFill>
                <a:srgbClr val="FF00FF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FF00FF"/>
              </a:solidFill>
              <a:ln w="28575">
                <a:solidFill>
                  <a:srgbClr val="FF00FF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ChartDatA!$M$10:$M$11</c:f>
              <c:numCache>
                <c:formatCode>General</c:formatCode>
                <c:ptCount val="2"/>
                <c:pt idx="0">
                  <c:v>335.38423382986963</c:v>
                </c:pt>
                <c:pt idx="1">
                  <c:v>335.38423382986963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59-4AA1-AB5C-CF1772437C8F}"/>
            </c:ext>
          </c:extLst>
        </c:ser>
        <c:ser>
          <c:idx val="2"/>
          <c:order val="2"/>
          <c:tx>
            <c:strRef>
              <c:f>ChartDatA!$N$9</c:f>
              <c:strCache>
                <c:ptCount val="1"/>
                <c:pt idx="0">
                  <c:v>HHWS</c:v>
                </c:pt>
              </c:strCache>
            </c:strRef>
          </c:tx>
          <c:spPr>
            <a:ln w="28575">
              <a:solidFill>
                <a:srgbClr val="FF660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00B050"/>
              </a:solidFill>
              <a:ln w="28575">
                <a:solidFill>
                  <a:srgbClr val="DFDFDF"/>
                </a:solidFill>
                <a:prstDash val="sysDash"/>
              </a:ln>
            </c:spPr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3-8C59-4AA1-AB5C-CF1772437C8F}"/>
              </c:ext>
            </c:extLst>
          </c:dPt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ChartDatA!$N$10:$N$11</c:f>
              <c:numCache>
                <c:formatCode>General</c:formatCode>
                <c:ptCount val="2"/>
                <c:pt idx="0">
                  <c:v>292.75776980177898</c:v>
                </c:pt>
                <c:pt idx="1">
                  <c:v>292.75776980177898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59-4AA1-AB5C-CF1772437C8F}"/>
            </c:ext>
          </c:extLst>
        </c:ser>
        <c:ser>
          <c:idx val="3"/>
          <c:order val="3"/>
          <c:tx>
            <c:strRef>
              <c:f>ChartDatA!$O$9</c:f>
              <c:strCache>
                <c:ptCount val="1"/>
                <c:pt idx="0">
                  <c:v>MHWN</c:v>
                </c:pt>
              </c:strCache>
            </c:strRef>
          </c:tx>
          <c:spPr>
            <a:ln w="28575">
              <a:solidFill>
                <a:srgbClr val="0070C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0070C0"/>
              </a:solidFill>
              <a:ln w="28575">
                <a:solidFill>
                  <a:schemeClr val="tx1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ChartDatA!$O$10:$O$11</c:f>
              <c:numCache>
                <c:formatCode>General</c:formatCode>
                <c:ptCount val="2"/>
                <c:pt idx="0">
                  <c:v>230.30829491683608</c:v>
                </c:pt>
                <c:pt idx="1">
                  <c:v>230.30829491683608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59-4AA1-AB5C-CF1772437C8F}"/>
            </c:ext>
          </c:extLst>
        </c:ser>
        <c:ser>
          <c:idx val="4"/>
          <c:order val="4"/>
          <c:tx>
            <c:strRef>
              <c:f>ChartDatA!$P$9</c:f>
              <c:strCache>
                <c:ptCount val="1"/>
                <c:pt idx="0">
                  <c:v>MSL</c:v>
                </c:pt>
              </c:strCache>
            </c:strRef>
          </c:tx>
          <c:spPr>
            <a:ln w="28575">
              <a:solidFill>
                <a:schemeClr val="tx1"/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tx1"/>
              </a:solidFill>
              <a:ln w="28575">
                <a:solidFill>
                  <a:schemeClr val="tx1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ChartDatA!$P$10:$P$11</c:f>
              <c:numCache>
                <c:formatCode>General</c:formatCode>
                <c:ptCount val="2"/>
                <c:pt idx="0">
                  <c:v>166.16831896551724</c:v>
                </c:pt>
                <c:pt idx="1">
                  <c:v>166.16831896551724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59-4AA1-AB5C-CF1772437C8F}"/>
            </c:ext>
          </c:extLst>
        </c:ser>
        <c:ser>
          <c:idx val="5"/>
          <c:order val="5"/>
          <c:tx>
            <c:strRef>
              <c:f>ChartDatA!$Q$9</c:f>
              <c:strCache>
                <c:ptCount val="1"/>
                <c:pt idx="0">
                  <c:v>MLWN</c:v>
                </c:pt>
              </c:strCache>
            </c:strRef>
          </c:tx>
          <c:spPr>
            <a:ln w="28575">
              <a:solidFill>
                <a:schemeClr val="accent6"/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accent6"/>
              </a:solidFill>
              <a:ln w="28575">
                <a:solidFill>
                  <a:schemeClr val="accent6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ChartDatA!$Q$10:$Q$11</c:f>
              <c:numCache>
                <c:formatCode>General</c:formatCode>
                <c:ptCount val="2"/>
                <c:pt idx="0">
                  <c:v>87.140552568349534</c:v>
                </c:pt>
                <c:pt idx="1">
                  <c:v>87.140552568349534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59-4AA1-AB5C-CF1772437C8F}"/>
            </c:ext>
          </c:extLst>
        </c:ser>
        <c:ser>
          <c:idx val="6"/>
          <c:order val="6"/>
          <c:tx>
            <c:strRef>
              <c:f>ChartDatA!$R$9</c:f>
              <c:strCache>
                <c:ptCount val="1"/>
                <c:pt idx="0">
                  <c:v>LLWS</c:v>
                </c:pt>
              </c:strCache>
            </c:strRef>
          </c:tx>
          <c:spPr>
            <a:ln w="28575">
              <a:solidFill>
                <a:srgbClr val="7030A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7030A0"/>
              </a:solidFill>
              <a:ln w="28575">
                <a:solidFill>
                  <a:srgbClr val="7030A0"/>
                </a:solidFill>
                <a:prstDash val="sysDash"/>
              </a:ln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8C59-4AA1-AB5C-CF1772437C8F}"/>
              </c:ext>
            </c:extLst>
          </c:dPt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ChartDatA!$R$10:$R$11</c:f>
              <c:numCache>
                <c:formatCode>General</c:formatCode>
                <c:ptCount val="2"/>
                <c:pt idx="0">
                  <c:v>55.888942901025047</c:v>
                </c:pt>
                <c:pt idx="1">
                  <c:v>55.888942901025047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C59-4AA1-AB5C-CF1772437C8F}"/>
            </c:ext>
          </c:extLst>
        </c:ser>
        <c:ser>
          <c:idx val="7"/>
          <c:order val="7"/>
          <c:tx>
            <c:strRef>
              <c:f>ChartDatA!$S$9</c:f>
              <c:strCache>
                <c:ptCount val="1"/>
                <c:pt idx="0">
                  <c:v>LAT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FF0000"/>
              </a:solidFill>
              <a:ln w="28575">
                <a:solidFill>
                  <a:srgbClr val="FF0000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ChartDatA!$S$10:$S$11</c:f>
              <c:numCache>
                <c:formatCode>General</c:formatCode>
                <c:ptCount val="2"/>
                <c:pt idx="0">
                  <c:v>28.393760180578276</c:v>
                </c:pt>
                <c:pt idx="1">
                  <c:v>28.393760180578276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C59-4AA1-AB5C-CF177243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594304"/>
        <c:axId val="282600960"/>
      </c:scatterChart>
      <c:valAx>
        <c:axId val="2825943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Tanggal/Bulan</a:t>
                </a:r>
              </a:p>
            </c:rich>
          </c:tx>
          <c:layout>
            <c:manualLayout>
              <c:xMode val="edge"/>
              <c:yMode val="edge"/>
              <c:x val="0.37225798677512784"/>
              <c:y val="0.88543188850505605"/>
            </c:manualLayout>
          </c:layout>
          <c:overlay val="0"/>
          <c:spPr>
            <a:noFill/>
            <a:ln w="25400">
              <a:noFill/>
            </a:ln>
          </c:spPr>
        </c:title>
        <c:numFmt formatCode="d/mm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600960"/>
        <c:crossesAt val="-50"/>
        <c:crossBetween val="midCat"/>
        <c:majorUnit val="0.99856317249314397"/>
      </c:valAx>
      <c:valAx>
        <c:axId val="282600960"/>
        <c:scaling>
          <c:orientation val="minMax"/>
          <c:max val="500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Elev. Muka Air (Cm) </a:t>
                </a:r>
              </a:p>
            </c:rich>
          </c:tx>
          <c:layout>
            <c:manualLayout>
              <c:xMode val="edge"/>
              <c:yMode val="edge"/>
              <c:x val="1.9309267013892174E-2"/>
              <c:y val="0.34452994995058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594304"/>
        <c:crosses val="autoZero"/>
        <c:crossBetween val="midCat"/>
        <c:majorUnit val="100"/>
        <c:minorUnit val="2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2806042557075126"/>
          <c:y val="0.92409501528703331"/>
          <c:w val="0.71092368607292067"/>
          <c:h val="4.620475076435166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paperSize="9" firstPageNumber="0" orientation="landscape" horizontalDpi="-3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31983461673188E-2"/>
          <c:y val="4.2875184029190987E-2"/>
          <c:w val="0.9251475624324712"/>
          <c:h val="0.8865074815447430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'Forcasting Pasut'!$H$18:$H$377</c:f>
              <c:numCache>
                <c:formatCode>General</c:formatCode>
                <c:ptCount val="360"/>
                <c:pt idx="0">
                  <c:v>-17.556873459974284</c:v>
                </c:pt>
                <c:pt idx="1">
                  <c:v>-15.402331425658979</c:v>
                </c:pt>
                <c:pt idx="2">
                  <c:v>-9.5301690151107241</c:v>
                </c:pt>
                <c:pt idx="3">
                  <c:v>-1.357734682060074</c:v>
                </c:pt>
                <c:pt idx="4">
                  <c:v>7.1424125134170957</c:v>
                </c:pt>
                <c:pt idx="5">
                  <c:v>13.918614316373629</c:v>
                </c:pt>
                <c:pt idx="6">
                  <c:v>17.335316653861124</c:v>
                </c:pt>
                <c:pt idx="7">
                  <c:v>16.567839035742502</c:v>
                </c:pt>
                <c:pt idx="8">
                  <c:v>11.801425523619196</c:v>
                </c:pt>
                <c:pt idx="9">
                  <c:v>4.1865328570924643</c:v>
                </c:pt>
                <c:pt idx="10">
                  <c:v>-4.4388522748390553</c:v>
                </c:pt>
                <c:pt idx="11">
                  <c:v>-11.992843264677322</c:v>
                </c:pt>
                <c:pt idx="12">
                  <c:v>-16.652153101540407</c:v>
                </c:pt>
                <c:pt idx="13">
                  <c:v>-17.292176379272153</c:v>
                </c:pt>
                <c:pt idx="14">
                  <c:v>-13.758432356431355</c:v>
                </c:pt>
                <c:pt idx="15">
                  <c:v>-6.9038515680550105</c:v>
                </c:pt>
                <c:pt idx="16">
                  <c:v>1.6170937825805254</c:v>
                </c:pt>
                <c:pt idx="17">
                  <c:v>9.7477254443166057</c:v>
                </c:pt>
                <c:pt idx="18">
                  <c:v>15.525574158313621</c:v>
                </c:pt>
                <c:pt idx="19">
                  <c:v>17.556055720639772</c:v>
                </c:pt>
                <c:pt idx="20">
                  <c:v>15.349078117231912</c:v>
                </c:pt>
                <c:pt idx="21">
                  <c:v>9.4373337491022014</c:v>
                </c:pt>
                <c:pt idx="22">
                  <c:v>1.2477248633627698</c:v>
                </c:pt>
                <c:pt idx="23">
                  <c:v>-7.243044103131842</c:v>
                </c:pt>
                <c:pt idx="24">
                  <c:v>-13.985578493989511</c:v>
                </c:pt>
                <c:pt idx="25">
                  <c:v>-17.35245045129864</c:v>
                </c:pt>
                <c:pt idx="26">
                  <c:v>-16.531006913211243</c:v>
                </c:pt>
                <c:pt idx="27">
                  <c:v>-11.71951755402036</c:v>
                </c:pt>
                <c:pt idx="28">
                  <c:v>-4.0793189524179958</c:v>
                </c:pt>
                <c:pt idx="29">
                  <c:v>4.5454941753591385</c:v>
                </c:pt>
                <c:pt idx="30">
                  <c:v>12.073173284956948</c:v>
                </c:pt>
                <c:pt idx="31">
                  <c:v>16.686782195079921</c:v>
                </c:pt>
                <c:pt idx="32">
                  <c:v>17.27274621250535</c:v>
                </c:pt>
                <c:pt idx="33">
                  <c:v>13.689632737796282</c:v>
                </c:pt>
                <c:pt idx="34">
                  <c:v>6.8022884812204039</c:v>
                </c:pt>
                <c:pt idx="35">
                  <c:v>-1.7269063214793812</c:v>
                </c:pt>
                <c:pt idx="36">
                  <c:v>-9.8392822705163976</c:v>
                </c:pt>
                <c:pt idx="37">
                  <c:v>-15.576776440588297</c:v>
                </c:pt>
                <c:pt idx="38">
                  <c:v>-17.554544898286192</c:v>
                </c:pt>
                <c:pt idx="39">
                  <c:v>-15.295218853482632</c:v>
                </c:pt>
                <c:pt idx="40">
                  <c:v>-9.3441259133165513</c:v>
                </c:pt>
                <c:pt idx="41">
                  <c:v>-1.1376657866243616</c:v>
                </c:pt>
                <c:pt idx="42">
                  <c:v>7.3433897498674643</c:v>
                </c:pt>
                <c:pt idx="43">
                  <c:v>14.051990544913576</c:v>
                </c:pt>
                <c:pt idx="44">
                  <c:v>17.368899203704498</c:v>
                </c:pt>
                <c:pt idx="45">
                  <c:v>16.493522174832687</c:v>
                </c:pt>
                <c:pt idx="46">
                  <c:v>11.637146917935491</c:v>
                </c:pt>
                <c:pt idx="47">
                  <c:v>3.9719440032161799</c:v>
                </c:pt>
                <c:pt idx="48">
                  <c:v>-4.65195662755238</c:v>
                </c:pt>
                <c:pt idx="49">
                  <c:v>-12.153026677027901</c:v>
                </c:pt>
                <c:pt idx="50">
                  <c:v>-16.720752523030729</c:v>
                </c:pt>
                <c:pt idx="51">
                  <c:v>-17.252634147293755</c:v>
                </c:pt>
                <c:pt idx="52">
                  <c:v>-13.620292675901132</c:v>
                </c:pt>
                <c:pt idx="53">
                  <c:v>-6.7004568516839127</c:v>
                </c:pt>
                <c:pt idx="54">
                  <c:v>1.8366506850735556</c:v>
                </c:pt>
                <c:pt idx="55">
                  <c:v>9.9304506586996997</c:v>
                </c:pt>
                <c:pt idx="56">
                  <c:v>15.627363778400831</c:v>
                </c:pt>
                <c:pt idx="57">
                  <c:v>17.552341052558223</c:v>
                </c:pt>
                <c:pt idx="58">
                  <c:v>15.240755760682621</c:v>
                </c:pt>
                <c:pt idx="59">
                  <c:v>9.2505491874395762</c:v>
                </c:pt>
                <c:pt idx="60">
                  <c:v>1.0275617967886002</c:v>
                </c:pt>
                <c:pt idx="61">
                  <c:v>-7.4434454921497162</c:v>
                </c:pt>
                <c:pt idx="62">
                  <c:v>-14.11784784731179</c:v>
                </c:pt>
                <c:pt idx="63">
                  <c:v>-17.384662261710108</c:v>
                </c:pt>
                <c:pt idx="64">
                  <c:v>-16.455386300440075</c:v>
                </c:pt>
                <c:pt idx="65">
                  <c:v>-11.554316867216267</c:v>
                </c:pt>
                <c:pt idx="66">
                  <c:v>-3.8644122484661434</c:v>
                </c:pt>
                <c:pt idx="67">
                  <c:v>4.7582354284633315</c:v>
                </c:pt>
                <c:pt idx="68">
                  <c:v>12.232400288414867</c:v>
                </c:pt>
                <c:pt idx="69">
                  <c:v>16.754062744302431</c:v>
                </c:pt>
                <c:pt idx="70">
                  <c:v>17.231840977627272</c:v>
                </c:pt>
                <c:pt idx="71">
                  <c:v>13.550414908172874</c:v>
                </c:pt>
                <c:pt idx="72">
                  <c:v>6.5983606995840534</c:v>
                </c:pt>
                <c:pt idx="73">
                  <c:v>-1.946322540843626</c:v>
                </c:pt>
                <c:pt idx="74">
                  <c:v>-10.021227009694703</c:v>
                </c:pt>
                <c:pt idx="75">
                  <c:v>-15.677334174649681</c:v>
                </c:pt>
                <c:pt idx="76">
                  <c:v>-17.549444270459922</c:v>
                </c:pt>
                <c:pt idx="77">
                  <c:v>-15.185690988941531</c:v>
                </c:pt>
                <c:pt idx="78">
                  <c:v>-9.1566072657201563</c:v>
                </c:pt>
                <c:pt idx="79">
                  <c:v>-0.9174172405726313</c:v>
                </c:pt>
                <c:pt idx="80">
                  <c:v>7.5432073799491004</c:v>
                </c:pt>
                <c:pt idx="81">
                  <c:v>14.183147801250657</c:v>
                </c:pt>
                <c:pt idx="82">
                  <c:v>17.399739003016922</c:v>
                </c:pt>
                <c:pt idx="83">
                  <c:v>16.416600795572499</c:v>
                </c:pt>
                <c:pt idx="84">
                  <c:v>11.471030671851379</c:v>
                </c:pt>
                <c:pt idx="85">
                  <c:v>3.7567279333375927</c:v>
                </c:pt>
                <c:pt idx="86">
                  <c:v>-4.8643263823869693</c:v>
                </c:pt>
                <c:pt idx="87">
                  <c:v>-12.311290985583762</c:v>
                </c:pt>
                <c:pt idx="88">
                  <c:v>-16.786711543864559</c:v>
                </c:pt>
                <c:pt idx="89">
                  <c:v>-17.210367524384619</c:v>
                </c:pt>
                <c:pt idx="90">
                  <c:v>-13.480002193266028</c:v>
                </c:pt>
                <c:pt idx="91">
                  <c:v>-6.4960040555019187</c:v>
                </c:pt>
                <c:pt idx="92">
                  <c:v>2.05591755913236</c:v>
                </c:pt>
                <c:pt idx="93">
                  <c:v>10.1116077398064</c:v>
                </c:pt>
                <c:pt idx="94">
                  <c:v>15.726685656589298</c:v>
                </c:pt>
                <c:pt idx="95">
                  <c:v>17.545854666351278</c:v>
                </c:pt>
                <c:pt idx="96">
                  <c:v>15.130026712122202</c:v>
                </c:pt>
                <c:pt idx="97">
                  <c:v>9.0623038568244016</c:v>
                </c:pt>
                <c:pt idx="98">
                  <c:v>0.80723646629474988</c:v>
                </c:pt>
                <c:pt idx="99">
                  <c:v>-7.6426714748371651</c:v>
                </c:pt>
                <c:pt idx="100">
                  <c:v>-14.247887828799733</c:v>
                </c:pt>
                <c:pt idx="101">
                  <c:v>-17.414128832421053</c:v>
                </c:pt>
                <c:pt idx="102">
                  <c:v>-16.377167191415168</c:v>
                </c:pt>
                <c:pt idx="103">
                  <c:v>-11.387291619836974</c:v>
                </c:pt>
                <c:pt idx="104">
                  <c:v>-3.6488953090226</c:v>
                </c:pt>
                <c:pt idx="105">
                  <c:v>4.9702253010342137</c:v>
                </c:pt>
                <c:pt idx="106">
                  <c:v>12.389695654064898</c:v>
                </c:pt>
                <c:pt idx="107">
                  <c:v>16.818697632798333</c:v>
                </c:pt>
                <c:pt idx="108">
                  <c:v>17.188214635301012</c:v>
                </c:pt>
                <c:pt idx="109">
                  <c:v>13.409057310954051</c:v>
                </c:pt>
                <c:pt idx="110">
                  <c:v>6.3933909603026144</c:v>
                </c:pt>
                <c:pt idx="111">
                  <c:v>-2.1654314133161541</c:v>
                </c:pt>
                <c:pt idx="112">
                  <c:v>-10.201589280958377</c:v>
                </c:pt>
                <c:pt idx="113">
                  <c:v>-15.775416275907533</c:v>
                </c:pt>
                <c:pt idx="114">
                  <c:v>-17.541572381943727</c:v>
                </c:pt>
                <c:pt idx="115">
                  <c:v>-15.073765127755095</c:v>
                </c:pt>
                <c:pt idx="116">
                  <c:v>-8.9676426836897445</c:v>
                </c:pt>
                <c:pt idx="117">
                  <c:v>-0.69702382370363869</c:v>
                </c:pt>
                <c:pt idx="118">
                  <c:v>7.7418338501417523</c:v>
                </c:pt>
                <c:pt idx="119">
                  <c:v>14.312065374133619</c:v>
                </c:pt>
                <c:pt idx="120">
                  <c:v>17.427831181836627</c:v>
                </c:pt>
                <c:pt idx="121">
                  <c:v>16.33708704473937</c:v>
                </c:pt>
                <c:pt idx="122">
                  <c:v>11.303103017047679</c:v>
                </c:pt>
                <c:pt idx="123">
                  <c:v>3.5409186325688382</c:v>
                </c:pt>
                <c:pt idx="124">
                  <c:v>-5.0759280036967214</c:v>
                </c:pt>
                <c:pt idx="125">
                  <c:v>-12.467611198575989</c:v>
                </c:pt>
                <c:pt idx="126">
                  <c:v>-16.850019748347862</c:v>
                </c:pt>
                <c:pt idx="127">
                  <c:v>-17.165383184934488</c:v>
                </c:pt>
                <c:pt idx="128">
                  <c:v>-13.337583062019343</c:v>
                </c:pt>
                <c:pt idx="129">
                  <c:v>-6.2905254649753193</c:v>
                </c:pt>
                <c:pt idx="130">
                  <c:v>2.2748597799756869</c:v>
                </c:pt>
                <c:pt idx="131">
                  <c:v>10.291168080833561</c:v>
                </c:pt>
                <c:pt idx="132">
                  <c:v>15.823524108803092</c:v>
                </c:pt>
                <c:pt idx="133">
                  <c:v>17.536597586294519</c:v>
                </c:pt>
                <c:pt idx="134">
                  <c:v>15.016908456951166</c:v>
                </c:pt>
                <c:pt idx="135">
                  <c:v>8.8726274833767853</c:v>
                </c:pt>
                <c:pt idx="136">
                  <c:v>0.58678366380533897</c:v>
                </c:pt>
                <c:pt idx="137">
                  <c:v>-7.8406905911021907</c:v>
                </c:pt>
                <c:pt idx="138">
                  <c:v>-14.375677903632715</c:v>
                </c:pt>
                <c:pt idx="139">
                  <c:v>-17.440845510318379</c:v>
                </c:pt>
                <c:pt idx="140">
                  <c:v>-16.296361937840615</c:v>
                </c:pt>
                <c:pt idx="141">
                  <c:v>-11.218468187105378</c:v>
                </c:pt>
                <c:pt idx="142">
                  <c:v>-3.4328021667104869</c:v>
                </c:pt>
                <c:pt idx="143">
                  <c:v>5.1814303174131444</c:v>
                </c:pt>
                <c:pt idx="144">
                  <c:v>12.545034543145109</c:v>
                </c:pt>
                <c:pt idx="145">
                  <c:v>16.880676653969545</c:v>
                </c:pt>
                <c:pt idx="146">
                  <c:v>17.141874074631716</c:v>
                </c:pt>
                <c:pt idx="147">
                  <c:v>13.265582268143026</c:v>
                </c:pt>
                <c:pt idx="148">
                  <c:v>6.1874116304740054</c:v>
                </c:pt>
                <c:pt idx="149">
                  <c:v>-2.3841983390661659</c:v>
                </c:pt>
                <c:pt idx="150">
                  <c:v>-10.380340603014012</c:v>
                </c:pt>
                <c:pt idx="151">
                  <c:v>-15.871007256061098</c:v>
                </c:pt>
                <c:pt idx="152">
                  <c:v>-17.530930475800083</c:v>
                </c:pt>
                <c:pt idx="153">
                  <c:v>-14.959458944314488</c:v>
                </c:pt>
                <c:pt idx="154">
                  <c:v>-8.7772620069230438</c:v>
                </c:pt>
                <c:pt idx="155">
                  <c:v>-0.47652033869297622</c:v>
                </c:pt>
                <c:pt idx="156">
                  <c:v>7.9392377950231703</c:v>
                </c:pt>
                <c:pt idx="157">
                  <c:v>14.43872290598328</c:v>
                </c:pt>
                <c:pt idx="158">
                  <c:v>17.453171304082883</c:v>
                </c:pt>
                <c:pt idx="159">
                  <c:v>16.254993478476493</c:v>
                </c:pt>
                <c:pt idx="160">
                  <c:v>11.133390471248051</c:v>
                </c:pt>
                <c:pt idx="161">
                  <c:v>3.3245501797004922</c:v>
                </c:pt>
                <c:pt idx="162">
                  <c:v>-5.2867280771329028</c:v>
                </c:pt>
                <c:pt idx="163">
                  <c:v>-12.62196263123074</c:v>
                </c:pt>
                <c:pt idx="164">
                  <c:v>-16.910667139381275</c:v>
                </c:pt>
                <c:pt idx="165">
                  <c:v>-17.117688232491989</c:v>
                </c:pt>
                <c:pt idx="166">
                  <c:v>-13.193057771793244</c:v>
                </c:pt>
                <c:pt idx="167">
                  <c:v>-6.08405352755595</c:v>
                </c:pt>
                <c:pt idx="168">
                  <c:v>2.4934427740886203</c:v>
                </c:pt>
                <c:pt idx="169">
                  <c:v>10.469103327121751</c:v>
                </c:pt>
                <c:pt idx="170">
                  <c:v>15.917863843127837</c:v>
                </c:pt>
                <c:pt idx="171">
                  <c:v>17.524571274188197</c:v>
                </c:pt>
                <c:pt idx="172">
                  <c:v>14.901418857853187</c:v>
                </c:pt>
                <c:pt idx="173">
                  <c:v>8.6815500191949972</c:v>
                </c:pt>
                <c:pt idx="174">
                  <c:v>0.3662382013730765</c:v>
                </c:pt>
                <c:pt idx="175">
                  <c:v>-8.0374715714306006</c:v>
                </c:pt>
                <c:pt idx="176">
                  <c:v>-14.501197892276711</c:v>
                </c:pt>
                <c:pt idx="177">
                  <c:v>-17.464808076528893</c:v>
                </c:pt>
                <c:pt idx="178">
                  <c:v>-16.212983299802655</c:v>
                </c:pt>
                <c:pt idx="179">
                  <c:v>-11.047873228198144</c:v>
                </c:pt>
                <c:pt idx="180">
                  <c:v>-3.2161669451421901</c:v>
                </c:pt>
                <c:pt idx="181">
                  <c:v>5.3918171258800296</c:v>
                </c:pt>
                <c:pt idx="182">
                  <c:v>12.698392425844302</c:v>
                </c:pt>
                <c:pt idx="183">
                  <c:v>16.939990020610107</c:v>
                </c:pt>
                <c:pt idx="184">
                  <c:v>17.09282661333113</c:v>
                </c:pt>
                <c:pt idx="185">
                  <c:v>13.120012436112432</c:v>
                </c:pt>
                <c:pt idx="186">
                  <c:v>5.9804552366219585</c:v>
                </c:pt>
                <c:pt idx="187">
                  <c:v>-2.6025887722600585</c:v>
                </c:pt>
                <c:pt idx="188">
                  <c:v>-10.55745274895571</c:v>
                </c:pt>
                <c:pt idx="189">
                  <c:v>-15.96409202018611</c:v>
                </c:pt>
                <c:pt idx="190">
                  <c:v>-17.517520232509273</c:v>
                </c:pt>
                <c:pt idx="191">
                  <c:v>-14.842790488890961</c:v>
                </c:pt>
                <c:pt idx="192">
                  <c:v>-8.5854952987367401</c:v>
                </c:pt>
                <c:pt idx="193">
                  <c:v>-0.25594160559608686</c:v>
                </c:pt>
                <c:pt idx="194">
                  <c:v>8.1353880422227451</c:v>
                </c:pt>
                <c:pt idx="195">
                  <c:v>14.563100396107099</c:v>
                </c:pt>
                <c:pt idx="196">
                  <c:v>17.475755368256632</c:v>
                </c:pt>
                <c:pt idx="197">
                  <c:v>16.170333060309215</c:v>
                </c:pt>
                <c:pt idx="198">
                  <c:v>10.961919834030564</c:v>
                </c:pt>
                <c:pt idx="199">
                  <c:v>3.1076567418193632</c:v>
                </c:pt>
                <c:pt idx="200">
                  <c:v>-5.4966933149197699</c:v>
                </c:pt>
                <c:pt idx="201">
                  <c:v>-12.77432090966802</c:v>
                </c:pt>
                <c:pt idx="202">
                  <c:v>-16.968644140038709</c:v>
                </c:pt>
                <c:pt idx="203">
                  <c:v>-17.067290198643072</c:v>
                </c:pt>
                <c:pt idx="204">
                  <c:v>-13.046449144805703</c:v>
                </c:pt>
                <c:pt idx="205">
                  <c:v>-5.8766208475561106</c:v>
                </c:pt>
                <c:pt idx="206">
                  <c:v>2.7116320246826198</c:v>
                </c:pt>
                <c:pt idx="207">
                  <c:v>10.645385380632792</c:v>
                </c:pt>
                <c:pt idx="208">
                  <c:v>16.009689962226332</c:v>
                </c:pt>
                <c:pt idx="209">
                  <c:v>17.509777629126425</c:v>
                </c:pt>
                <c:pt idx="210">
                  <c:v>14.783576151974893</c:v>
                </c:pt>
                <c:pt idx="211">
                  <c:v>8.4891016376248079</c:v>
                </c:pt>
                <c:pt idx="212">
                  <c:v>0.14563490568275042</c:v>
                </c:pt>
                <c:pt idx="213">
                  <c:v>-8.232983341824335</c:v>
                </c:pt>
                <c:pt idx="214">
                  <c:v>-14.624427973670015</c:v>
                </c:pt>
                <c:pt idx="215">
                  <c:v>-17.486012747085717</c:v>
                </c:pt>
                <c:pt idx="216">
                  <c:v>-16.127044443754894</c:v>
                </c:pt>
                <c:pt idx="217">
                  <c:v>-10.875533682037554</c:v>
                </c:pt>
                <c:pt idx="218">
                  <c:v>-2.9990238535297746</c:v>
                </c:pt>
                <c:pt idx="219">
                  <c:v>5.6013525039190473</c:v>
                </c:pt>
                <c:pt idx="220">
                  <c:v>12.849745085174851</c:v>
                </c:pt>
                <c:pt idx="221">
                  <c:v>16.996628366451695</c:v>
                </c:pt>
                <c:pt idx="222">
                  <c:v>17.041079996561908</c:v>
                </c:pt>
                <c:pt idx="223">
                  <c:v>12.972370802026338</c:v>
                </c:pt>
                <c:pt idx="224">
                  <c:v>5.7725544595608831</c:v>
                </c:pt>
                <c:pt idx="225">
                  <c:v>-2.8205682265161514</c:v>
                </c:pt>
                <c:pt idx="226">
                  <c:v>-10.732897750722667</c:v>
                </c:pt>
                <c:pt idx="227">
                  <c:v>-16.054655869119514</c:v>
                </c:pt>
                <c:pt idx="228">
                  <c:v>-17.501343769704263</c:v>
                </c:pt>
                <c:pt idx="229">
                  <c:v>-14.723778184786015</c:v>
                </c:pt>
                <c:pt idx="230">
                  <c:v>-8.3923728413161101</c:v>
                </c:pt>
                <c:pt idx="231">
                  <c:v>-3.5322456353453005E-2</c:v>
                </c:pt>
                <c:pt idx="232">
                  <c:v>8.3302536173413788</c:v>
                </c:pt>
                <c:pt idx="233">
                  <c:v>14.685178203857699</c:v>
                </c:pt>
                <c:pt idx="234">
                  <c:v>17.495579808072328</c:v>
                </c:pt>
                <c:pt idx="235">
                  <c:v>16.08311915909956</c:v>
                </c:pt>
                <c:pt idx="236">
                  <c:v>10.788718182596478</c:v>
                </c:pt>
                <c:pt idx="237">
                  <c:v>2.890272568913355</c:v>
                </c:pt>
                <c:pt idx="238">
                  <c:v>-5.7057905611122859</c:v>
                </c:pt>
                <c:pt idx="239">
                  <c:v>-12.924661974748521</c:v>
                </c:pt>
                <c:pt idx="240">
                  <c:v>-17.023941595079727</c:v>
                </c:pt>
                <c:pt idx="241">
                  <c:v>-17.014197041821546</c:v>
                </c:pt>
                <c:pt idx="242">
                  <c:v>-12.897780332259462</c:v>
                </c:pt>
                <c:pt idx="243">
                  <c:v>-5.6682601809997868</c:v>
                </c:pt>
                <c:pt idx="244">
                  <c:v>2.929393077145932</c:v>
                </c:pt>
                <c:pt idx="245">
                  <c:v>10.819986404386814</c:v>
                </c:pt>
                <c:pt idx="246">
                  <c:v>16.098987965689268</c:v>
                </c:pt>
                <c:pt idx="247">
                  <c:v>17.492218987197173</c:v>
                </c:pt>
                <c:pt idx="248">
                  <c:v>14.663398948045687</c:v>
                </c:pt>
                <c:pt idx="249">
                  <c:v>8.2953127284979029</c:v>
                </c:pt>
                <c:pt idx="250">
                  <c:v>-7.4991387446687999E-2</c:v>
                </c:pt>
                <c:pt idx="251">
                  <c:v>-8.4271950287092867</c:v>
                </c:pt>
                <c:pt idx="252">
                  <c:v>-14.745348688354671</c:v>
                </c:pt>
                <c:pt idx="253">
                  <c:v>-17.504456173525416</c:v>
                </c:pt>
                <c:pt idx="254">
                  <c:v>-16.038558940438531</c:v>
                </c:pt>
                <c:pt idx="255">
                  <c:v>-10.701476763034796</c:v>
                </c:pt>
                <c:pt idx="256">
                  <c:v>-2.7814071812853456</c:v>
                </c:pt>
                <c:pt idx="257">
                  <c:v>5.8100033634645216</c:v>
                </c:pt>
                <c:pt idx="258">
                  <c:v>12.999068620797987</c:v>
                </c:pt>
                <c:pt idx="259">
                  <c:v>17.050582747643119</c:v>
                </c:pt>
                <c:pt idx="260">
                  <c:v>16.986642395714821</c:v>
                </c:pt>
                <c:pt idx="261">
                  <c:v>12.822680680209604</c:v>
                </c:pt>
                <c:pt idx="262">
                  <c:v>5.5637421292323603</c:v>
                </c:pt>
                <c:pt idx="263">
                  <c:v>-3.0381022803524598</c:v>
                </c:pt>
                <c:pt idx="264">
                  <c:v>-10.906647903514891</c:v>
                </c:pt>
                <c:pt idx="265">
                  <c:v>-16.142684501779915</c:v>
                </c:pt>
                <c:pt idx="266">
                  <c:v>-17.482403641835987</c:v>
                </c:pt>
                <c:pt idx="267">
                  <c:v>-14.602440825422514</c:v>
                </c:pt>
                <c:pt idx="268">
                  <c:v>-8.1979251309365839</c:v>
                </c:pt>
                <c:pt idx="269">
                  <c:v>0.1853022707150089</c:v>
                </c:pt>
                <c:pt idx="270">
                  <c:v>8.5238037488466922</c:v>
                </c:pt>
                <c:pt idx="271">
                  <c:v>14.804937051733647</c:v>
                </c:pt>
                <c:pt idx="272">
                  <c:v>17.512641493021196</c:v>
                </c:pt>
                <c:pt idx="273">
                  <c:v>15.993365546933047</c:v>
                </c:pt>
                <c:pt idx="274">
                  <c:v>10.613812867494767</c:v>
                </c:pt>
                <c:pt idx="275">
                  <c:v>2.6724319884641052</c:v>
                </c:pt>
                <c:pt idx="276">
                  <c:v>-5.913986796832285</c:v>
                </c:pt>
                <c:pt idx="277">
                  <c:v>-13.072962085875778</c:v>
                </c:pt>
                <c:pt idx="278">
                  <c:v>-17.076550772395027</c:v>
                </c:pt>
                <c:pt idx="279">
                  <c:v>-16.958417146052167</c:v>
                </c:pt>
                <c:pt idx="280">
                  <c:v>-12.747074810682435</c:v>
                </c:pt>
                <c:pt idx="281">
                  <c:v>-5.4590044304530343</c:v>
                </c:pt>
                <c:pt idx="282">
                  <c:v>3.1466915444835153</c:v>
                </c:pt>
                <c:pt idx="283">
                  <c:v>10.992878826858712</c:v>
                </c:pt>
                <c:pt idx="284">
                  <c:v>16.185743752327134</c:v>
                </c:pt>
                <c:pt idx="285">
                  <c:v>17.471898121113671</c:v>
                </c:pt>
                <c:pt idx="286">
                  <c:v>14.540906223438656</c:v>
                </c:pt>
                <c:pt idx="287">
                  <c:v>8.1002138933284122</c:v>
                </c:pt>
                <c:pt idx="288">
                  <c:v>-0.29560583856697031</c:v>
                </c:pt>
                <c:pt idx="289">
                  <c:v>-8.6200759638074018</c:v>
                </c:pt>
                <c:pt idx="290">
                  <c:v>-14.863940941548199</c:v>
                </c:pt>
                <c:pt idx="291">
                  <c:v>-17.52013544341726</c:v>
                </c:pt>
                <c:pt idx="292">
                  <c:v>-15.9475407627408</c:v>
                </c:pt>
                <c:pt idx="293">
                  <c:v>-10.525729956796292</c:v>
                </c:pt>
                <c:pt idx="294">
                  <c:v>-2.5633512926034028</c:v>
                </c:pt>
                <c:pt idx="295">
                  <c:v>6.0177367561274426</c:v>
                </c:pt>
                <c:pt idx="296">
                  <c:v>13.146339452795578</c:v>
                </c:pt>
                <c:pt idx="297">
                  <c:v>17.101844644162121</c:v>
                </c:pt>
                <c:pt idx="298">
                  <c:v>16.929522407117911</c:v>
                </c:pt>
                <c:pt idx="299">
                  <c:v>12.670965708468742</c:v>
                </c:pt>
                <c:pt idx="300">
                  <c:v>5.3540512195251582</c:v>
                </c:pt>
                <c:pt idx="301">
                  <c:v>-3.2551565826201472</c:v>
                </c:pt>
                <c:pt idx="302">
                  <c:v>-11.07867577016966</c:v>
                </c:pt>
                <c:pt idx="303">
                  <c:v>-16.228164017425446</c:v>
                </c:pt>
                <c:pt idx="304">
                  <c:v>-17.46070283977016</c:v>
                </c:pt>
                <c:pt idx="305">
                  <c:v>-14.478797571375393</c:v>
                </c:pt>
                <c:pt idx="306">
                  <c:v>-8.0021828731450757</c:v>
                </c:pt>
                <c:pt idx="307">
                  <c:v>0.40589773640658339</c:v>
                </c:pt>
                <c:pt idx="308">
                  <c:v>8.7160078729289943</c:v>
                </c:pt>
                <c:pt idx="309">
                  <c:v>14.922358028425252</c:v>
                </c:pt>
                <c:pt idx="310">
                  <c:v>17.526937728865263</c:v>
                </c:pt>
                <c:pt idx="311">
                  <c:v>15.901086396945802</c:v>
                </c:pt>
                <c:pt idx="312">
                  <c:v>10.437231508302059</c:v>
                </c:pt>
                <c:pt idx="313">
                  <c:v>2.4541694000233223</c:v>
                </c:pt>
                <c:pt idx="314">
                  <c:v>-6.121249145479017</c:v>
                </c:pt>
                <c:pt idx="315">
                  <c:v>-13.219197824743588</c:v>
                </c:pt>
                <c:pt idx="316">
                  <c:v>-17.12646336438571</c:v>
                </c:pt>
                <c:pt idx="317">
                  <c:v>-16.899959319627278</c:v>
                </c:pt>
                <c:pt idx="318">
                  <c:v>-12.594356378224708</c:v>
                </c:pt>
                <c:pt idx="319">
                  <c:v>-5.2488866398232137</c:v>
                </c:pt>
                <c:pt idx="320">
                  <c:v>3.363493112748619</c:v>
                </c:pt>
                <c:pt idx="321">
                  <c:v>11.164035346330161</c:v>
                </c:pt>
                <c:pt idx="322">
                  <c:v>16.269943622395417</c:v>
                </c:pt>
                <c:pt idx="323">
                  <c:v>17.448818239776099</c:v>
                </c:pt>
                <c:pt idx="324">
                  <c:v>14.416117321175689</c:v>
                </c:pt>
                <c:pt idx="325">
                  <c:v>7.9038359404847274</c:v>
                </c:pt>
                <c:pt idx="326">
                  <c:v>-0.51617361009857132</c:v>
                </c:pt>
                <c:pt idx="327">
                  <c:v>-8.8115956889843918</c:v>
                </c:pt>
                <c:pt idx="328">
                  <c:v>-14.980186006158254</c:v>
                </c:pt>
                <c:pt idx="329">
                  <c:v>-17.533048080822716</c:v>
                </c:pt>
                <c:pt idx="330">
                  <c:v>-15.854004283486875</c:v>
                </c:pt>
                <c:pt idx="331">
                  <c:v>-10.348321015778875</c:v>
                </c:pt>
                <c:pt idx="332">
                  <c:v>-2.3448906210380343</c:v>
                </c:pt>
                <c:pt idx="333">
                  <c:v>6.2245198783965199</c:v>
                </c:pt>
                <c:pt idx="334">
                  <c:v>13.291534325396372</c:v>
                </c:pt>
                <c:pt idx="335">
                  <c:v>17.150405961160878</c:v>
                </c:pt>
                <c:pt idx="336">
                  <c:v>16.869729050679936</c:v>
                </c:pt>
                <c:pt idx="337">
                  <c:v>12.517249844355501</c:v>
                </c:pt>
                <c:pt idx="338">
                  <c:v>5.1435148430642625</c:v>
                </c:pt>
                <c:pt idx="339">
                  <c:v>-3.4716968579282215</c:v>
                </c:pt>
                <c:pt idx="340">
                  <c:v>-11.248954185491465</c:v>
                </c:pt>
                <c:pt idx="341">
                  <c:v>-16.311080917849967</c:v>
                </c:pt>
                <c:pt idx="342">
                  <c:v>-17.436244790315154</c:v>
                </c:pt>
                <c:pt idx="343">
                  <c:v>-14.352867947348487</c:v>
                </c:pt>
                <c:pt idx="344">
                  <c:v>-7.8051769779145399</c:v>
                </c:pt>
                <c:pt idx="345">
                  <c:v>0.62642910614076208</c:v>
                </c:pt>
                <c:pt idx="346">
                  <c:v>8.9068356383289924</c:v>
                </c:pt>
                <c:pt idx="347">
                  <c:v>15.037422591798441</c:v>
                </c:pt>
                <c:pt idx="348">
                  <c:v>17.538466258063295</c:v>
                </c:pt>
                <c:pt idx="349">
                  <c:v>15.806296281085022</c:v>
                </c:pt>
                <c:pt idx="350">
                  <c:v>10.259001989261961</c:v>
                </c:pt>
                <c:pt idx="351">
                  <c:v>2.2355192697851347</c:v>
                </c:pt>
                <c:pt idx="352">
                  <c:v>-6.3275448779268411</c:v>
                </c:pt>
                <c:pt idx="353">
                  <c:v>-13.363346099032739</c:v>
                </c:pt>
                <c:pt idx="354">
                  <c:v>-17.173671489274899</c:v>
                </c:pt>
                <c:pt idx="355">
                  <c:v>-16.838832793715138</c:v>
                </c:pt>
                <c:pt idx="356">
                  <c:v>-12.439649150895752</c:v>
                </c:pt>
                <c:pt idx="357">
                  <c:v>-5.0379399891464152</c:v>
                </c:pt>
                <c:pt idx="358">
                  <c:v>3.5797635464603705</c:v>
                </c:pt>
                <c:pt idx="359">
                  <c:v>11.333428935203203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6-43F7-8860-DB204A225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02464"/>
        <c:axId val="184704000"/>
      </c:lineChart>
      <c:catAx>
        <c:axId val="18470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04000"/>
        <c:crosses val="autoZero"/>
        <c:auto val="1"/>
        <c:lblAlgn val="ctr"/>
        <c:lblOffset val="100"/>
        <c:tickLblSkip val="11"/>
        <c:tickMarkSkip val="1"/>
        <c:noMultiLvlLbl val="0"/>
      </c:catAx>
      <c:valAx>
        <c:axId val="184704000"/>
        <c:scaling>
          <c:orientation val="minMax"/>
          <c:max val="160"/>
          <c:min val="-1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02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256051868299844"/>
          <c:y val="0.52292291045858064"/>
          <c:w val="8.2220072431849089E-2"/>
          <c:h val="2.72206446540083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31983461673188E-2"/>
          <c:y val="4.2875184029190987E-2"/>
          <c:w val="0.9251475624324712"/>
          <c:h val="0.8865074815447430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'Forcasting Pasut'!$I$18:$I$377</c:f>
              <c:numCache>
                <c:formatCode>General</c:formatCode>
                <c:ptCount val="360"/>
                <c:pt idx="0">
                  <c:v>-32.180568625571837</c:v>
                </c:pt>
                <c:pt idx="1">
                  <c:v>-27.0329389290916</c:v>
                </c:pt>
                <c:pt idx="2">
                  <c:v>-20.033032368254421</c:v>
                </c:pt>
                <c:pt idx="3">
                  <c:v>-11.660477333051828</c:v>
                </c:pt>
                <c:pt idx="4">
                  <c:v>-2.4889550657616062</c:v>
                </c:pt>
                <c:pt idx="5">
                  <c:v>6.8531085509848033</c:v>
                </c:pt>
                <c:pt idx="6">
                  <c:v>15.725602268164916</c:v>
                </c:pt>
                <c:pt idx="7">
                  <c:v>23.520589416939522</c:v>
                </c:pt>
                <c:pt idx="8">
                  <c:v>29.703963276929205</c:v>
                </c:pt>
                <c:pt idx="9">
                  <c:v>33.852043671347751</c:v>
                </c:pt>
                <c:pt idx="10">
                  <c:v>35.680607217520127</c:v>
                </c:pt>
                <c:pt idx="11">
                  <c:v>35.064362101616332</c:v>
                </c:pt>
                <c:pt idx="12">
                  <c:v>32.045532980524591</c:v>
                </c:pt>
                <c:pt idx="13">
                  <c:v>26.830967779774301</c:v>
                </c:pt>
                <c:pt idx="14">
                  <c:v>19.777964627562547</c:v>
                </c:pt>
                <c:pt idx="15">
                  <c:v>11.369790052820795</c:v>
                </c:pt>
                <c:pt idx="16">
                  <c:v>2.1825659221770066</c:v>
                </c:pt>
                <c:pt idx="17">
                  <c:v>-7.1542060017417306</c:v>
                </c:pt>
                <c:pt idx="18">
                  <c:v>-16.00077705276874</c:v>
                </c:pt>
                <c:pt idx="19">
                  <c:v>-23.750986763864557</c:v>
                </c:pt>
                <c:pt idx="20">
                  <c:v>-29.873796531367489</c:v>
                </c:pt>
                <c:pt idx="21">
                  <c:v>-33.949675985052039</c:v>
                </c:pt>
                <c:pt idx="22">
                  <c:v>-35.699348896988639</c:v>
                </c:pt>
                <c:pt idx="23">
                  <c:v>-35.002928980914696</c:v>
                </c:pt>
                <c:pt idx="24">
                  <c:v>-31.908134411380313</c:v>
                </c:pt>
                <c:pt idx="25">
                  <c:v>-26.627018209927947</c:v>
                </c:pt>
                <c:pt idx="26">
                  <c:v>-19.521438529812389</c:v>
                </c:pt>
                <c:pt idx="27">
                  <c:v>-11.078264404542926</c:v>
                </c:pt>
                <c:pt idx="28">
                  <c:v>-1.8760158439119328</c:v>
                </c:pt>
                <c:pt idx="29">
                  <c:v>7.4547759266882299</c:v>
                </c:pt>
                <c:pt idx="30">
                  <c:v>16.274771996747312</c:v>
                </c:pt>
                <c:pt idx="31">
                  <c:v>23.979632797151393</c:v>
                </c:pt>
                <c:pt idx="32">
                  <c:v>30.041426997862239</c:v>
                </c:pt>
                <c:pt idx="33">
                  <c:v>34.044804969898614</c:v>
                </c:pt>
                <c:pt idx="34">
                  <c:v>35.715458232916227</c:v>
                </c:pt>
                <c:pt idx="35">
                  <c:v>34.938914868210027</c:v>
                </c:pt>
                <c:pt idx="36">
                  <c:v>31.768383049422859</c:v>
                </c:pt>
                <c:pt idx="37">
                  <c:v>26.421105258071432</c:v>
                </c:pt>
                <c:pt idx="38">
                  <c:v>19.263472990329799</c:v>
                </c:pt>
                <c:pt idx="39">
                  <c:v>10.785921884286999</c:v>
                </c:pt>
                <c:pt idx="40">
                  <c:v>1.5693274348833661</c:v>
                </c:pt>
                <c:pt idx="41">
                  <c:v>-7.7547961628626139</c:v>
                </c:pt>
                <c:pt idx="42">
                  <c:v>-16.547566896683865</c:v>
                </c:pt>
                <c:pt idx="43">
                  <c:v>-24.206510657251393</c:v>
                </c:pt>
                <c:pt idx="44">
                  <c:v>-30.206842315936587</c:v>
                </c:pt>
                <c:pt idx="45">
                  <c:v>-34.137423611413062</c:v>
                </c:pt>
                <c:pt idx="46">
                  <c:v>-35.728934037457513</c:v>
                </c:pt>
                <c:pt idx="47">
                  <c:v>-34.872324483676273</c:v>
                </c:pt>
                <c:pt idx="48">
                  <c:v>-31.62628919942259</c:v>
                </c:pt>
                <c:pt idx="49">
                  <c:v>-26.213244107496482</c:v>
                </c:pt>
                <c:pt idx="50">
                  <c:v>-19.004087030579875</c:v>
                </c:pt>
                <c:pt idx="51">
                  <c:v>-10.492784048354983</c:v>
                </c:pt>
                <c:pt idx="52">
                  <c:v>-1.2625233092082613</c:v>
                </c:pt>
                <c:pt idx="53">
                  <c:v>8.0542445878353597</c:v>
                </c:pt>
                <c:pt idx="54">
                  <c:v>16.819141637648858</c:v>
                </c:pt>
                <c:pt idx="55">
                  <c:v>24.431603614994728</c:v>
                </c:pt>
                <c:pt idx="56">
                  <c:v>30.370030288450927</c:v>
                </c:pt>
                <c:pt idx="57">
                  <c:v>34.227525080224787</c:v>
                </c:pt>
                <c:pt idx="58">
                  <c:v>35.739775316954407</c:v>
                </c:pt>
                <c:pt idx="59">
                  <c:v>34.803162737452524</c:v>
                </c:pt>
                <c:pt idx="60">
                  <c:v>31.481863338876785</c:v>
                </c:pt>
                <c:pt idx="61">
                  <c:v>26.003450085148096</c:v>
                </c:pt>
                <c:pt idx="62">
                  <c:v>18.743299776764708</c:v>
                </c:pt>
                <c:pt idx="63">
                  <c:v>10.198872511692546</c:v>
                </c:pt>
                <c:pt idx="64">
                  <c:v>0.95562608953621209</c:v>
                </c:pt>
                <c:pt idx="65">
                  <c:v>-8.3530991213403123</c:v>
                </c:pt>
                <c:pt idx="66">
                  <c:v>-17.089476194682668</c:v>
                </c:pt>
                <c:pt idx="67">
                  <c:v>-24.654895072824033</c:v>
                </c:pt>
                <c:pt idx="68">
                  <c:v>-30.530978882502069</c:v>
                </c:pt>
                <c:pt idx="69">
                  <c:v>-34.315102732570672</c:v>
                </c:pt>
                <c:pt idx="70">
                  <c:v>-35.747981272009355</c:v>
                </c:pt>
                <c:pt idx="71">
                  <c:v>-34.731434729280942</c:v>
                </c:pt>
                <c:pt idx="72">
                  <c:v>-31.335116117236819</c:v>
                </c:pt>
                <c:pt idx="73">
                  <c:v>-25.791738660494385</c:v>
                </c:pt>
                <c:pt idx="74">
                  <c:v>-18.481130458412423</c:v>
                </c:pt>
                <c:pt idx="75">
                  <c:v>-9.9042089462952774</c:v>
                </c:pt>
                <c:pt idx="76">
                  <c:v>-0.64865840538120201</c:v>
                </c:pt>
                <c:pt idx="77">
                  <c:v>8.6513377269024652</c:v>
                </c:pt>
                <c:pt idx="78">
                  <c:v>17.358550634272635</c:v>
                </c:pt>
                <c:pt idx="79">
                  <c:v>24.876368566017963</c:v>
                </c:pt>
                <c:pt idx="80">
                  <c:v>30.689676230310877</c:v>
                </c:pt>
                <c:pt idx="81">
                  <c:v>34.400150110784836</c:v>
                </c:pt>
                <c:pt idx="82">
                  <c:v>35.753551297544291</c:v>
                </c:pt>
                <c:pt idx="83">
                  <c:v>34.657145748130837</c:v>
                </c:pt>
                <c:pt idx="84">
                  <c:v>31.186058355123034</c:v>
                </c:pt>
                <c:pt idx="85">
                  <c:v>25.578125444385847</c:v>
                </c:pt>
                <c:pt idx="86">
                  <c:v>18.217598406960221</c:v>
                </c:pt>
                <c:pt idx="87">
                  <c:v>9.6088150796111638</c:v>
                </c:pt>
                <c:pt idx="88">
                  <c:v>0.3416428914528572</c:v>
                </c:pt>
                <c:pt idx="89">
                  <c:v>-8.9489384134638374</c:v>
                </c:pt>
                <c:pt idx="90">
                  <c:v>-17.626345115822641</c:v>
                </c:pt>
                <c:pt idx="91">
                  <c:v>-25.096007763905732</c:v>
                </c:pt>
                <c:pt idx="92">
                  <c:v>-30.846110630096984</c:v>
                </c:pt>
                <c:pt idx="93">
                  <c:v>-34.482660943774782</c:v>
                </c:pt>
                <c:pt idx="94">
                  <c:v>-35.756484982845272</c:v>
                </c:pt>
                <c:pt idx="95">
                  <c:v>-34.580301271808523</c:v>
                </c:pt>
                <c:pt idx="96">
                  <c:v>-31.03470104352678</c:v>
                </c:pt>
                <c:pt idx="97">
                  <c:v>-25.362626187904588</c:v>
                </c:pt>
                <c:pt idx="98">
                  <c:v>-17.95272305432815</c:v>
                </c:pt>
                <c:pt idx="99">
                  <c:v>-9.3127126929372839</c:v>
                </c:pt>
                <c:pt idx="100">
                  <c:v>-3.4602185987665388E-2</c:v>
                </c:pt>
                <c:pt idx="101">
                  <c:v>9.245879237003523</c:v>
                </c:pt>
                <c:pt idx="102">
                  <c:v>17.892839893116143</c:v>
                </c:pt>
                <c:pt idx="103">
                  <c:v>25.313796471070798</c:v>
                </c:pt>
                <c:pt idx="104">
                  <c:v>31.000270546941906</c:v>
                </c:pt>
                <c:pt idx="105">
                  <c:v>34.562629147483975</c:v>
                </c:pt>
                <c:pt idx="106">
                  <c:v>35.75678211159272</c:v>
                </c:pt>
                <c:pt idx="107">
                  <c:v>34.500906966553508</c:v>
                </c:pt>
                <c:pt idx="108">
                  <c:v>30.881055343000245</c:v>
                </c:pt>
                <c:pt idx="109">
                  <c:v>25.145256781202495</c:v>
                </c:pt>
                <c:pt idx="110">
                  <c:v>17.68652393148631</c:v>
                </c:pt>
                <c:pt idx="111">
                  <c:v>9.015923619814961</c:v>
                </c:pt>
                <c:pt idx="112">
                  <c:v>-0.27244107092003356</c:v>
                </c:pt>
                <c:pt idx="113">
                  <c:v>-9.5421383021570865</c:v>
                </c:pt>
                <c:pt idx="114">
                  <c:v>-18.15801531577219</c:v>
                </c:pt>
                <c:pt idx="115">
                  <c:v>-25.529718628545393</c:v>
                </c:pt>
                <c:pt idx="116">
                  <c:v>-31.15214461363928</c:v>
                </c:pt>
                <c:pt idx="117">
                  <c:v>-34.640048825340322</c:v>
                </c:pt>
                <c:pt idx="118">
                  <c:v>-35.754442661877427</c:v>
                </c:pt>
                <c:pt idx="119">
                  <c:v>-34.418968686620609</c:v>
                </c:pt>
                <c:pt idx="120">
                  <c:v>-30.725132582833172</c:v>
                </c:pt>
                <c:pt idx="121">
                  <c:v>-24.926033252329514</c:v>
                </c:pt>
                <c:pt idx="122">
                  <c:v>-17.41902066701525</c:v>
                </c:pt>
                <c:pt idx="123">
                  <c:v>-8.7184697444191013</c:v>
                </c:pt>
                <c:pt idx="124">
                  <c:v>0.57946423898814647</c:v>
                </c:pt>
                <c:pt idx="125">
                  <c:v>9.8376937638304067</c:v>
                </c:pt>
                <c:pt idx="126">
                  <c:v>18.421851830694358</c:v>
                </c:pt>
                <c:pt idx="127">
                  <c:v>25.743758314994235</c:v>
                </c:pt>
                <c:pt idx="128">
                  <c:v>31.301721631533425</c:v>
                </c:pt>
                <c:pt idx="129">
                  <c:v>34.71491426869099</c:v>
                </c:pt>
                <c:pt idx="130">
                  <c:v>35.749466806202122</c:v>
                </c:pt>
                <c:pt idx="131">
                  <c:v>34.334492473848478</c:v>
                </c:pt>
                <c:pt idx="132">
                  <c:v>30.566944260217483</c:v>
                </c:pt>
                <c:pt idx="133">
                  <c:v>24.704971766052171</c:v>
                </c:pt>
                <c:pt idx="134">
                  <c:v>17.150232985658089</c:v>
                </c:pt>
                <c:pt idx="135">
                  <c:v>8.420372999945144</c:v>
                </c:pt>
                <c:pt idx="136">
                  <c:v>-0.88644467941573279</c:v>
                </c:pt>
                <c:pt idx="137">
                  <c:v>-10.132523828810596</c:v>
                </c:pt>
                <c:pt idx="138">
                  <c:v>-18.684329983512548</c:v>
                </c:pt>
                <c:pt idx="139">
                  <c:v>-25.955899747888971</c:v>
                </c:pt>
                <c:pt idx="140">
                  <c:v>-31.448990571344908</c:v>
                </c:pt>
                <c:pt idx="141">
                  <c:v>-34.787219957223336</c:v>
                </c:pt>
                <c:pt idx="142">
                  <c:v>-35.741854911468792</c:v>
                </c:pt>
                <c:pt idx="143">
                  <c:v>-34.247484557213745</c:v>
                </c:pt>
                <c:pt idx="144">
                  <c:v>-30.406502039399793</c:v>
                </c:pt>
                <c:pt idx="145">
                  <c:v>-24.482088622661653</c:v>
                </c:pt>
                <c:pt idx="146">
                  <c:v>-16.880180706866856</c:v>
                </c:pt>
                <c:pt idx="147">
                  <c:v>-8.1216553669910478</c:v>
                </c:pt>
                <c:pt idx="148">
                  <c:v>1.1933597565524372</c:v>
                </c:pt>
                <c:pt idx="149">
                  <c:v>10.426606757372946</c:v>
                </c:pt>
                <c:pt idx="150">
                  <c:v>18.945430420017459</c:v>
                </c:pt>
                <c:pt idx="151">
                  <c:v>26.1661272846721</c:v>
                </c:pt>
                <c:pt idx="152">
                  <c:v>31.593940573983488</c:v>
                </c:pt>
                <c:pt idx="153">
                  <c:v>34.856960559372105</c:v>
                </c:pt>
                <c:pt idx="154">
                  <c:v>35.731607538951579</c:v>
                </c:pt>
                <c:pt idx="155">
                  <c:v>34.15795135237191</c:v>
                </c:pt>
                <c:pt idx="156">
                  <c:v>30.243817750821304</c:v>
                </c:pt>
                <c:pt idx="157">
                  <c:v>24.257400256771604</c:v>
                </c:pt>
                <c:pt idx="158">
                  <c:v>16.60888374333928</c:v>
                </c:pt>
                <c:pt idx="159">
                  <c:v>7.8223388719370108</c:v>
                </c:pt>
                <c:pt idx="160">
                  <c:v>-1.5001868395675619</c:v>
                </c:pt>
                <c:pt idx="161">
                  <c:v>-10.719920864883944</c:v>
                </c:pt>
                <c:pt idx="162">
                  <c:v>-19.205133887587937</c:v>
                </c:pt>
                <c:pt idx="163">
                  <c:v>-26.37442542390907</c:v>
                </c:pt>
                <c:pt idx="164">
                  <c:v>-31.736560951349801</c:v>
                </c:pt>
                <c:pt idx="165">
                  <c:v>-34.924130932712124</c:v>
                </c:pt>
                <c:pt idx="166">
                  <c:v>-35.718725444255426</c:v>
                </c:pt>
                <c:pt idx="167">
                  <c:v>-34.065899461184536</c:v>
                </c:pt>
                <c:pt idx="168">
                  <c:v>-30.078903390245308</c:v>
                </c:pt>
                <c:pt idx="169">
                  <c:v>-24.030923236105711</c:v>
                </c:pt>
                <c:pt idx="170">
                  <c:v>-16.336362099553195</c:v>
                </c:pt>
                <c:pt idx="171">
                  <c:v>-7.5224455853212033</c:v>
                </c:pt>
                <c:pt idx="172">
                  <c:v>1.8069033041187834</c:v>
                </c:pt>
                <c:pt idx="173">
                  <c:v>11.012444523400216</c:v>
                </c:pt>
                <c:pt idx="174">
                  <c:v>19.463421236609513</c:v>
                </c:pt>
                <c:pt idx="175">
                  <c:v>26.580778806433578</c:v>
                </c:pt>
                <c:pt idx="176">
                  <c:v>31.876841187121915</c:v>
                </c:pt>
                <c:pt idx="177">
                  <c:v>34.988726124338193</c:v>
                </c:pt>
                <c:pt idx="178">
                  <c:v>35.703209577260388</c:v>
                </c:pt>
                <c:pt idx="179">
                  <c:v>33.971335671232055</c:v>
                </c:pt>
                <c:pt idx="180">
                  <c:v>29.91177111787222</c:v>
                </c:pt>
                <c:pt idx="181">
                  <c:v>23.802674260277865</c:v>
                </c:pt>
                <c:pt idx="182">
                  <c:v>16.062635870289121</c:v>
                </c:pt>
                <c:pt idx="183">
                  <c:v>7.2219976202123606</c:v>
                </c:pt>
                <c:pt idx="184">
                  <c:v>-2.1134865340203928</c:v>
                </c:pt>
                <c:pt idx="185">
                  <c:v>-11.304156163263302</c:v>
                </c:pt>
                <c:pt idx="186">
                  <c:v>-19.720273421888766</c:v>
                </c:pt>
                <c:pt idx="187">
                  <c:v>-26.78517221647741</c:v>
                </c:pt>
                <c:pt idx="188">
                  <c:v>-32.014770937532568</c:v>
                </c:pt>
                <c:pt idx="189">
                  <c:v>-35.050741371229513</c:v>
                </c:pt>
                <c:pt idx="190">
                  <c:v>-35.685061082051554</c:v>
                </c:pt>
                <c:pt idx="191">
                  <c:v>-33.874266955313146</c:v>
                </c:pt>
                <c:pt idx="192">
                  <c:v>-29.742433257444226</c:v>
                </c:pt>
                <c:pt idx="193">
                  <c:v>-23.572670159558903</c:v>
                </c:pt>
                <c:pt idx="194">
                  <c:v>-15.787725239149665</c:v>
                </c:pt>
                <c:pt idx="195">
                  <c:v>-6.9210171305792469</c:v>
                </c:pt>
                <c:pt idx="196">
                  <c:v>2.4199139229109314</c:v>
                </c:pt>
                <c:pt idx="197">
                  <c:v>11.595034274690358</c:v>
                </c:pt>
                <c:pt idx="198">
                  <c:v>19.975671504054475</c:v>
                </c:pt>
                <c:pt idx="199">
                  <c:v>26.987590582795143</c:v>
                </c:pt>
                <c:pt idx="200">
                  <c:v>32.150340032130167</c:v>
                </c:pt>
                <c:pt idx="201">
                  <c:v>35.110172100601446</c:v>
                </c:pt>
                <c:pt idx="202">
                  <c:v>35.664281296834623</c:v>
                </c:pt>
                <c:pt idx="203">
                  <c:v>33.774700470931428</c:v>
                </c:pt>
                <c:pt idx="204">
                  <c:v>29.57090229533523</c:v>
                </c:pt>
                <c:pt idx="205">
                  <c:v>23.340927893636529</c:v>
                </c:pt>
                <c:pt idx="206">
                  <c:v>15.51165047707104</c:v>
                </c:pt>
                <c:pt idx="207">
                  <c:v>6.6195263096570987</c:v>
                </c:pt>
                <c:pt idx="208">
                  <c:v>-2.7261628759203589</c:v>
                </c:pt>
                <c:pt idx="209">
                  <c:v>-11.885057409359012</c:v>
                </c:pt>
                <c:pt idx="210">
                  <c:v>-20.229596650957529</c:v>
                </c:pt>
                <c:pt idx="211">
                  <c:v>-27.188018979772917</c:v>
                </c:pt>
                <c:pt idx="212">
                  <c:v>-32.283538474529983</c:v>
                </c:pt>
                <c:pt idx="213">
                  <c:v>-35.167013930242653</c:v>
                </c:pt>
                <c:pt idx="214">
                  <c:v>-35.64087175383743</c:v>
                </c:pt>
                <c:pt idx="215">
                  <c:v>-33.672643559766477</c:v>
                </c:pt>
                <c:pt idx="216">
                  <c:v>-29.397190879630816</c:v>
                </c:pt>
                <c:pt idx="217">
                  <c:v>-23.107464550364618</c:v>
                </c:pt>
                <c:pt idx="218">
                  <c:v>-15.234431940828346</c:v>
                </c:pt>
                <c:pt idx="219">
                  <c:v>-6.3175473883109214</c:v>
                </c:pt>
                <c:pt idx="220">
                  <c:v>3.0322108113348514</c:v>
                </c:pt>
                <c:pt idx="221">
                  <c:v>12.174204181991534</c:v>
                </c:pt>
                <c:pt idx="222">
                  <c:v>20.482030139056146</c:v>
                </c:pt>
                <c:pt idx="223">
                  <c:v>27.386442628530805</c:v>
                </c:pt>
                <c:pt idx="224">
                  <c:v>32.414356443150652</c:v>
                </c:pt>
                <c:pt idx="225">
                  <c:v>35.221262668837767</c:v>
                </c:pt>
                <c:pt idx="226">
                  <c:v>35.614834179196677</c:v>
                </c:pt>
                <c:pt idx="227">
                  <c:v>33.568103747133669</c:v>
                </c:pt>
                <c:pt idx="228">
                  <c:v>29.221311819195492</c:v>
                </c:pt>
                <c:pt idx="229">
                  <c:v>22.872297344503171</c:v>
                </c:pt>
                <c:pt idx="230">
                  <c:v>14.956090071534311</c:v>
                </c:pt>
                <c:pt idx="231">
                  <c:v>6.0151026333975199</c:v>
                </c:pt>
                <c:pt idx="232">
                  <c:v>-3.3380351622646822</c:v>
                </c:pt>
                <c:pt idx="233">
                  <c:v>-12.462453271928105</c:v>
                </c:pt>
                <c:pt idx="234">
                  <c:v>-20.732953354799875</c:v>
                </c:pt>
                <c:pt idx="235">
                  <c:v>-27.582846898011773</c:v>
                </c:pt>
                <c:pt idx="236">
                  <c:v>-32.542784291938432</c:v>
                </c:pt>
                <c:pt idx="237">
                  <c:v>-35.272914316277124</c:v>
                </c:pt>
                <c:pt idx="238">
                  <c:v>-35.586170492830952</c:v>
                </c:pt>
                <c:pt idx="239">
                  <c:v>-33.461088741428433</c:v>
                </c:pt>
                <c:pt idx="240">
                  <c:v>-29.043278082728218</c:v>
                </c:pt>
                <c:pt idx="241">
                  <c:v>-22.635443616448786</c:v>
                </c:pt>
                <c:pt idx="242">
                  <c:v>-14.676645393133182</c:v>
                </c:pt>
                <c:pt idx="243">
                  <c:v>-5.712214346120863</c:v>
                </c:pt>
                <c:pt idx="244">
                  <c:v>3.6436133783044284</c:v>
                </c:pt>
                <c:pt idx="245">
                  <c:v>12.749783424702768</c:v>
                </c:pt>
                <c:pt idx="246">
                  <c:v>20.982347795998926</c:v>
                </c:pt>
                <c:pt idx="247">
                  <c:v>27.777217306060493</c:v>
                </c:pt>
                <c:pt idx="248">
                  <c:v>32.668812551078943</c:v>
                </c:pt>
                <c:pt idx="249">
                  <c:v>35.321965063951069</c:v>
                </c:pt>
                <c:pt idx="250">
                  <c:v>35.554882808298949</c:v>
                </c:pt>
                <c:pt idx="251">
                  <c:v>33.351606433558253</c:v>
                </c:pt>
                <c:pt idx="252">
                  <c:v>28.863102797806118</c:v>
                </c:pt>
                <c:pt idx="253">
                  <c:v>22.396920830957033</c:v>
                </c:pt>
                <c:pt idx="254">
                  <c:v>14.396118510884831</c:v>
                </c:pt>
                <c:pt idx="255">
                  <c:v>5.4089048603914316</c:v>
                </c:pt>
                <c:pt idx="256">
                  <c:v>-3.9489229271998063</c:v>
                </c:pt>
                <c:pt idx="257">
                  <c:v>-13.036173453607294</c:v>
                </c:pt>
                <c:pt idx="258">
                  <c:v>-21.230195073190764</c:v>
                </c:pt>
                <c:pt idx="259">
                  <c:v>-27.969539520491846</c:v>
                </c:pt>
                <c:pt idx="260">
                  <c:v>-32.792431927694444</c:v>
                </c:pt>
                <c:pt idx="261">
                  <c:v>-35.368411295031208</c:v>
                </c:pt>
                <c:pt idx="262">
                  <c:v>-35.5209734326437</c:v>
                </c:pt>
                <c:pt idx="263">
                  <c:v>-33.239664896360807</c:v>
                </c:pt>
                <c:pt idx="264">
                  <c:v>-28.680799249916536</c:v>
                </c:pt>
                <c:pt idx="265">
                  <c:v>-22.156746575852484</c:v>
                </c:pt>
                <c:pt idx="266">
                  <c:v>-14.114530109848863</c:v>
                </c:pt>
                <c:pt idx="267">
                  <c:v>-5.1051965411753795</c:v>
                </c:pt>
                <c:pt idx="268">
                  <c:v>4.2539412965055776</c:v>
                </c:pt>
                <c:pt idx="269">
                  <c:v>13.321602241254876</c:v>
                </c:pt>
                <c:pt idx="270">
                  <c:v>21.47647691099484</c:v>
                </c:pt>
                <c:pt idx="271">
                  <c:v>28.159799360146945</c:v>
                </c:pt>
                <c:pt idx="272">
                  <c:v>32.913633306529967</c:v>
                </c:pt>
                <c:pt idx="273">
                  <c:v>35.412249584737076</c:v>
                </c:pt>
                <c:pt idx="274">
                  <c:v>35.484444866222432</c:v>
                </c:pt>
                <c:pt idx="275">
                  <c:v>33.125272384008085</c:v>
                </c:pt>
                <c:pt idx="276">
                  <c:v>28.496380881477517</c:v>
                </c:pt>
                <c:pt idx="277">
                  <c:v>21.9149385607348</c:v>
                </c:pt>
                <c:pt idx="278">
                  <c:v>13.831900953355648</c:v>
                </c:pt>
                <c:pt idx="279">
                  <c:v>4.8011117828489356</c:v>
                </c:pt>
                <c:pt idx="280">
                  <c:v>-4.5586459952470584</c:v>
                </c:pt>
                <c:pt idx="281">
                  <c:v>-13.606048741138171</c:v>
                </c:pt>
                <c:pt idx="282">
                  <c:v>-21.72117514946137</c:v>
                </c:pt>
                <c:pt idx="283">
                  <c:v>-28.34798279593895</c:v>
                </c:pt>
                <c:pt idx="284">
                  <c:v>-33.032407750625417</c:v>
                </c:pt>
                <c:pt idx="285">
                  <c:v>-35.453476700588404</c:v>
                </c:pt>
                <c:pt idx="286">
                  <c:v>-35.445299802522335</c:v>
                </c:pt>
                <c:pt idx="287">
                  <c:v>-33.008437331399719</c:v>
                </c:pt>
                <c:pt idx="288">
                  <c:v>-28.309861290845575</c:v>
                </c:pt>
                <c:pt idx="289">
                  <c:v>-21.671514615670144</c:v>
                </c:pt>
                <c:pt idx="290">
                  <c:v>-13.548251881478588</c:v>
                </c:pt>
                <c:pt idx="291">
                  <c:v>-4.4966730075456187</c:v>
                </c:pt>
                <c:pt idx="292">
                  <c:v>4.8630145555790234</c:v>
                </c:pt>
                <c:pt idx="293">
                  <c:v>13.889491979180251</c:v>
                </c:pt>
                <c:pt idx="294">
                  <c:v>21.964271745408166</c:v>
                </c:pt>
                <c:pt idx="295">
                  <c:v>28.53407595188785</c:v>
                </c:pt>
                <c:pt idx="296">
                  <c:v>33.148746501973598</c:v>
                </c:pt>
                <c:pt idx="297">
                  <c:v>35.492089602643553</c:v>
                </c:pt>
                <c:pt idx="298">
                  <c:v>35.403541127961631</c:v>
                </c:pt>
                <c:pt idx="299">
                  <c:v>32.889168353537912</c:v>
                </c:pt>
                <c:pt idx="300">
                  <c:v>28.121254231315913</c:v>
                </c:pt>
                <c:pt idx="301">
                  <c:v>21.426492689877612</c:v>
                </c:pt>
                <c:pt idx="302">
                  <c:v>13.263603809495558</c:v>
                </c:pt>
                <c:pt idx="303">
                  <c:v>4.191902663501895</c:v>
                </c:pt>
                <c:pt idx="304">
                  <c:v>-5.167024534443418</c:v>
                </c:pt>
                <c:pt idx="305">
                  <c:v>-14.171911055280226</c:v>
                </c:pt>
                <c:pt idx="306">
                  <c:v>-22.205748773754081</c:v>
                </c:pt>
                <c:pt idx="307">
                  <c:v>-28.718065106143161</c:v>
                </c:pt>
                <c:pt idx="308">
                  <c:v>-33.26264098216744</c:v>
                </c:pt>
                <c:pt idx="309">
                  <c:v>-35.528085443724159</c:v>
                </c:pt>
                <c:pt idx="310">
                  <c:v>-35.359171921677131</c:v>
                </c:pt>
                <c:pt idx="311">
                  <c:v>-32.767474244894615</c:v>
                </c:pt>
                <c:pt idx="312">
                  <c:v>-27.930573610104116</c:v>
                </c:pt>
                <c:pt idx="313">
                  <c:v>-21.179890850406551</c:v>
                </c:pt>
                <c:pt idx="314">
                  <c:v>-12.977977726348586</c:v>
                </c:pt>
                <c:pt idx="315">
                  <c:v>-3.8868232234029381</c:v>
                </c:pt>
                <c:pt idx="316">
                  <c:v>5.4706535152201905</c:v>
                </c:pt>
                <c:pt idx="317">
                  <c:v>14.453285144855752</c:v>
                </c:pt>
                <c:pt idx="318">
                  <c:v>22.445588428837564</c:v>
                </c:pt>
                <c:pt idx="319">
                  <c:v>28.899936691996356</c:v>
                </c:pt>
                <c:pt idx="320">
                  <c:v>33.374082793031199</c:v>
                </c:pt>
                <c:pt idx="321">
                  <c:v>35.561461569624214</c:v>
                </c:pt>
                <c:pt idx="322">
                  <c:v>35.312195455297044</c:v>
                </c:pt>
                <c:pt idx="323">
                  <c:v>32.643363978762558</c:v>
                </c:pt>
                <c:pt idx="324">
                  <c:v>27.737833487324121</c:v>
                </c:pt>
                <c:pt idx="325">
                  <c:v>20.931727280803546</c:v>
                </c:pt>
                <c:pt idx="326">
                  <c:v>12.691394693090521</c:v>
                </c:pt>
                <c:pt idx="327">
                  <c:v>3.5814571827265751</c:v>
                </c:pt>
                <c:pt idx="328">
                  <c:v>-5.7738791093837492</c:v>
                </c:pt>
                <c:pt idx="329">
                  <c:v>-14.733593500377621</c:v>
                </c:pt>
                <c:pt idx="330">
                  <c:v>-22.683773025732748</c:v>
                </c:pt>
                <c:pt idx="331">
                  <c:v>-29.079677298881762</c:v>
                </c:pt>
                <c:pt idx="332">
                  <c:v>-33.483063717240462</c:v>
                </c:pt>
                <c:pt idx="333">
                  <c:v>-35.592215519306521</c:v>
                </c:pt>
                <c:pt idx="334">
                  <c:v>-35.262615192699442</c:v>
                </c:pt>
                <c:pt idx="335">
                  <c:v>-32.516846706593178</c:v>
                </c:pt>
                <c:pt idx="336">
                  <c:v>-27.543048074950864</c:v>
                </c:pt>
                <c:pt idx="337">
                  <c:v>-20.682020279770413</c:v>
                </c:pt>
                <c:pt idx="338">
                  <c:v>-12.403875841340582</c:v>
                </c:pt>
                <c:pt idx="339">
                  <c:v>-3.2758270580830438</c:v>
                </c:pt>
                <c:pt idx="340">
                  <c:v>6.0766789581523035</c:v>
                </c:pt>
                <c:pt idx="341">
                  <c:v>15.012815452900556</c:v>
                </c:pt>
                <c:pt idx="342">
                  <c:v>22.920285001550706</c:v>
                </c:pt>
                <c:pt idx="343">
                  <c:v>29.257273673362782</c:v>
                </c:pt>
                <c:pt idx="344">
                  <c:v>33.589575718927719</c:v>
                </c:pt>
                <c:pt idx="345">
                  <c:v>35.620345025083694</c:v>
                </c:pt>
                <c:pt idx="346">
                  <c:v>35.210434789757528</c:v>
                </c:pt>
                <c:pt idx="347">
                  <c:v>32.387931757322207</c:v>
                </c:pt>
                <c:pt idx="348">
                  <c:v>27.346231735768804</c:v>
                </c:pt>
                <c:pt idx="349">
                  <c:v>20.430788259817358</c:v>
                </c:pt>
                <c:pt idx="350">
                  <c:v>12.115442371720503</c:v>
                </c:pt>
                <c:pt idx="351">
                  <c:v>2.9699553855557013</c:v>
                </c:pt>
                <c:pt idx="352">
                  <c:v>-6.37903073413852</c:v>
                </c:pt>
                <c:pt idx="353">
                  <c:v>-15.290930413588157</c:v>
                </c:pt>
                <c:pt idx="354">
                  <c:v>-23.155106916736067</c:v>
                </c:pt>
                <c:pt idx="355">
                  <c:v>-29.432712720112391</c:v>
                </c:pt>
                <c:pt idx="356">
                  <c:v>-33.693610944275569</c:v>
                </c:pt>
                <c:pt idx="357">
                  <c:v>-35.645848012785621</c:v>
                </c:pt>
                <c:pt idx="358">
                  <c:v>-35.155658094069146</c:v>
                </c:pt>
                <c:pt idx="359">
                  <c:v>-32.256628636680965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7-4C98-AB3D-2C901632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20384"/>
        <c:axId val="184738560"/>
      </c:lineChart>
      <c:catAx>
        <c:axId val="18472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38560"/>
        <c:crosses val="autoZero"/>
        <c:auto val="1"/>
        <c:lblAlgn val="ctr"/>
        <c:lblOffset val="100"/>
        <c:tickLblSkip val="11"/>
        <c:tickMarkSkip val="1"/>
        <c:noMultiLvlLbl val="0"/>
      </c:catAx>
      <c:valAx>
        <c:axId val="184738560"/>
        <c:scaling>
          <c:orientation val="minMax"/>
          <c:max val="160"/>
          <c:min val="-1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20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256051868299844"/>
          <c:y val="0.52292291045858064"/>
          <c:w val="8.2220072431849089E-2"/>
          <c:h val="2.72206446540083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31983461673188E-2"/>
          <c:y val="4.2875184029190987E-2"/>
          <c:w val="0.9251475624324712"/>
          <c:h val="0.8865074815447430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'Forcasting Pasut'!$J$18:$J$377</c:f>
              <c:numCache>
                <c:formatCode>General</c:formatCode>
                <c:ptCount val="360"/>
                <c:pt idx="0">
                  <c:v>6.964831301835364</c:v>
                </c:pt>
                <c:pt idx="1">
                  <c:v>0.35055590662432085</c:v>
                </c:pt>
                <c:pt idx="2">
                  <c:v>-6.2843771037720062</c:v>
                </c:pt>
                <c:pt idx="3">
                  <c:v>-12.54898332338937</c:v>
                </c:pt>
                <c:pt idx="4">
                  <c:v>-18.074101023309307</c:v>
                </c:pt>
                <c:pt idx="5">
                  <c:v>-22.534145173750716</c:v>
                </c:pt>
                <c:pt idx="6">
                  <c:v>-25.666293571384347</c:v>
                </c:pt>
                <c:pt idx="7">
                  <c:v>-27.285974468655013</c:v>
                </c:pt>
                <c:pt idx="8">
                  <c:v>-27.297743047585111</c:v>
                </c:pt>
                <c:pt idx="9">
                  <c:v>-25.700905807451303</c:v>
                </c:pt>
                <c:pt idx="10">
                  <c:v>-22.589561431507335</c:v>
                </c:pt>
                <c:pt idx="11">
                  <c:v>-18.14705572455221</c:v>
                </c:pt>
                <c:pt idx="12">
                  <c:v>-12.635177381679688</c:v>
                </c:pt>
                <c:pt idx="13">
                  <c:v>-6.3787312616966476</c:v>
                </c:pt>
                <c:pt idx="14">
                  <c:v>0.25360176614993979</c:v>
                </c:pt>
                <c:pt idx="15">
                  <c:v>6.8709905080882363</c:v>
                </c:pt>
                <c:pt idx="16">
                  <c:v>13.083484409644447</c:v>
                </c:pt>
                <c:pt idx="17">
                  <c:v>18.524992625010462</c:v>
                </c:pt>
                <c:pt idx="18">
                  <c:v>22.874857077638946</c:v>
                </c:pt>
                <c:pt idx="19">
                  <c:v>25.876748251260377</c:v>
                </c:pt>
                <c:pt idx="20">
                  <c:v>27.353770217091704</c:v>
                </c:pt>
                <c:pt idx="21">
                  <c:v>27.218884785749271</c:v>
                </c:pt>
                <c:pt idx="22">
                  <c:v>25.480040507755607</c:v>
                </c:pt>
                <c:pt idx="23">
                  <c:v>22.239704280068118</c:v>
                </c:pt>
                <c:pt idx="24">
                  <c:v>17.688823160196087</c:v>
                </c:pt>
                <c:pt idx="25">
                  <c:v>12.09557220710078</c:v>
                </c:pt>
                <c:pt idx="26">
                  <c:v>5.7895514179302729</c:v>
                </c:pt>
                <c:pt idx="27">
                  <c:v>-0.85763699394144022</c:v>
                </c:pt>
                <c:pt idx="28">
                  <c:v>-7.4542864342690738</c:v>
                </c:pt>
                <c:pt idx="29">
                  <c:v>-13.611668477499748</c:v>
                </c:pt>
                <c:pt idx="30">
                  <c:v>-18.966939918329849</c:v>
                </c:pt>
                <c:pt idx="31">
                  <c:v>-23.204524454814944</c:v>
                </c:pt>
                <c:pt idx="32">
                  <c:v>-26.074709019750795</c:v>
                </c:pt>
                <c:pt idx="33">
                  <c:v>-27.408358912701019</c:v>
                </c:pt>
                <c:pt idx="34">
                  <c:v>-27.126884596990205</c:v>
                </c:pt>
                <c:pt idx="35">
                  <c:v>-25.246872836636928</c:v>
                </c:pt>
                <c:pt idx="36">
                  <c:v>-21.879109268839859</c:v>
                </c:pt>
                <c:pt idx="37">
                  <c:v>-17.222050010023974</c:v>
                </c:pt>
                <c:pt idx="38">
                  <c:v>-11.550127001701684</c:v>
                </c:pt>
                <c:pt idx="39">
                  <c:v>-5.1975762406206103</c:v>
                </c:pt>
                <c:pt idx="40">
                  <c:v>1.4612581341320188</c:v>
                </c:pt>
                <c:pt idx="41">
                  <c:v>8.0339832531258963</c:v>
                </c:pt>
                <c:pt idx="42">
                  <c:v>14.133280507086699</c:v>
                </c:pt>
                <c:pt idx="43">
                  <c:v>19.399729520570936</c:v>
                </c:pt>
                <c:pt idx="44">
                  <c:v>23.522988134004269</c:v>
                </c:pt>
                <c:pt idx="45">
                  <c:v>26.260080296673895</c:v>
                </c:pt>
                <c:pt idx="46">
                  <c:v>27.449714198758414</c:v>
                </c:pt>
                <c:pt idx="47">
                  <c:v>27.021786901193863</c:v>
                </c:pt>
                <c:pt idx="48">
                  <c:v>25.001515373009447</c:v>
                </c:pt>
                <c:pt idx="49">
                  <c:v>21.507950501696573</c:v>
                </c:pt>
                <c:pt idx="50">
                  <c:v>16.746961643248298</c:v>
                </c:pt>
                <c:pt idx="51">
                  <c:v>10.999105119439959</c:v>
                </c:pt>
                <c:pt idx="52">
                  <c:v>4.603091549505737</c:v>
                </c:pt>
                <c:pt idx="53">
                  <c:v>-2.0641737440347887</c:v>
                </c:pt>
                <c:pt idx="54">
                  <c:v>-8.6098010732050039</c:v>
                </c:pt>
                <c:pt idx="55">
                  <c:v>-14.64806865167353</c:v>
                </c:pt>
                <c:pt idx="56">
                  <c:v>-19.82315247058893</c:v>
                </c:pt>
                <c:pt idx="57">
                  <c:v>-23.830094353345178</c:v>
                </c:pt>
                <c:pt idx="58">
                  <c:v>-26.432772580354861</c:v>
                </c:pt>
                <c:pt idx="59">
                  <c:v>-27.477816107945202</c:v>
                </c:pt>
                <c:pt idx="60">
                  <c:v>-26.903642442035036</c:v>
                </c:pt>
                <c:pt idx="61">
                  <c:v>-24.744086581309997</c:v>
                </c:pt>
                <c:pt idx="62">
                  <c:v>-21.126407182945556</c:v>
                </c:pt>
                <c:pt idx="63">
                  <c:v>-16.263787443866569</c:v>
                </c:pt>
                <c:pt idx="64">
                  <c:v>-10.442772606825899</c:v>
                </c:pt>
                <c:pt idx="65">
                  <c:v>-4.0063843759768583</c:v>
                </c:pt>
                <c:pt idx="66">
                  <c:v>2.666092721609949</c:v>
                </c:pt>
                <c:pt idx="67">
                  <c:v>9.1814618759257787</c:v>
                </c:pt>
                <c:pt idx="68">
                  <c:v>15.15578435926296</c:v>
                </c:pt>
                <c:pt idx="69">
                  <c:v>20.237004329682055</c:v>
                </c:pt>
                <c:pt idx="70">
                  <c:v>24.125694834628483</c:v>
                </c:pt>
                <c:pt idx="71">
                  <c:v>26.592702490839304</c:v>
                </c:pt>
                <c:pt idx="72">
                  <c:v>27.492651071989197</c:v>
                </c:pt>
                <c:pt idx="73">
                  <c:v>26.772508262477118</c:v>
                </c:pt>
                <c:pt idx="74">
                  <c:v>24.474710754300617</c:v>
                </c:pt>
                <c:pt idx="75">
                  <c:v>20.73466353080352</c:v>
                </c:pt>
                <c:pt idx="76">
                  <c:v>15.772760699909114</c:v>
                </c:pt>
                <c:pt idx="77">
                  <c:v>9.8813980744687697</c:v>
                </c:pt>
                <c:pt idx="78">
                  <c:v>3.4077428244927996</c:v>
                </c:pt>
                <c:pt idx="79">
                  <c:v>-3.266724446015393</c:v>
                </c:pt>
                <c:pt idx="80">
                  <c:v>-9.7486896498149544</c:v>
                </c:pt>
                <c:pt idx="81">
                  <c:v>-15.656182492598981</c:v>
                </c:pt>
                <c:pt idx="82">
                  <c:v>-20.641085280299759</c:v>
                </c:pt>
                <c:pt idx="83">
                  <c:v>-24.409646854889811</c:v>
                </c:pt>
                <c:pt idx="84">
                  <c:v>-26.739792810151048</c:v>
                </c:pt>
                <c:pt idx="85">
                  <c:v>-27.494211928215854</c:v>
                </c:pt>
                <c:pt idx="86">
                  <c:v>-26.628447677230426</c:v>
                </c:pt>
                <c:pt idx="87">
                  <c:v>-24.193517953056872</c:v>
                </c:pt>
                <c:pt idx="88">
                  <c:v>-20.332908688451194</c:v>
                </c:pt>
                <c:pt idx="89">
                  <c:v>-15.274118490802062</c:v>
                </c:pt>
                <c:pt idx="90">
                  <c:v>-9.315252567385226</c:v>
                </c:pt>
                <c:pt idx="91">
                  <c:v>-2.8074559334760441</c:v>
                </c:pt>
                <c:pt idx="92">
                  <c:v>3.8657789179253341</c:v>
                </c:pt>
                <c:pt idx="93">
                  <c:v>10.311210523771056</c:v>
                </c:pt>
                <c:pt idx="94">
                  <c:v>16.149021447525133</c:v>
                </c:pt>
                <c:pt idx="95">
                  <c:v>21.035200222519034</c:v>
                </c:pt>
                <c:pt idx="96">
                  <c:v>24.681813315319651</c:v>
                </c:pt>
                <c:pt idx="97">
                  <c:v>26.873972519574863</c:v>
                </c:pt>
                <c:pt idx="98">
                  <c:v>27.482497923006548</c:v>
                </c:pt>
                <c:pt idx="99">
                  <c:v>26.471530242182286</c:v>
                </c:pt>
                <c:pt idx="100">
                  <c:v>23.900643944171517</c:v>
                </c:pt>
                <c:pt idx="101">
                  <c:v>19.921336632711114</c:v>
                </c:pt>
                <c:pt idx="102">
                  <c:v>14.768101572899935</c:v>
                </c:pt>
                <c:pt idx="103">
                  <c:v>8.7446094341322755</c:v>
                </c:pt>
                <c:pt idx="104">
                  <c:v>2.2058135357584439</c:v>
                </c:pt>
                <c:pt idx="105">
                  <c:v>-4.4629668995497491</c:v>
                </c:pt>
                <c:pt idx="106">
                  <c:v>-10.868752899296245</c:v>
                </c:pt>
                <c:pt idx="107">
                  <c:v>-16.634063269636449</c:v>
                </c:pt>
                <c:pt idx="108">
                  <c:v>-21.419158868243649</c:v>
                </c:pt>
                <c:pt idx="109">
                  <c:v>-24.94206280745794</c:v>
                </c:pt>
                <c:pt idx="110">
                  <c:v>-26.995176833945997</c:v>
                </c:pt>
                <c:pt idx="111">
                  <c:v>-27.457514712162453</c:v>
                </c:pt>
                <c:pt idx="112">
                  <c:v>-26.301831720813869</c:v>
                </c:pt>
                <c:pt idx="113">
                  <c:v>-23.596230134203079</c:v>
                </c:pt>
                <c:pt idx="114">
                  <c:v>-19.500146080390415</c:v>
                </c:pt>
                <c:pt idx="115">
                  <c:v>-14.254954263242384</c:v>
                </c:pt>
                <c:pt idx="116">
                  <c:v>-8.1697441948284144</c:v>
                </c:pt>
                <c:pt idx="117">
                  <c:v>-1.6031061186425832</c:v>
                </c:pt>
                <c:pt idx="118">
                  <c:v>5.0580000542839763</c:v>
                </c:pt>
                <c:pt idx="119">
                  <c:v>11.421047581630807</c:v>
                </c:pt>
                <c:pt idx="120">
                  <c:v>17.111073769169842</c:v>
                </c:pt>
                <c:pt idx="121">
                  <c:v>21.7927758330794</c:v>
                </c:pt>
                <c:pt idx="122">
                  <c:v>25.190269676641282</c:v>
                </c:pt>
                <c:pt idx="123">
                  <c:v>27.10334723292992</c:v>
                </c:pt>
                <c:pt idx="124">
                  <c:v>27.41927435817378</c:v>
                </c:pt>
                <c:pt idx="125">
                  <c:v>26.11943404761967</c:v>
                </c:pt>
                <c:pt idx="126">
                  <c:v>23.28042350140122</c:v>
                </c:pt>
                <c:pt idx="127">
                  <c:v>19.069540392335842</c:v>
                </c:pt>
                <c:pt idx="128">
                  <c:v>13.734924321592606</c:v>
                </c:pt>
                <c:pt idx="129">
                  <c:v>7.5909344081252916</c:v>
                </c:pt>
                <c:pt idx="130">
                  <c:v>0.99962468364815926</c:v>
                </c:pt>
                <c:pt idx="131">
                  <c:v>-5.6505910859255684</c:v>
                </c:pt>
                <c:pt idx="132">
                  <c:v>-11.967827909726264</c:v>
                </c:pt>
                <c:pt idx="133">
                  <c:v>-17.579822634076304</c:v>
                </c:pt>
                <c:pt idx="134">
                  <c:v>-22.155870725842512</c:v>
                </c:pt>
                <c:pt idx="135">
                  <c:v>-25.426314082671759</c:v>
                </c:pt>
                <c:pt idx="136">
                  <c:v>-27.19843148927745</c:v>
                </c:pt>
                <c:pt idx="137">
                  <c:v>-27.367795324395704</c:v>
                </c:pt>
                <c:pt idx="138">
                  <c:v>-25.924425288547749</c:v>
                </c:pt>
                <c:pt idx="139">
                  <c:v>-22.953376524742268</c:v>
                </c:pt>
                <c:pt idx="140">
                  <c:v>-18.629727475246487</c:v>
                </c:pt>
                <c:pt idx="141">
                  <c:v>-13.208262830812382</c:v>
                </c:pt>
                <c:pt idx="142">
                  <c:v>-7.0084595371965204</c:v>
                </c:pt>
                <c:pt idx="143">
                  <c:v>-0.39566060600887454</c:v>
                </c:pt>
                <c:pt idx="144">
                  <c:v>6.2404538773873668</c:v>
                </c:pt>
                <c:pt idx="145">
                  <c:v>12.508829884995743</c:v>
                </c:pt>
                <c:pt idx="146">
                  <c:v>18.040083541221207</c:v>
                </c:pt>
                <c:pt idx="147">
                  <c:v>22.508268235656622</c:v>
                </c:pt>
                <c:pt idx="148">
                  <c:v>25.650082057679047</c:v>
                </c:pt>
                <c:pt idx="149">
                  <c:v>27.280383694041252</c:v>
                </c:pt>
                <c:pt idx="150">
                  <c:v>27.303102466133872</c:v>
                </c:pt>
                <c:pt idx="151">
                  <c:v>25.716899598479159</c:v>
                </c:pt>
                <c:pt idx="152">
                  <c:v>22.615247110308921</c:v>
                </c:pt>
                <c:pt idx="153">
                  <c:v>18.180919681291005</c:v>
                </c:pt>
                <c:pt idx="154">
                  <c:v>12.675224075634128</c:v>
                </c:pt>
                <c:pt idx="155">
                  <c:v>6.4226008148055307</c:v>
                </c:pt>
                <c:pt idx="156">
                  <c:v>-0.20849450601008793</c:v>
                </c:pt>
                <c:pt idx="157">
                  <c:v>-6.8273036288414666</c:v>
                </c:pt>
                <c:pt idx="158">
                  <c:v>-13.043792298779314</c:v>
                </c:pt>
                <c:pt idx="159">
                  <c:v>-18.491634265658195</c:v>
                </c:pt>
                <c:pt idx="160">
                  <c:v>-22.849798216596948</c:v>
                </c:pt>
                <c:pt idx="161">
                  <c:v>-25.861465561146446</c:v>
                </c:pt>
                <c:pt idx="162">
                  <c:v>-27.349164278741739</c:v>
                </c:pt>
                <c:pt idx="163">
                  <c:v>-27.225227018643565</c:v>
                </c:pt>
                <c:pt idx="164">
                  <c:v>-25.496957175767939</c:v>
                </c:pt>
                <c:pt idx="165">
                  <c:v>-22.266198515048909</c:v>
                </c:pt>
                <c:pt idx="166">
                  <c:v>-17.72333370557946</c:v>
                </c:pt>
                <c:pt idx="167">
                  <c:v>-12.136065419884705</c:v>
                </c:pt>
                <c:pt idx="168">
                  <c:v>-5.8336411075200605</c:v>
                </c:pt>
                <c:pt idx="169">
                  <c:v>0.81254895190778453</c:v>
                </c:pt>
                <c:pt idx="170">
                  <c:v>7.4108569952275625</c:v>
                </c:pt>
                <c:pt idx="171">
                  <c:v>13.572456858461248</c:v>
                </c:pt>
                <c:pt idx="172">
                  <c:v>18.934256787925143</c:v>
                </c:pt>
                <c:pt idx="173">
                  <c:v>23.180295769840807</c:v>
                </c:pt>
                <c:pt idx="174">
                  <c:v>26.060362532075661</c:v>
                </c:pt>
                <c:pt idx="175">
                  <c:v>27.404740034471789</c:v>
                </c:pt>
                <c:pt idx="176">
                  <c:v>27.134206582048733</c:v>
                </c:pt>
                <c:pt idx="177">
                  <c:v>25.264704213862959</c:v>
                </c:pt>
                <c:pt idx="178">
                  <c:v>21.906399267951056</c:v>
                </c:pt>
                <c:pt idx="179">
                  <c:v>17.25719048153713</c:v>
                </c:pt>
                <c:pt idx="180">
                  <c:v>11.591047182226271</c:v>
                </c:pt>
                <c:pt idx="181">
                  <c:v>5.2418647791373347</c:v>
                </c:pt>
                <c:pt idx="182">
                  <c:v>-1.4162110797866907</c:v>
                </c:pt>
                <c:pt idx="183">
                  <c:v>-7.9908322230590763</c:v>
                </c:pt>
                <c:pt idx="184">
                  <c:v>-14.094568312179424</c:v>
                </c:pt>
                <c:pt idx="185">
                  <c:v>-19.367737399308851</c:v>
                </c:pt>
                <c:pt idx="186">
                  <c:v>-23.499601323285333</c:v>
                </c:pt>
                <c:pt idx="187">
                  <c:v>-26.246676938264006</c:v>
                </c:pt>
                <c:pt idx="188">
                  <c:v>-27.447084127930648</c:v>
                </c:pt>
                <c:pt idx="189">
                  <c:v>-27.030085103187492</c:v>
                </c:pt>
                <c:pt idx="190">
                  <c:v>-25.020252850034794</c:v>
                </c:pt>
                <c:pt idx="191">
                  <c:v>-21.536023088675659</c:v>
                </c:pt>
                <c:pt idx="192">
                  <c:v>-16.782715074233451</c:v>
                </c:pt>
                <c:pt idx="193">
                  <c:v>-11.040432510465697</c:v>
                </c:pt>
                <c:pt idx="194">
                  <c:v>-4.6475575533864371</c:v>
                </c:pt>
                <c:pt idx="195">
                  <c:v>2.019189427170367</c:v>
                </c:pt>
                <c:pt idx="196">
                  <c:v>8.5669492864594279</c:v>
                </c:pt>
                <c:pt idx="197">
                  <c:v>14.609874572069058</c:v>
                </c:pt>
                <c:pt idx="198">
                  <c:v>19.791866805028793</c:v>
                </c:pt>
                <c:pt idx="199">
                  <c:v>23.807560708591474</c:v>
                </c:pt>
                <c:pt idx="200">
                  <c:v>26.420318822671476</c:v>
                </c:pt>
                <c:pt idx="201">
                  <c:v>27.476176114379825</c:v>
                </c:pt>
                <c:pt idx="202">
                  <c:v>26.912912854393909</c:v>
                </c:pt>
                <c:pt idx="203">
                  <c:v>24.763721111233654</c:v>
                </c:pt>
                <c:pt idx="204">
                  <c:v>21.155248803677857</c:v>
                </c:pt>
                <c:pt idx="205">
                  <c:v>16.300136571714265</c:v>
                </c:pt>
                <c:pt idx="206">
                  <c:v>10.48448725450227</c:v>
                </c:pt>
                <c:pt idx="207">
                  <c:v>4.0510063759740795</c:v>
                </c:pt>
                <c:pt idx="208">
                  <c:v>-2.6211928617277129</c:v>
                </c:pt>
                <c:pt idx="209">
                  <c:v>-9.1389300223664272</c:v>
                </c:pt>
                <c:pt idx="210">
                  <c:v>-15.118126835974108</c:v>
                </c:pt>
                <c:pt idx="211">
                  <c:v>-20.206440225289626</c:v>
                </c:pt>
                <c:pt idx="212">
                  <c:v>-24.104025235621268</c:v>
                </c:pt>
                <c:pt idx="213">
                  <c:v>-26.581204346853664</c:v>
                </c:pt>
                <c:pt idx="214">
                  <c:v>-27.492001947514243</c:v>
                </c:pt>
                <c:pt idx="215">
                  <c:v>-26.782746409224998</c:v>
                </c:pt>
                <c:pt idx="216">
                  <c:v>-24.495232857103165</c:v>
                </c:pt>
                <c:pt idx="217">
                  <c:v>-20.764260259866276</c:v>
                </c:pt>
                <c:pt idx="218">
                  <c:v>-15.809687974393244</c:v>
                </c:pt>
                <c:pt idx="219">
                  <c:v>-9.9234798379688609</c:v>
                </c:pt>
                <c:pt idx="220">
                  <c:v>-3.4524992760401743</c:v>
                </c:pt>
                <c:pt idx="221">
                  <c:v>3.2219307218388007</c:v>
                </c:pt>
                <c:pt idx="222">
                  <c:v>9.7064982648352984</c:v>
                </c:pt>
                <c:pt idx="223">
                  <c:v>15.619079707576573</c:v>
                </c:pt>
                <c:pt idx="224">
                  <c:v>20.611257494153755</c:v>
                </c:pt>
                <c:pt idx="225">
                  <c:v>24.388851764228445</c:v>
                </c:pt>
                <c:pt idx="226">
                  <c:v>26.729255831441382</c:v>
                </c:pt>
                <c:pt idx="227">
                  <c:v>27.494553986244103</c:v>
                </c:pt>
                <c:pt idx="228">
                  <c:v>26.639648615145809</c:v>
                </c:pt>
                <c:pt idx="229">
                  <c:v>24.214917720177542</c:v>
                </c:pt>
                <c:pt idx="230">
                  <c:v>20.363246235837767</c:v>
                </c:pt>
                <c:pt idx="231">
                  <c:v>15.31160608255343</c:v>
                </c:pt>
                <c:pt idx="232">
                  <c:v>9.3576811286296966</c:v>
                </c:pt>
                <c:pt idx="233">
                  <c:v>2.8523252270912716</c:v>
                </c:pt>
                <c:pt idx="234">
                  <c:v>-3.8211129569334301</c:v>
                </c:pt>
                <c:pt idx="235">
                  <c:v>-10.269379978378351</c:v>
                </c:pt>
                <c:pt idx="236">
                  <c:v>-16.112491314878717</c:v>
                </c:pt>
                <c:pt idx="237">
                  <c:v>-21.006123156186355</c:v>
                </c:pt>
                <c:pt idx="238">
                  <c:v>-24.661902773370006</c:v>
                </c:pt>
                <c:pt idx="239">
                  <c:v>-26.864401793645879</c:v>
                </c:pt>
                <c:pt idx="240">
                  <c:v>-27.483830998384228</c:v>
                </c:pt>
                <c:pt idx="241">
                  <c:v>-26.48368856318514</c:v>
                </c:pt>
                <c:pt idx="242">
                  <c:v>-23.922911043292238</c:v>
                </c:pt>
                <c:pt idx="243">
                  <c:v>-19.952400350729807</c:v>
                </c:pt>
                <c:pt idx="244">
                  <c:v>-14.806131382015034</c:v>
                </c:pt>
                <c:pt idx="245">
                  <c:v>-8.7873643075996508</c:v>
                </c:pt>
                <c:pt idx="246">
                  <c:v>-2.2507740074760925</c:v>
                </c:pt>
                <c:pt idx="247">
                  <c:v>4.4184502675336885</c:v>
                </c:pt>
                <c:pt idx="248">
                  <c:v>10.827303390276057</c:v>
                </c:pt>
                <c:pt idx="249">
                  <c:v>16.598123426985595</c:v>
                </c:pt>
                <c:pt idx="250">
                  <c:v>21.390846560825409</c:v>
                </c:pt>
                <c:pt idx="251">
                  <c:v>24.923046427504776</c:v>
                </c:pt>
                <c:pt idx="252">
                  <c:v>26.98657698177248</c:v>
                </c:pt>
                <c:pt idx="253">
                  <c:v>27.459838161248967</c:v>
                </c:pt>
                <c:pt idx="254">
                  <c:v>26.314941554576691</c:v>
                </c:pt>
                <c:pt idx="255">
                  <c:v>23.619353814237133</c:v>
                </c:pt>
                <c:pt idx="256">
                  <c:v>19.531920970737097</c:v>
                </c:pt>
                <c:pt idx="257">
                  <c:v>14.293507928022201</c:v>
                </c:pt>
                <c:pt idx="258">
                  <c:v>8.2128047374457047</c:v>
                </c:pt>
                <c:pt idx="259">
                  <c:v>1.6481360604744035</c:v>
                </c:pt>
                <c:pt idx="260">
                  <c:v>-5.0136542449358057</c:v>
                </c:pt>
                <c:pt idx="261">
                  <c:v>-11.379999121794661</c:v>
                </c:pt>
                <c:pt idx="262">
                  <c:v>-17.075741569127977</c:v>
                </c:pt>
                <c:pt idx="263">
                  <c:v>-21.765241954433115</c:v>
                </c:pt>
                <c:pt idx="264">
                  <c:v>-25.172156640246374</c:v>
                </c:pt>
                <c:pt idx="265">
                  <c:v>-27.095722406725717</c:v>
                </c:pt>
                <c:pt idx="266">
                  <c:v>-27.42258705915248</c:v>
                </c:pt>
                <c:pt idx="267">
                  <c:v>-26.133489064402049</c:v>
                </c:pt>
                <c:pt idx="268">
                  <c:v>-23.304392597684135</c:v>
                </c:pt>
                <c:pt idx="269">
                  <c:v>-19.102011113335482</c:v>
                </c:pt>
                <c:pt idx="270">
                  <c:v>-13.773983227408282</c:v>
                </c:pt>
                <c:pt idx="271">
                  <c:v>-7.6342798292351572</c:v>
                </c:pt>
                <c:pt idx="272">
                  <c:v>-1.0447023540638785</c:v>
                </c:pt>
                <c:pt idx="273">
                  <c:v>5.6064375104599788</c:v>
                </c:pt>
                <c:pt idx="274">
                  <c:v>11.927200318249751</c:v>
                </c:pt>
                <c:pt idx="275">
                  <c:v>17.545115135872518</c:v>
                </c:pt>
                <c:pt idx="276">
                  <c:v>22.12912856998166</c:v>
                </c:pt>
                <c:pt idx="277">
                  <c:v>25.409113135241274</c:v>
                </c:pt>
                <c:pt idx="278">
                  <c:v>27.191785370490511</c:v>
                </c:pt>
                <c:pt idx="279">
                  <c:v>27.37209567781554</c:v>
                </c:pt>
                <c:pt idx="280">
                  <c:v>25.939418702252251</c:v>
                </c:pt>
                <c:pt idx="281">
                  <c:v>22.978179464422688</c:v>
                </c:pt>
                <c:pt idx="282">
                  <c:v>18.662878349260136</c:v>
                </c:pt>
                <c:pt idx="283">
                  <c:v>13.247808119092127</c:v>
                </c:pt>
                <c:pt idx="284">
                  <c:v>7.0520689085956665</c:v>
                </c:pt>
                <c:pt idx="285">
                  <c:v>0.44076424043381829</c:v>
                </c:pt>
                <c:pt idx="286">
                  <c:v>-6.1965138542040412</c:v>
                </c:pt>
                <c:pt idx="287">
                  <c:v>-12.468642777849354</c:v>
                </c:pt>
                <c:pt idx="288">
                  <c:v>-18.006017502463557</c:v>
                </c:pt>
                <c:pt idx="289">
                  <c:v>-22.482330714332083</c:v>
                </c:pt>
                <c:pt idx="290">
                  <c:v>-25.633801504240719</c:v>
                </c:pt>
                <c:pt idx="291">
                  <c:v>-27.274719491576253</c:v>
                </c:pt>
                <c:pt idx="292">
                  <c:v>-27.308388395681579</c:v>
                </c:pt>
                <c:pt idx="293">
                  <c:v>-25.732824169927984</c:v>
                </c:pt>
                <c:pt idx="294">
                  <c:v>-22.640871917935865</c:v>
                </c:pt>
                <c:pt idx="295">
                  <c:v>-18.214734702286329</c:v>
                </c:pt>
                <c:pt idx="296">
                  <c:v>-12.715236652969091</c:v>
                </c:pt>
                <c:pt idx="297">
                  <c:v>-6.466453080848888</c:v>
                </c:pt>
                <c:pt idx="298">
                  <c:v>0.16338668468683251</c:v>
                </c:pt>
                <c:pt idx="299">
                  <c:v>6.7835983732314764</c:v>
                </c:pt>
                <c:pt idx="300">
                  <c:v>13.004065079256847</c:v>
                </c:pt>
                <c:pt idx="301">
                  <c:v>18.458226134243109</c:v>
                </c:pt>
                <c:pt idx="302">
                  <c:v>22.824677853062575</c:v>
                </c:pt>
                <c:pt idx="303">
                  <c:v>25.846113262339944</c:v>
                </c:pt>
                <c:pt idx="304">
                  <c:v>27.344484727410777</c:v>
                </c:pt>
                <c:pt idx="305">
                  <c:v>27.231495972146323</c:v>
                </c:pt>
                <c:pt idx="306">
                  <c:v>25.513805216198023</c:v>
                </c:pt>
                <c:pt idx="307">
                  <c:v>22.292632818353763</c:v>
                </c:pt>
                <c:pt idx="308">
                  <c:v>17.75779654685741</c:v>
                </c:pt>
                <c:pt idx="309">
                  <c:v>12.176525967248159</c:v>
                </c:pt>
                <c:pt idx="310">
                  <c:v>5.8777150952878001</c:v>
                </c:pt>
                <c:pt idx="311">
                  <c:v>-0.76745872281827399</c:v>
                </c:pt>
                <c:pt idx="312">
                  <c:v>-7.3674076091310683</c:v>
                </c:pt>
                <c:pt idx="313">
                  <c:v>-13.533208707811964</c:v>
                </c:pt>
                <c:pt idx="314">
                  <c:v>-18.901522694095469</c:v>
                </c:pt>
                <c:pt idx="315">
                  <c:v>-23.156004692807777</c:v>
                </c:pt>
                <c:pt idx="316">
                  <c:v>-26.045945900356902</c:v>
                </c:pt>
                <c:pt idx="317">
                  <c:v>-27.40104739367391</c:v>
                </c:pt>
                <c:pt idx="318">
                  <c:v>-27.141455532706136</c:v>
                </c:pt>
                <c:pt idx="319">
                  <c:v>-25.282467588638475</c:v>
                </c:pt>
                <c:pt idx="320">
                  <c:v>-21.933630303821662</c:v>
                </c:pt>
                <c:pt idx="321">
                  <c:v>-17.292284503615619</c:v>
                </c:pt>
                <c:pt idx="322">
                  <c:v>-11.631936164300699</c:v>
                </c:pt>
                <c:pt idx="323">
                  <c:v>-5.2861392086563264</c:v>
                </c:pt>
                <c:pt idx="324">
                  <c:v>1.3711602135690315</c:v>
                </c:pt>
                <c:pt idx="325">
                  <c:v>7.9476596848760526</c:v>
                </c:pt>
                <c:pt idx="326">
                  <c:v>14.055818180347631</c:v>
                </c:pt>
                <c:pt idx="327">
                  <c:v>19.335693147865726</c:v>
                </c:pt>
                <c:pt idx="328">
                  <c:v>23.476151261064924</c:v>
                </c:pt>
                <c:pt idx="329">
                  <c:v>26.233202934326908</c:v>
                </c:pt>
                <c:pt idx="330">
                  <c:v>27.444380180560906</c:v>
                </c:pt>
                <c:pt idx="331">
                  <c:v>27.038310551033284</c:v>
                </c:pt>
                <c:pt idx="332">
                  <c:v>25.038922982574551</c:v>
                </c:pt>
                <c:pt idx="333">
                  <c:v>21.564037709318388</c:v>
                </c:pt>
                <c:pt idx="334">
                  <c:v>16.818423332881245</c:v>
                </c:pt>
                <c:pt idx="335">
                  <c:v>11.081730185074907</c:v>
                </c:pt>
                <c:pt idx="336">
                  <c:v>4.6920110479062576</c:v>
                </c:pt>
                <c:pt idx="337">
                  <c:v>-1.974199675457917</c:v>
                </c:pt>
                <c:pt idx="338">
                  <c:v>-8.5240744409218205</c:v>
                </c:pt>
                <c:pt idx="339">
                  <c:v>-14.57164116854217</c:v>
                </c:pt>
                <c:pt idx="340">
                  <c:v>-19.760527867701558</c:v>
                </c:pt>
                <c:pt idx="341">
                  <c:v>-23.784962983433065</c:v>
                </c:pt>
                <c:pt idx="342">
                  <c:v>-26.407793952086408</c:v>
                </c:pt>
                <c:pt idx="343">
                  <c:v>-27.47446216596855</c:v>
                </c:pt>
                <c:pt idx="344">
                  <c:v>-26.922110827985676</c:v>
                </c:pt>
                <c:pt idx="345">
                  <c:v>-24.783288987152336</c:v>
                </c:pt>
                <c:pt idx="346">
                  <c:v>-21.184033482965283</c:v>
                </c:pt>
                <c:pt idx="347">
                  <c:v>-16.336441826132521</c:v>
                </c:pt>
                <c:pt idx="348">
                  <c:v>-10.526173682143913</c:v>
                </c:pt>
                <c:pt idx="349">
                  <c:v>-4.0956174722866816</c:v>
                </c:pt>
                <c:pt idx="350">
                  <c:v>2.5762859466455104</c:v>
                </c:pt>
                <c:pt idx="351">
                  <c:v>9.0963735704725064</c:v>
                </c:pt>
                <c:pt idx="352">
                  <c:v>15.080428620751796</c:v>
                </c:pt>
                <c:pt idx="353">
                  <c:v>20.175821733264591</c:v>
                </c:pt>
                <c:pt idx="354">
                  <c:v>24.082290758245868</c:v>
                </c:pt>
                <c:pt idx="355">
                  <c:v>26.569634656927015</c:v>
                </c:pt>
                <c:pt idx="356">
                  <c:v>27.491278825596591</c:v>
                </c:pt>
                <c:pt idx="357">
                  <c:v>26.792912467561582</c:v>
                </c:pt>
                <c:pt idx="358">
                  <c:v>24.515689028563539</c:v>
                </c:pt>
                <c:pt idx="359">
                  <c:v>20.793801099868919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5-438F-AF24-50299C6A4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02816"/>
        <c:axId val="184033280"/>
      </c:lineChart>
      <c:catAx>
        <c:axId val="18400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033280"/>
        <c:crosses val="autoZero"/>
        <c:auto val="1"/>
        <c:lblAlgn val="ctr"/>
        <c:lblOffset val="100"/>
        <c:tickLblSkip val="11"/>
        <c:tickMarkSkip val="1"/>
        <c:noMultiLvlLbl val="0"/>
      </c:catAx>
      <c:valAx>
        <c:axId val="184033280"/>
        <c:scaling>
          <c:orientation val="minMax"/>
          <c:max val="160"/>
          <c:min val="-1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002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256051868299844"/>
          <c:y val="0.52292291045858064"/>
          <c:w val="8.2220072431849089E-2"/>
          <c:h val="2.72206446540083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31983461673188E-2"/>
          <c:y val="4.2875184029190987E-2"/>
          <c:w val="0.9251475624324712"/>
          <c:h val="0.8865074815447430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'Forcasting Pasut'!$M$18:$M$377</c:f>
              <c:numCache>
                <c:formatCode>General</c:formatCode>
                <c:ptCount val="360"/>
                <c:pt idx="0">
                  <c:v>4.6254589262709773</c:v>
                </c:pt>
                <c:pt idx="1">
                  <c:v>1.9275957754352566</c:v>
                </c:pt>
                <c:pt idx="2">
                  <c:v>-1.2895272422754991</c:v>
                </c:pt>
                <c:pt idx="3">
                  <c:v>-4.1592746573371482</c:v>
                </c:pt>
                <c:pt idx="4">
                  <c:v>-5.9085877819792048</c:v>
                </c:pt>
                <c:pt idx="5">
                  <c:v>-6.0662329105668524</c:v>
                </c:pt>
                <c:pt idx="6">
                  <c:v>-4.5897432616684721</c:v>
                </c:pt>
                <c:pt idx="7">
                  <c:v>-1.8768587703366928</c:v>
                </c:pt>
                <c:pt idx="8">
                  <c:v>1.3416179450744372</c:v>
                </c:pt>
                <c:pt idx="9">
                  <c:v>4.1986867530630656</c:v>
                </c:pt>
                <c:pt idx="10">
                  <c:v>5.9247043561105528</c:v>
                </c:pt>
                <c:pt idx="11">
                  <c:v>6.0547124459429424</c:v>
                </c:pt>
                <c:pt idx="12">
                  <c:v>4.5536891656546752</c:v>
                </c:pt>
                <c:pt idx="13">
                  <c:v>1.8259833723202217</c:v>
                </c:pt>
                <c:pt idx="14">
                  <c:v>-1.3936097217180985</c:v>
                </c:pt>
                <c:pt idx="15">
                  <c:v>-4.2377892524995202</c:v>
                </c:pt>
                <c:pt idx="16">
                  <c:v>-5.9403840635279268</c:v>
                </c:pt>
                <c:pt idx="17">
                  <c:v>-6.0427455282689984</c:v>
                </c:pt>
                <c:pt idx="18">
                  <c:v>-4.5172992967309273</c:v>
                </c:pt>
                <c:pt idx="19">
                  <c:v>-1.7749733327574957</c:v>
                </c:pt>
                <c:pt idx="20">
                  <c:v>1.4454987385170253</c:v>
                </c:pt>
                <c:pt idx="21">
                  <c:v>4.2765792723667007</c:v>
                </c:pt>
                <c:pt idx="22">
                  <c:v>5.955625748065235</c:v>
                </c:pt>
                <c:pt idx="23">
                  <c:v>6.0303330399431454</c:v>
                </c:pt>
                <c:pt idx="24">
                  <c:v>4.4805763381572596</c:v>
                </c:pt>
                <c:pt idx="25">
                  <c:v>1.7238324129481368</c:v>
                </c:pt>
                <c:pt idx="26">
                  <c:v>-1.4972811693589361</c:v>
                </c:pt>
                <c:pt idx="27">
                  <c:v>-4.3150539524259415</c:v>
                </c:pt>
                <c:pt idx="28">
                  <c:v>-5.9704282858546502</c:v>
                </c:pt>
                <c:pt idx="29">
                  <c:v>-6.0174758962183041</c:v>
                </c:pt>
                <c:pt idx="30">
                  <c:v>-4.4435229977545836</c:v>
                </c:pt>
                <c:pt idx="31">
                  <c:v>-1.6725643838424553</c:v>
                </c:pt>
                <c:pt idx="32">
                  <c:v>1.5489531959907465</c:v>
                </c:pt>
                <c:pt idx="33">
                  <c:v>4.3532104556906042</c:v>
                </c:pt>
                <c:pt idx="34">
                  <c:v>5.9847905854094616</c:v>
                </c:pt>
                <c:pt idx="35">
                  <c:v>6.0041750451347138</c:v>
                </c:pt>
                <c:pt idx="36">
                  <c:v>4.4061420077049629</c:v>
                </c:pt>
                <c:pt idx="37">
                  <c:v>1.6211730257633044</c:v>
                </c:pt>
                <c:pt idx="38">
                  <c:v>-1.6005110083002718</c:v>
                </c:pt>
                <c:pt idx="39">
                  <c:v>-4.3910459686353001</c:v>
                </c:pt>
                <c:pt idx="40">
                  <c:v>-5.9987115877045705</c:v>
                </c:pt>
                <c:pt idx="41">
                  <c:v>-5.9904314674500254</c:v>
                </c:pt>
                <c:pt idx="42">
                  <c:v>-4.3684361243502128</c:v>
                </c:pt>
                <c:pt idx="43">
                  <c:v>-1.5696621281274337</c:v>
                </c:pt>
                <c:pt idx="44">
                  <c:v>1.6519508045970395</c:v>
                </c:pt>
                <c:pt idx="45">
                  <c:v>4.4285577014033022</c:v>
                </c:pt>
                <c:pt idx="46">
                  <c:v>6.0121902662545832</c:v>
                </c:pt>
                <c:pt idx="47">
                  <c:v>5.9762461765669785</c:v>
                </c:pt>
                <c:pt idx="48">
                  <c:v>4.3304081279885871</c:v>
                </c:pt>
                <c:pt idx="49">
                  <c:v>1.5180354891659518</c:v>
                </c:pt>
                <c:pt idx="50">
                  <c:v>-1.7032687918926901</c:v>
                </c:pt>
                <c:pt idx="51">
                  <c:v>-4.4657428880123096</c:v>
                </c:pt>
                <c:pt idx="52">
                  <c:v>-6.0252256271894833</c:v>
                </c:pt>
                <c:pt idx="53">
                  <c:v>-5.9616202184586733</c:v>
                </c:pt>
                <c:pt idx="54">
                  <c:v>-4.2920608226698809</c:v>
                </c:pt>
                <c:pt idx="55">
                  <c:v>-1.4662969156443653</c:v>
                </c:pt>
                <c:pt idx="56">
                  <c:v>1.7544611861805666</c:v>
                </c:pt>
                <c:pt idx="57">
                  <c:v>4.5025987865583712</c:v>
                </c:pt>
                <c:pt idx="58">
                  <c:v>6.0378167093279114</c:v>
                </c:pt>
                <c:pt idx="59">
                  <c:v>5.9465546715914579</c:v>
                </c:pt>
                <c:pt idx="60">
                  <c:v>4.2533970359885478</c:v>
                </c:pt>
                <c:pt idx="61">
                  <c:v>1.4144502225818281</c:v>
                </c:pt>
                <c:pt idx="62">
                  <c:v>-1.8055242127148576</c:v>
                </c:pt>
                <c:pt idx="63">
                  <c:v>-4.5391226794180568</c:v>
                </c:pt>
                <c:pt idx="64">
                  <c:v>-6.0499625842480862</c:v>
                </c:pt>
                <c:pt idx="65">
                  <c:v>-5.9310506468453887</c:v>
                </c:pt>
                <c:pt idx="66">
                  <c:v>-4.2144196188752696</c:v>
                </c:pt>
                <c:pt idx="67">
                  <c:v>-1.3624992329698247</c:v>
                </c:pt>
                <c:pt idx="68">
                  <c:v>1.856454106288852</c:v>
                </c:pt>
                <c:pt idx="69">
                  <c:v>4.5753118734489044</c:v>
                </c:pt>
                <c:pt idx="70">
                  <c:v>6.0616623563562104</c:v>
                </c:pt>
                <c:pt idx="71">
                  <c:v>5.915109287432351</c:v>
                </c:pt>
                <c:pt idx="72">
                  <c:v>4.1751314453867288</c:v>
                </c:pt>
                <c:pt idx="73">
                  <c:v>1.3104477774903838</c:v>
                </c:pt>
                <c:pt idx="74">
                  <c:v>-1.9072471115126115</c:v>
                </c:pt>
                <c:pt idx="75">
                  <c:v>-4.6111637001879426</c:v>
                </c:pt>
                <c:pt idx="76">
                  <c:v>-6.0729151629525191</c:v>
                </c:pt>
                <c:pt idx="77">
                  <c:v>-5.8987317688117287</c:v>
                </c:pt>
                <c:pt idx="78">
                  <c:v>-4.1355354124936783</c:v>
                </c:pt>
                <c:pt idx="79">
                  <c:v>-1.2582996942334019</c:v>
                </c:pt>
                <c:pt idx="80">
                  <c:v>1.9578994830897551</c:v>
                </c:pt>
                <c:pt idx="81">
                  <c:v>4.6466755160483943</c:v>
                </c:pt>
                <c:pt idx="82">
                  <c:v>6.0837201742949159</c:v>
                </c:pt>
                <c:pt idx="83">
                  <c:v>5.8819192986036963</c:v>
                </c:pt>
                <c:pt idx="84">
                  <c:v>4.0956344398673359</c:v>
                </c:pt>
                <c:pt idx="85">
                  <c:v>1.2060588284138094</c:v>
                </c:pt>
                <c:pt idx="86">
                  <c:v>-2.0084074860939598</c:v>
                </c:pt>
                <c:pt idx="87">
                  <c:v>-4.6818447025147707</c:v>
                </c:pt>
                <c:pt idx="88">
                  <c:v>-6.0940765936601284</c:v>
                </c:pt>
                <c:pt idx="89">
                  <c:v>-5.8646731165002963</c:v>
                </c:pt>
                <c:pt idx="90">
                  <c:v>-4.0554314696640938</c:v>
                </c:pt>
                <c:pt idx="91">
                  <c:v>-1.1537290320881441</c:v>
                </c:pt>
                <c:pt idx="92">
                  <c:v>2.058767396243816</c:v>
                </c:pt>
                <c:pt idx="93">
                  <c:v>4.7166686663358304</c:v>
                </c:pt>
                <c:pt idx="94">
                  <c:v>6.103983657402499</c:v>
                </c:pt>
                <c:pt idx="95">
                  <c:v>5.8469944941739005</c:v>
                </c:pt>
                <c:pt idx="96">
                  <c:v>4.0149294663085424</c:v>
                </c:pt>
                <c:pt idx="97">
                  <c:v>1.1013141638700628</c:v>
                </c:pt>
                <c:pt idx="98">
                  <c:v>-2.1089755001780897</c:v>
                </c:pt>
                <c:pt idx="99">
                  <c:v>-4.7511448397158</c:v>
                </c:pt>
                <c:pt idx="100">
                  <c:v>-6.1134406350102131</c:v>
                </c:pt>
                <c:pt idx="101">
                  <c:v>-5.8288847351835003</c:v>
                </c:pt>
                <c:pt idx="102">
                  <c:v>-3.9741314162750525</c:v>
                </c:pt>
                <c:pt idx="103">
                  <c:v>-1.048818088646468</c:v>
                </c:pt>
                <c:pt idx="104">
                  <c:v>2.1590280957289085</c:v>
                </c:pt>
                <c:pt idx="105">
                  <c:v>4.785270680503853</c:v>
                </c:pt>
                <c:pt idx="106">
                  <c:v>6.1224468291592471</c:v>
                </c:pt>
                <c:pt idx="107">
                  <c:v>5.8103451748785782</c:v>
                </c:pt>
                <c:pt idx="108">
                  <c:v>3.9330403278671926</c:v>
                </c:pt>
                <c:pt idx="109">
                  <c:v>0.99624467729183297</c:v>
                </c:pt>
                <c:pt idx="110">
                  <c:v>-2.2089214921951634</c:v>
                </c:pt>
                <c:pt idx="111">
                  <c:v>-4.81904367238125</c:v>
                </c:pt>
                <c:pt idx="112">
                  <c:v>-6.1310015757647438</c:v>
                </c:pt>
                <c:pt idx="113">
                  <c:v>-5.7913771803006453</c:v>
                </c:pt>
                <c:pt idx="114">
                  <c:v>-3.8916592309964138</c:v>
                </c:pt>
                <c:pt idx="115">
                  <c:v>-0.94359780638342639</c:v>
                </c:pt>
                <c:pt idx="116">
                  <c:v>2.2586520106146435</c:v>
                </c:pt>
                <c:pt idx="117">
                  <c:v>4.8524613250473063</c:v>
                </c:pt>
                <c:pt idx="118">
                  <c:v>6.1391042440299906</c:v>
                </c:pt>
                <c:pt idx="119">
                  <c:v>5.7719821500824198</c:v>
                </c:pt>
                <c:pt idx="120">
                  <c:v>3.8499911769580906</c:v>
                </c:pt>
                <c:pt idx="121">
                  <c:v>0.89088135791503476</c:v>
                </c:pt>
                <c:pt idx="122">
                  <c:v>-2.3082159840349021</c:v>
                </c:pt>
                <c:pt idx="123">
                  <c:v>-4.8855211744025935</c:v>
                </c:pt>
                <c:pt idx="124">
                  <c:v>-6.146754236492928</c:v>
                </c:pt>
                <c:pt idx="125">
                  <c:v>-5.7521615143447837</c:v>
                </c:pt>
                <c:pt idx="126">
                  <c:v>-3.8080392382070771</c:v>
                </c:pt>
                <c:pt idx="127">
                  <c:v>-0.83809921901071593</c:v>
                </c:pt>
                <c:pt idx="128">
                  <c:v>2.3576097577842572</c:v>
                </c:pt>
                <c:pt idx="129">
                  <c:v>4.9182207827309492</c:v>
                </c:pt>
                <c:pt idx="130">
                  <c:v>6.1539509890702142</c:v>
                </c:pt>
                <c:pt idx="131">
                  <c:v>5.7319167345911453</c:v>
                </c:pt>
                <c:pt idx="132">
                  <c:v>3.7658065081306411</c:v>
                </c:pt>
                <c:pt idx="133">
                  <c:v>0.78525528163857017</c:v>
                </c:pt>
                <c:pt idx="134">
                  <c:v>-2.4068296897406625</c:v>
                </c:pt>
                <c:pt idx="135">
                  <c:v>-4.9505577388790734</c:v>
                </c:pt>
                <c:pt idx="136">
                  <c:v>-6.1606939710987874</c:v>
                </c:pt>
                <c:pt idx="137">
                  <c:v>-5.7112493035998879</c:v>
                </c:pt>
                <c:pt idx="138">
                  <c:v>-3.7232961008207441</c:v>
                </c:pt>
                <c:pt idx="139">
                  <c:v>-0.7323534423233663</c:v>
                </c:pt>
                <c:pt idx="140">
                  <c:v>2.4558721506007539</c:v>
                </c:pt>
                <c:pt idx="141">
                  <c:v>4.9825296584343333</c:v>
                </c:pt>
                <c:pt idx="142">
                  <c:v>6.1669826853750589</c:v>
                </c:pt>
                <c:pt idx="143">
                  <c:v>5.690160745314242</c:v>
                </c:pt>
                <c:pt idx="144">
                  <c:v>3.6805111508442145</c:v>
                </c:pt>
                <c:pt idx="145">
                  <c:v>0.6793976018592266</c:v>
                </c:pt>
                <c:pt idx="146">
                  <c:v>-2.5047335241470532</c:v>
                </c:pt>
                <c:pt idx="147">
                  <c:v>-5.014134183900703</c:v>
                </c:pt>
                <c:pt idx="148">
                  <c:v>-6.1728166681915004</c:v>
                </c:pt>
                <c:pt idx="149">
                  <c:v>-5.668652614729659</c:v>
                </c:pt>
                <c:pt idx="150">
                  <c:v>-3.6374548130118267</c:v>
                </c:pt>
                <c:pt idx="151">
                  <c:v>-0.62639166502234511</c:v>
                </c:pt>
                <c:pt idx="152">
                  <c:v>2.5534102075150233</c:v>
                </c:pt>
                <c:pt idx="153">
                  <c:v>5.045368984872364</c:v>
                </c:pt>
                <c:pt idx="154">
                  <c:v>6.178195489370867</c:v>
                </c:pt>
                <c:pt idx="155">
                  <c:v>5.646726497779575</c:v>
                </c:pt>
                <c:pt idx="156">
                  <c:v>3.594130262145284</c:v>
                </c:pt>
                <c:pt idx="157">
                  <c:v>0.57333954028284562</c:v>
                </c:pt>
                <c:pt idx="158">
                  <c:v>-2.601898611458525</c:v>
                </c:pt>
                <c:pt idx="159">
                  <c:v>-5.0762317582057266</c:v>
                </c:pt>
                <c:pt idx="160">
                  <c:v>-6.1831187522979718</c:v>
                </c:pt>
                <c:pt idx="161">
                  <c:v>-5.62438401121823</c:v>
                </c:pt>
                <c:pt idx="162">
                  <c:v>-3.5505406928435841</c:v>
                </c:pt>
                <c:pt idx="163">
                  <c:v>-0.52024513951640872</c:v>
                </c:pt>
                <c:pt idx="164">
                  <c:v>2.6501951606143161</c:v>
                </c:pt>
                <c:pt idx="165">
                  <c:v>5.1067202281890998</c:v>
                </c:pt>
                <c:pt idx="166">
                  <c:v>6.1875860939488261</c:v>
                </c:pt>
                <c:pt idx="167">
                  <c:v>5.6016268025013733</c:v>
                </c:pt>
                <c:pt idx="168">
                  <c:v>3.5066893192472453</c:v>
                </c:pt>
                <c:pt idx="169">
                  <c:v>0.46711237771599901</c:v>
                </c:pt>
                <c:pt idx="170">
                  <c:v>-2.6982962937659285</c:v>
                </c:pt>
                <c:pt idx="171">
                  <c:v>-5.1368321467108995</c:v>
                </c:pt>
                <c:pt idx="172">
                  <c:v>-6.191597184917474</c:v>
                </c:pt>
                <c:pt idx="173">
                  <c:v>-5.5784565496650433</c:v>
                </c:pt>
                <c:pt idx="174">
                  <c:v>-3.4625793748011646</c:v>
                </c:pt>
                <c:pt idx="175">
                  <c:v>-0.4139451727033639</c:v>
                </c:pt>
                <c:pt idx="176">
                  <c:v>2.7461984641060178</c:v>
                </c:pt>
                <c:pt idx="177">
                  <c:v>5.1665652934248074</c:v>
                </c:pt>
                <c:pt idx="178">
                  <c:v>6.1951517294402869</c:v>
                </c:pt>
                <c:pt idx="179">
                  <c:v>5.5548749612015396</c:v>
                </c:pt>
                <c:pt idx="180">
                  <c:v>3.4182141120163338</c:v>
                </c:pt>
                <c:pt idx="181">
                  <c:v>0.36074744483988319</c:v>
                </c:pt>
                <c:pt idx="182">
                  <c:v>-2.7938981394985301</c:v>
                </c:pt>
                <c:pt idx="183">
                  <c:v>-5.1959174759138529</c:v>
                </c:pt>
                <c:pt idx="184">
                  <c:v>-6.1982494654177307</c:v>
                </c:pt>
                <c:pt idx="185">
                  <c:v>-5.5308837759337477</c:v>
                </c:pt>
                <c:pt idx="186">
                  <c:v>-3.3735968022301628</c:v>
                </c:pt>
                <c:pt idx="187">
                  <c:v>-0.30752311673776001</c:v>
                </c:pt>
                <c:pt idx="188">
                  <c:v>2.8413918027381948</c:v>
                </c:pt>
                <c:pt idx="189">
                  <c:v>5.2248865298521592</c:v>
                </c:pt>
                <c:pt idx="190">
                  <c:v>6.2008901644337371</c:v>
                </c:pt>
                <c:pt idx="191">
                  <c:v>5.5064847628866138</c:v>
                </c:pt>
                <c:pt idx="192">
                  <c:v>3.3287307353650415</c:v>
                </c:pt>
                <c:pt idx="193">
                  <c:v>0.25427611297007624</c:v>
                </c:pt>
                <c:pt idx="194">
                  <c:v>-2.8886759518104284</c:v>
                </c:pt>
                <c:pt idx="195">
                  <c:v>-5.2534703191642036</c:v>
                </c:pt>
                <c:pt idx="196">
                  <c:v>-6.2030736317725044</c:v>
                </c:pt>
                <c:pt idx="197">
                  <c:v>-5.4816797211569783</c:v>
                </c:pt>
                <c:pt idx="198">
                  <c:v>-3.2836192196859737</c:v>
                </c:pt>
                <c:pt idx="199">
                  <c:v>-0.20101035978246543</c:v>
                </c:pt>
                <c:pt idx="200">
                  <c:v>2.9357471001497148</c:v>
                </c:pt>
                <c:pt idx="201">
                  <c:v>5.2816667361826974</c:v>
                </c:pt>
                <c:pt idx="202">
                  <c:v>6.2047997064328939</c:v>
                </c:pt>
                <c:pt idx="203">
                  <c:v>5.4564704797808412</c:v>
                </c:pt>
                <c:pt idx="204">
                  <c:v>3.2382655815560439</c:v>
                </c:pt>
                <c:pt idx="205">
                  <c:v>0.14772978480298912</c:v>
                </c:pt>
                <c:pt idx="206">
                  <c:v>-2.9826017768961455</c:v>
                </c:pt>
                <c:pt idx="207">
                  <c:v>-5.3094737018036309</c:v>
                </c:pt>
                <c:pt idx="208">
                  <c:v>-6.2060682611402678</c:v>
                </c:pt>
                <c:pt idx="209">
                  <c:v>-5.4308588975982071</c:v>
                </c:pt>
                <c:pt idx="210">
                  <c:v>-3.1926731651920339</c:v>
                </c:pt>
                <c:pt idx="211">
                  <c:v>-9.4438316752350648E-2</c:v>
                </c:pt>
                <c:pt idx="212">
                  <c:v>3.0292365271519706</c:v>
                </c:pt>
                <c:pt idx="213">
                  <c:v>5.3368891656399411</c:v>
                </c:pt>
                <c:pt idx="214">
                  <c:v>6.2068792023558936</c:v>
                </c:pt>
                <c:pt idx="215">
                  <c:v>5.4048468631165099</c:v>
                </c:pt>
                <c:pt idx="216">
                  <c:v>3.1468453324173149</c:v>
                </c:pt>
                <c:pt idx="217">
                  <c:v>4.1139885154822649E-2</c:v>
                </c:pt>
                <c:pt idx="218">
                  <c:v>-3.0756479122357319</c:v>
                </c:pt>
                <c:pt idx="219">
                  <c:v>-5.3639111061723845</c:v>
                </c:pt>
                <c:pt idx="220">
                  <c:v>-6.2072324702838451</c:v>
                </c:pt>
                <c:pt idx="221">
                  <c:v>-5.3784362943710393</c:v>
                </c:pt>
                <c:pt idx="222">
                  <c:v>-3.100785462413878</c:v>
                </c:pt>
                <c:pt idx="223">
                  <c:v>1.2161579952207817E-2</c:v>
                </c:pt>
                <c:pt idx="224">
                  <c:v>3.1218325099364352</c:v>
                </c:pt>
                <c:pt idx="225">
                  <c:v>5.3905375308986905</c:v>
                </c:pt>
                <c:pt idx="226">
                  <c:v>6.2071280388753918</c:v>
                </c:pt>
                <c:pt idx="227">
                  <c:v>5.3516291387836343</c:v>
                </c:pt>
                <c:pt idx="228">
                  <c:v>3.0544969514733178</c:v>
                </c:pt>
                <c:pt idx="229">
                  <c:v>-6.5462148307320597E-2</c:v>
                </c:pt>
                <c:pt idx="230">
                  <c:v>-3.1677869147653559</c:v>
                </c:pt>
                <c:pt idx="231">
                  <c:v>-5.4167664764807846</c:v>
                </c:pt>
                <c:pt idx="232">
                  <c:v>-6.2065659158309368</c:v>
                </c:pt>
                <c:pt idx="233">
                  <c:v>-5.3244273730189526</c:v>
                </c:pt>
                <c:pt idx="234">
                  <c:v>-3.0079832127465527</c:v>
                </c:pt>
                <c:pt idx="235">
                  <c:v>0.11875788971557166</c:v>
                </c:pt>
                <c:pt idx="236">
                  <c:v>3.2135077382072992</c:v>
                </c:pt>
                <c:pt idx="237">
                  <c:v>5.4425960088890362</c:v>
                </c:pt>
                <c:pt idx="238">
                  <c:v>6.2055461425994443</c:v>
                </c:pt>
                <c:pt idx="239">
                  <c:v>5.2968330028388069</c:v>
                </c:pt>
                <c:pt idx="240">
                  <c:v>2.9612476759920034</c:v>
                </c:pt>
                <c:pt idx="241">
                  <c:v>-0.17204487433767435</c:v>
                </c:pt>
                <c:pt idx="242">
                  <c:v>-3.2589916089709914</c:v>
                </c:pt>
                <c:pt idx="243">
                  <c:v>-5.4680242235452114</c:v>
                </c:pt>
                <c:pt idx="244">
                  <c:v>-6.2040687943753792</c:v>
                </c:pt>
                <c:pt idx="245">
                  <c:v>-5.268848062954361</c:v>
                </c:pt>
                <c:pt idx="246">
                  <c:v>-2.914293787322459</c:v>
                </c:pt>
                <c:pt idx="247">
                  <c:v>0.22531917297994827</c:v>
                </c:pt>
                <c:pt idx="248">
                  <c:v>3.3042351732367528</c:v>
                </c:pt>
                <c:pt idx="249">
                  <c:v>5.4930492454627888</c:v>
                </c:pt>
                <c:pt idx="250">
                  <c:v>6.2021339800931639</c:v>
                </c:pt>
                <c:pt idx="251">
                  <c:v>5.2404746168760061</c:v>
                </c:pt>
                <c:pt idx="252">
                  <c:v>2.8671250089515139</c:v>
                </c:pt>
                <c:pt idx="253">
                  <c:v>-0.27857685738466126</c:v>
                </c:pt>
                <c:pt idx="254">
                  <c:v>-3.3492350949044067</c:v>
                </c:pt>
                <c:pt idx="255">
                  <c:v>-5.5176692293853717</c:v>
                </c:pt>
                <c:pt idx="256">
                  <c:v>-6.1997418424191562</c:v>
                </c:pt>
                <c:pt idx="257">
                  <c:v>-5.2117147567610642</c:v>
                </c:pt>
                <c:pt idx="258">
                  <c:v>-2.8197448189377377</c:v>
                </c:pt>
                <c:pt idx="259">
                  <c:v>0.33181400051862703</c:v>
                </c:pt>
                <c:pt idx="260">
                  <c:v>3.3939880558391202</c:v>
                </c:pt>
                <c:pt idx="261">
                  <c:v>5.541882359922468</c:v>
                </c:pt>
                <c:pt idx="262">
                  <c:v>6.1968925577411023</c:v>
                </c:pt>
                <c:pt idx="263">
                  <c:v>5.1825706032598493</c:v>
                </c:pt>
                <c:pt idx="264">
                  <c:v>2.7721567109283636</c:v>
                </c:pt>
                <c:pt idx="265">
                  <c:v>-0.38502667686338837</c:v>
                </c:pt>
                <c:pt idx="266">
                  <c:v>-3.4384907561159928</c:v>
                </c:pt>
                <c:pt idx="267">
                  <c:v>-5.565686851683636</c:v>
                </c:pt>
                <c:pt idx="268">
                  <c:v>-6.1935863361551808</c:v>
                </c:pt>
                <c:pt idx="269">
                  <c:v>-5.1530443053589625</c:v>
                </c:pt>
                <c:pt idx="270">
                  <c:v>-2.7243641939022334</c:v>
                </c:pt>
                <c:pt idx="271">
                  <c:v>0.43821096270475851</c:v>
                </c:pt>
                <c:pt idx="272">
                  <c:v>3.4827399142636106</c:v>
                </c:pt>
                <c:pt idx="273">
                  <c:v>5.5890809494100457</c:v>
                </c:pt>
                <c:pt idx="274">
                  <c:v>6.1898234214504537</c:v>
                </c:pt>
                <c:pt idx="275">
                  <c:v>5.1231380402229307</c:v>
                </c:pt>
                <c:pt idx="276">
                  <c:v>2.676370791910117</c:v>
                </c:pt>
                <c:pt idx="277">
                  <c:v>-0.49136293642205353</c:v>
                </c:pt>
                <c:pt idx="278">
                  <c:v>-3.5267322675057802</c:v>
                </c:pt>
                <c:pt idx="279">
                  <c:v>-5.6120629281036374</c:v>
                </c:pt>
                <c:pt idx="280">
                  <c:v>-6.1856040910909078</c:v>
                </c:pt>
                <c:pt idx="281">
                  <c:v>-5.0928540130341169</c:v>
                </c:pt>
                <c:pt idx="282">
                  <c:v>-2.6281800438154836</c:v>
                </c:pt>
                <c:pt idx="283">
                  <c:v>0.54447867877646783</c:v>
                </c:pt>
                <c:pt idx="284">
                  <c:v>3.5704645720023396</c:v>
                </c:pt>
                <c:pt idx="285">
                  <c:v>5.6346310931547814</c:v>
                </c:pt>
                <c:pt idx="286">
                  <c:v>6.1809286561950776</c:v>
                </c:pt>
                <c:pt idx="287">
                  <c:v>5.0621944568290189</c:v>
                </c:pt>
                <c:pt idx="288">
                  <c:v>2.5797955030334068</c:v>
                </c:pt>
                <c:pt idx="289">
                  <c:v>-0.59755427320217414</c:v>
                </c:pt>
                <c:pt idx="290">
                  <c:v>-3.613933603087621</c:v>
                </c:pt>
                <c:pt idx="291">
                  <c:v>-5.6567837804669967</c:v>
                </c:pt>
                <c:pt idx="292">
                  <c:v>-6.1757974615128646</c:v>
                </c:pt>
                <c:pt idx="293">
                  <c:v>-5.0311616323350172</c:v>
                </c:pt>
                <c:pt idx="294">
                  <c:v>-2.5312207372683853</c:v>
                </c:pt>
                <c:pt idx="295">
                  <c:v>0.65058580609177896</c:v>
                </c:pt>
                <c:pt idx="296">
                  <c:v>3.6571361555099569</c:v>
                </c:pt>
                <c:pt idx="297">
                  <c:v>5.6785193565794385</c:v>
                </c:pt>
                <c:pt idx="298">
                  <c:v>6.1702108854005031</c:v>
                </c:pt>
                <c:pt idx="299">
                  <c:v>4.9997578278024681</c:v>
                </c:pt>
                <c:pt idx="300">
                  <c:v>2.4824593282519167</c:v>
                </c:pt>
                <c:pt idx="301">
                  <c:v>-0.70356936708893736</c:v>
                </c:pt>
                <c:pt idx="302">
                  <c:v>-3.7000690436652972</c:v>
                </c:pt>
                <c:pt idx="303">
                  <c:v>-5.6998362187877154</c:v>
                </c:pt>
                <c:pt idx="304">
                  <c:v>-6.1641693397922195</c:v>
                </c:pt>
                <c:pt idx="305">
                  <c:v>-4.967985358836998</c:v>
                </c:pt>
                <c:pt idx="306">
                  <c:v>-2.4335148714772674</c:v>
                </c:pt>
                <c:pt idx="307">
                  <c:v>0.7565010493724762</c:v>
                </c:pt>
                <c:pt idx="308">
                  <c:v>3.7427291018349673</c:v>
                </c:pt>
                <c:pt idx="309">
                  <c:v>5.7207327952621227</c:v>
                </c:pt>
                <c:pt idx="310">
                  <c:v>6.1576732701703074</c:v>
                </c:pt>
                <c:pt idx="311">
                  <c:v>4.9358465682274044</c:v>
                </c:pt>
                <c:pt idx="312">
                  <c:v>2.3843909759358057</c:v>
                </c:pt>
                <c:pt idx="313">
                  <c:v>-0.80937694994850384</c:v>
                </c:pt>
                <c:pt idx="314">
                  <c:v>-3.7851131844177983</c:v>
                </c:pt>
                <c:pt idx="315">
                  <c:v>-5.7412075451629159</c:v>
                </c:pt>
                <c:pt idx="316">
                  <c:v>-6.1507231555318258</c:v>
                </c:pt>
                <c:pt idx="317">
                  <c:v>-4.9033438257749085</c:v>
                </c:pt>
                <c:pt idx="318">
                  <c:v>-2.3350912638487782</c:v>
                </c:pt>
                <c:pt idx="319">
                  <c:v>0.86219316993487227</c:v>
                </c:pt>
                <c:pt idx="320">
                  <c:v>3.827218166160824</c:v>
                </c:pt>
                <c:pt idx="321">
                  <c:v>5.7612589587546958</c:v>
                </c:pt>
                <c:pt idx="322">
                  <c:v>6.1433195083536782</c:v>
                </c:pt>
                <c:pt idx="323">
                  <c:v>4.8704795281159692</c:v>
                </c:pt>
                <c:pt idx="324">
                  <c:v>2.2856193704033143</c:v>
                </c:pt>
                <c:pt idx="325">
                  <c:v>-0.9149458148505949</c:v>
                </c:pt>
                <c:pt idx="326">
                  <c:v>-3.8690409423926613</c:v>
                </c:pt>
                <c:pt idx="327">
                  <c:v>-5.7808855575170472</c:v>
                </c:pt>
                <c:pt idx="328">
                  <c:v>-6.135462874554535</c:v>
                </c:pt>
                <c:pt idx="329">
                  <c:v>-4.8372560985481448</c:v>
                </c:pt>
                <c:pt idx="330">
                  <c:v>-2.2359789434811193</c:v>
                </c:pt>
                <c:pt idx="331">
                  <c:v>0.9676309949030083</c:v>
                </c:pt>
                <c:pt idx="332">
                  <c:v>3.9105784292490973</c:v>
                </c:pt>
                <c:pt idx="333">
                  <c:v>5.8000858942544173</c:v>
                </c:pt>
                <c:pt idx="334">
                  <c:v>6.1271538334548241</c:v>
                </c:pt>
                <c:pt idx="335">
                  <c:v>4.8036759868491288</c:v>
                </c:pt>
                <c:pt idx="336">
                  <c:v>2.1861736433909527</c:v>
                </c:pt>
                <c:pt idx="337">
                  <c:v>-1.0202448252730227</c:v>
                </c:pt>
                <c:pt idx="338">
                  <c:v>-3.9518275639036635</c:v>
                </c:pt>
                <c:pt idx="339">
                  <c:v>-5.8188585532016033</c:v>
                </c:pt>
                <c:pt idx="340">
                  <c:v>-6.1183929977336664</c:v>
                </c:pt>
                <c:pt idx="341">
                  <c:v>-4.7697416690970789</c:v>
                </c:pt>
                <c:pt idx="342">
                  <c:v>-2.1362071426002234</c:v>
                </c:pt>
                <c:pt idx="343">
                  <c:v>1.0727834264034923</c:v>
                </c:pt>
                <c:pt idx="344">
                  <c:v>3.992785304790865</c:v>
                </c:pt>
                <c:pt idx="345">
                  <c:v>5.8372021501295972</c:v>
                </c:pt>
                <c:pt idx="346">
                  <c:v>6.109181013384231</c:v>
                </c:pt>
                <c:pt idx="347">
                  <c:v>4.735455647489065</c:v>
                </c:pt>
                <c:pt idx="348">
                  <c:v>2.0860831254607253</c:v>
                </c:pt>
                <c:pt idx="349">
                  <c:v>-1.1252429242835396</c:v>
                </c:pt>
                <c:pt idx="350">
                  <c:v>-4.0334486318322318</c:v>
                </c:pt>
                <c:pt idx="351">
                  <c:v>-5.8551153324461724</c:v>
                </c:pt>
                <c:pt idx="352">
                  <c:v>-6.0995185596655297</c:v>
                </c:pt>
                <c:pt idx="353">
                  <c:v>-4.700820450154314</c:v>
                </c:pt>
                <c:pt idx="354">
                  <c:v>-2.0358052879409394</c:v>
                </c:pt>
                <c:pt idx="355">
                  <c:v>1.1776194507364697</c:v>
                </c:pt>
                <c:pt idx="356">
                  <c:v>4.0738145466576539</c:v>
                </c:pt>
                <c:pt idx="357">
                  <c:v>5.8725967792968961</c:v>
                </c:pt>
                <c:pt idx="358">
                  <c:v>6.0894063490525747</c:v>
                </c:pt>
                <c:pt idx="359">
                  <c:v>4.665838630969942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7-4D33-82F5-51D3B7BE6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44160"/>
        <c:axId val="184078720"/>
      </c:lineChart>
      <c:catAx>
        <c:axId val="18404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078720"/>
        <c:crosses val="autoZero"/>
        <c:auto val="1"/>
        <c:lblAlgn val="ctr"/>
        <c:lblOffset val="100"/>
        <c:tickLblSkip val="11"/>
        <c:tickMarkSkip val="1"/>
        <c:noMultiLvlLbl val="0"/>
      </c:catAx>
      <c:valAx>
        <c:axId val="184078720"/>
        <c:scaling>
          <c:orientation val="minMax"/>
          <c:max val="160"/>
          <c:min val="-1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044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256051868299844"/>
          <c:y val="0.52292291045858064"/>
          <c:w val="8.2220072431849089E-2"/>
          <c:h val="2.72206446540083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031983461673188E-2"/>
          <c:y val="4.2875184029190987E-2"/>
          <c:w val="0.9251475624324712"/>
          <c:h val="0.8865074815447430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'Forcasting Pasut'!$N$18:$N$377</c:f>
              <c:numCache>
                <c:formatCode>General</c:formatCode>
                <c:ptCount val="360"/>
                <c:pt idx="0">
                  <c:v>-10.619587646438708</c:v>
                </c:pt>
                <c:pt idx="1">
                  <c:v>-8.9319144396980725</c:v>
                </c:pt>
                <c:pt idx="2">
                  <c:v>-6.638850113044036</c:v>
                </c:pt>
                <c:pt idx="3">
                  <c:v>-3.8958149618812095</c:v>
                </c:pt>
                <c:pt idx="4">
                  <c:v>-0.88872759675333535</c:v>
                </c:pt>
                <c:pt idx="5">
                  <c:v>2.1785963278186338</c:v>
                </c:pt>
                <c:pt idx="6">
                  <c:v>5.0982584180054147</c:v>
                </c:pt>
                <c:pt idx="7">
                  <c:v>7.6723685669906061</c:v>
                </c:pt>
                <c:pt idx="8">
                  <c:v>9.7264576353309824</c:v>
                </c:pt>
                <c:pt idx="9">
                  <c:v>11.121302694965618</c:v>
                </c:pt>
                <c:pt idx="10">
                  <c:v>11.762363340423894</c:v>
                </c:pt>
                <c:pt idx="11">
                  <c:v>11.606189488892495</c:v>
                </c:pt>
                <c:pt idx="12">
                  <c:v>10.663366358525723</c:v>
                </c:pt>
                <c:pt idx="13">
                  <c:v>8.9977970189987815</c:v>
                </c:pt>
                <c:pt idx="14">
                  <c:v>6.7223711418996697</c:v>
                </c:pt>
                <c:pt idx="15">
                  <c:v>3.9913135162494924</c:v>
                </c:pt>
                <c:pt idx="16">
                  <c:v>0.989730934741201</c:v>
                </c:pt>
                <c:pt idx="17">
                  <c:v>-2.0789340536845669</c:v>
                </c:pt>
                <c:pt idx="18">
                  <c:v>-5.0066921599986509</c:v>
                </c:pt>
                <c:pt idx="19">
                  <c:v>-7.595104542138321</c:v>
                </c:pt>
                <c:pt idx="20">
                  <c:v>-9.6687326777800049</c:v>
                </c:pt>
                <c:pt idx="21">
                  <c:v>-11.087029311596153</c:v>
                </c:pt>
                <c:pt idx="22">
                  <c:v>-11.753864527283584</c:v>
                </c:pt>
                <c:pt idx="23">
                  <c:v>-11.624041282176005</c:v>
                </c:pt>
                <c:pt idx="24">
                  <c:v>-10.706358791746998</c:v>
                </c:pt>
                <c:pt idx="25">
                  <c:v>-9.0630161326174186</c:v>
                </c:pt>
                <c:pt idx="26">
                  <c:v>-6.8053964869178714</c:v>
                </c:pt>
                <c:pt idx="27">
                  <c:v>-4.0865177652962803</c:v>
                </c:pt>
                <c:pt idx="28">
                  <c:v>-1.090661293475556</c:v>
                </c:pt>
                <c:pt idx="29">
                  <c:v>1.9791184863169449</c:v>
                </c:pt>
                <c:pt idx="30">
                  <c:v>4.9147567262456553</c:v>
                </c:pt>
                <c:pt idx="31">
                  <c:v>7.5172804811788794</c:v>
                </c:pt>
                <c:pt idx="32">
                  <c:v>9.6102947821279194</c:v>
                </c:pt>
                <c:pt idx="33">
                  <c:v>11.051938409955397</c:v>
                </c:pt>
                <c:pt idx="34">
                  <c:v>11.744499025805101</c:v>
                </c:pt>
                <c:pt idx="35">
                  <c:v>11.641035959827606</c:v>
                </c:pt>
                <c:pt idx="36">
                  <c:v>10.748561775992782</c:v>
                </c:pt>
                <c:pt idx="37">
                  <c:v>9.127566971527548</c:v>
                </c:pt>
                <c:pt idx="38">
                  <c:v>6.887920026103771</c:v>
                </c:pt>
                <c:pt idx="39">
                  <c:v>4.1814206889974672</c:v>
                </c:pt>
                <c:pt idx="40">
                  <c:v>1.1915112307092388</c:v>
                </c:pt>
                <c:pt idx="41">
                  <c:v>-1.8791569857621522</c:v>
                </c:pt>
                <c:pt idx="42">
                  <c:v>-4.8224588957396994</c:v>
                </c:pt>
                <c:pt idx="43">
                  <c:v>-7.4389021225828831</c:v>
                </c:pt>
                <c:pt idx="44">
                  <c:v>-9.5511482573781752</c:v>
                </c:pt>
                <c:pt idx="45">
                  <c:v>-11.016032577522145</c:v>
                </c:pt>
                <c:pt idx="46">
                  <c:v>-11.734267526567354</c:v>
                </c:pt>
                <c:pt idx="47">
                  <c:v>-11.657172268719963</c:v>
                </c:pt>
                <c:pt idx="48">
                  <c:v>-10.789972199364508</c:v>
                </c:pt>
                <c:pt idx="49">
                  <c:v>-9.1914447759789439</c:v>
                </c:pt>
                <c:pt idx="50">
                  <c:v>-6.9699356744638985</c:v>
                </c:pt>
                <c:pt idx="51">
                  <c:v>-4.2760152895475869</c:v>
                </c:pt>
                <c:pt idx="52">
                  <c:v>-1.2922733101251005</c:v>
                </c:pt>
                <c:pt idx="53">
                  <c:v>1.7790569228272153</c:v>
                </c:pt>
                <c:pt idx="54">
                  <c:v>4.7298054741958442</c:v>
                </c:pt>
                <c:pt idx="55">
                  <c:v>7.3599752456929091</c:v>
                </c:pt>
                <c:pt idx="56">
                  <c:v>9.4912974647859851</c:v>
                </c:pt>
                <c:pt idx="57">
                  <c:v>10.979314461865313</c:v>
                </c:pt>
                <c:pt idx="58">
                  <c:v>11.723170784004854</c:v>
                </c:pt>
                <c:pt idx="59">
                  <c:v>11.672449019018806</c:v>
                </c:pt>
                <c:pt idx="60">
                  <c:v>10.830587008404223</c:v>
                </c:pt>
                <c:pt idx="61">
                  <c:v>9.254644835848552</c:v>
                </c:pt>
                <c:pt idx="62">
                  <c:v>7.0514373844548244</c:v>
                </c:pt>
                <c:pt idx="63">
                  <c:v>4.3702945918758402</c:v>
                </c:pt>
                <c:pt idx="64">
                  <c:v>1.3929401018842822</c:v>
                </c:pt>
                <c:pt idx="65">
                  <c:v>-1.6788256785361499</c:v>
                </c:pt>
                <c:pt idx="66">
                  <c:v>-4.6368032935492636</c:v>
                </c:pt>
                <c:pt idx="67">
                  <c:v>-7.2805056702972415</c:v>
                </c:pt>
                <c:pt idx="68">
                  <c:v>-9.4307468175368356</c:v>
                </c:pt>
                <c:pt idx="69">
                  <c:v>-10.94178677044868</c:v>
                </c:pt>
                <c:pt idx="70">
                  <c:v>-11.711209616352093</c:v>
                </c:pt>
                <c:pt idx="71">
                  <c:v>-11.686865084270689</c:v>
                </c:pt>
                <c:pt idx="72">
                  <c:v>-10.870403208319766</c:v>
                </c:pt>
                <c:pt idx="73">
                  <c:v>-9.3171624909878243</c:v>
                </c:pt>
                <c:pt idx="74">
                  <c:v>-7.1324191464291413</c:v>
                </c:pt>
                <c:pt idx="75">
                  <c:v>-4.4642516441604672</c:v>
                </c:pt>
                <c:pt idx="76">
                  <c:v>-1.4935041831741305</c:v>
                </c:pt>
                <c:pt idx="77">
                  <c:v>1.5784706435859952</c:v>
                </c:pt>
                <c:pt idx="78">
                  <c:v>4.5434592114513297</c:v>
                </c:pt>
                <c:pt idx="79">
                  <c:v>7.200499256200942</c:v>
                </c:pt>
                <c:pt idx="80">
                  <c:v>9.3695007804209691</c:v>
                </c:pt>
                <c:pt idx="81">
                  <c:v>10.903452270431282</c:v>
                </c:pt>
                <c:pt idx="82">
                  <c:v>11.698384905583215</c:v>
                </c:pt>
                <c:pt idx="83">
                  <c:v>11.700419401486016</c:v>
                </c:pt>
                <c:pt idx="84">
                  <c:v>10.90941786320559</c:v>
                </c:pt>
                <c:pt idx="85">
                  <c:v>9.3789931315663466</c:v>
                </c:pt>
                <c:pt idx="86">
                  <c:v>7.2128749890785571</c:v>
                </c:pt>
                <c:pt idx="87">
                  <c:v>4.5578795183411689</c:v>
                </c:pt>
                <c:pt idx="88">
                  <c:v>1.5939581387554889</c:v>
                </c:pt>
                <c:pt idx="89">
                  <c:v>-1.4779992178014263</c:v>
                </c:pt>
                <c:pt idx="90">
                  <c:v>-4.4497801107640287</c:v>
                </c:pt>
                <c:pt idx="91">
                  <c:v>-7.1199619027935874</c:v>
                </c:pt>
                <c:pt idx="92">
                  <c:v>-9.3075638695042358</c:v>
                </c:pt>
                <c:pt idx="93">
                  <c:v>-10.86431378846339</c:v>
                </c:pt>
                <c:pt idx="94">
                  <c:v>-11.684697597346958</c:v>
                </c:pt>
                <c:pt idx="95">
                  <c:v>-11.713110971217446</c:v>
                </c:pt>
                <c:pt idx="96">
                  <c:v>-10.947628096259244</c:v>
                </c:pt>
                <c:pt idx="97">
                  <c:v>-9.440132198411618</c:v>
                </c:pt>
                <c:pt idx="98">
                  <c:v>-7.2927989798742097</c:v>
                </c:pt>
                <c:pt idx="99">
                  <c:v>-4.6511713106301515</c:v>
                </c:pt>
                <c:pt idx="100">
                  <c:v>-1.6942945615095202</c:v>
                </c:pt>
                <c:pt idx="101">
                  <c:v>1.3774188095896369</c:v>
                </c:pt>
                <c:pt idx="102">
                  <c:v>4.355772899052436</c:v>
                </c:pt>
                <c:pt idx="103">
                  <c:v>7.0388995486143529</c:v>
                </c:pt>
                <c:pt idx="104">
                  <c:v>9.2449406517950603</c:v>
                </c:pt>
                <c:pt idx="105">
                  <c:v>10.824374210478029</c:v>
                </c:pt>
                <c:pt idx="106">
                  <c:v>11.670148700896954</c:v>
                </c:pt>
                <c:pt idx="107">
                  <c:v>11.72493885763358</c:v>
                </c:pt>
                <c:pt idx="108">
                  <c:v>10.985031089993436</c:v>
                </c:pt>
                <c:pt idx="109">
                  <c:v>9.5005751833454344</c:v>
                </c:pt>
                <c:pt idx="110">
                  <c:v>7.3721852255041069</c:v>
                </c:pt>
                <c:pt idx="111">
                  <c:v>4.7441201420210906</c:v>
                </c:pt>
                <c:pt idx="112">
                  <c:v>1.7945060529836776</c:v>
                </c:pt>
                <c:pt idx="113">
                  <c:v>-1.2767368353936317</c:v>
                </c:pt>
                <c:pt idx="114">
                  <c:v>-4.261444508075372</c:v>
                </c:pt>
                <c:pt idx="115">
                  <c:v>-6.9573181709140819</c:v>
                </c:pt>
                <c:pt idx="116">
                  <c:v>-9.1816357449077106</c:v>
                </c:pt>
                <c:pt idx="117">
                  <c:v>-10.78363648147821</c:v>
                </c:pt>
                <c:pt idx="118">
                  <c:v>-11.654739289017296</c:v>
                </c:pt>
                <c:pt idx="119">
                  <c:v>-11.735902188587971</c:v>
                </c:pt>
                <c:pt idx="120">
                  <c:v>-11.021624086443941</c:v>
                </c:pt>
                <c:pt idx="121">
                  <c:v>-9.5603176295161738</c:v>
                </c:pt>
                <c:pt idx="122">
                  <c:v>-7.4510278723076819</c:v>
                </c:pt>
                <c:pt idx="123">
                  <c:v>-4.8367191587964209</c:v>
                </c:pt>
                <c:pt idx="124">
                  <c:v>-1.8945852239376515</c:v>
                </c:pt>
                <c:pt idx="125">
                  <c:v>1.1759607191455739</c:v>
                </c:pt>
                <c:pt idx="126">
                  <c:v>4.1668018932742763</c:v>
                </c:pt>
                <c:pt idx="127">
                  <c:v>6.8752237852147067</c:v>
                </c:pt>
                <c:pt idx="128">
                  <c:v>9.1176538167217913</c:v>
                </c:pt>
                <c:pt idx="129">
                  <c:v>10.74210360531978</c:v>
                </c:pt>
                <c:pt idx="130">
                  <c:v>11.63847049794343</c:v>
                </c:pt>
                <c:pt idx="131">
                  <c:v>11.746000155683415</c:v>
                </c:pt>
                <c:pt idx="132">
                  <c:v>11.057404387372792</c:v>
                </c:pt>
                <c:pt idx="133">
                  <c:v>9.6193551317274366</c:v>
                </c:pt>
                <c:pt idx="134">
                  <c:v>7.5293211067074184</c:v>
                </c:pt>
                <c:pt idx="135">
                  <c:v>4.9289615330325534</c:v>
                </c:pt>
                <c:pt idx="136">
                  <c:v>1.9945246948878146</c:v>
                </c:pt>
                <c:pt idx="137">
                  <c:v>-1.0750978917192855</c:v>
                </c:pt>
                <c:pt idx="138">
                  <c:v>-4.071852033260341</c:v>
                </c:pt>
                <c:pt idx="139">
                  <c:v>-6.7926224448653159</c:v>
                </c:pt>
                <c:pt idx="140">
                  <c:v>-9.0529995850380125</c:v>
                </c:pt>
                <c:pt idx="141">
                  <c:v>-10.699778644489934</c:v>
                </c:pt>
                <c:pt idx="142">
                  <c:v>-11.621343527278404</c:v>
                </c:pt>
                <c:pt idx="143">
                  <c:v>-11.755232014331595</c:v>
                </c:pt>
                <c:pt idx="144">
                  <c:v>-11.092369354467333</c:v>
                </c:pt>
                <c:pt idx="145">
                  <c:v>-9.6776833367630175</c:v>
                </c:pt>
                <c:pt idx="146">
                  <c:v>-7.6070591556375273</c:v>
                </c:pt>
                <c:pt idx="147">
                  <c:v>-5.0208404631035739</c:v>
                </c:pt>
                <c:pt idx="148">
                  <c:v>-2.0943170966516456</c:v>
                </c:pt>
                <c:pt idx="149">
                  <c:v>0.97415579038257305</c:v>
                </c:pt>
                <c:pt idx="150">
                  <c:v>3.9766019292999317</c:v>
                </c:pt>
                <c:pt idx="151">
                  <c:v>6.7095202405962739</c:v>
                </c:pt>
                <c:pt idx="152">
                  <c:v>8.9876778172305745</c:v>
                </c:pt>
                <c:pt idx="153">
                  <c:v>10.656664719881299</c:v>
                </c:pt>
                <c:pt idx="154">
                  <c:v>11.603359639904353</c:v>
                </c:pt>
                <c:pt idx="155">
                  <c:v>11.763597083807962</c:v>
                </c:pt>
                <c:pt idx="156">
                  <c:v>11.126516409534737</c:v>
                </c:pt>
                <c:pt idx="157">
                  <c:v>9.735297943707506</c:v>
                </c:pt>
                <c:pt idx="158">
                  <c:v>7.6842362869696261</c:v>
                </c:pt>
                <c:pt idx="159">
                  <c:v>5.1123491741826106</c:v>
                </c:pt>
                <c:pt idx="160">
                  <c:v>2.1939550708906541</c:v>
                </c:pt>
                <c:pt idx="161">
                  <c:v>-0.87314185824816071</c:v>
                </c:pt>
                <c:pt idx="162">
                  <c:v>-3.8810586047982611</c:v>
                </c:pt>
                <c:pt idx="163">
                  <c:v>-6.6259233000698146</c:v>
                </c:pt>
                <c:pt idx="164">
                  <c:v>-8.9216933298951044</c:v>
                </c:pt>
                <c:pt idx="165">
                  <c:v>-10.612765010562091</c:v>
                </c:pt>
                <c:pt idx="166">
                  <c:v>-11.584520161889438</c:v>
                </c:pt>
                <c:pt idx="167">
                  <c:v>-11.771094747301905</c:v>
                </c:pt>
                <c:pt idx="168">
                  <c:v>-11.159843034692111</c:v>
                </c:pt>
                <c:pt idx="169">
                  <c:v>-9.79219470426405</c:v>
                </c:pt>
                <c:pt idx="170">
                  <c:v>-7.760846809935475</c:v>
                </c:pt>
                <c:pt idx="171">
                  <c:v>-5.2034809187413575</c:v>
                </c:pt>
                <c:pt idx="172">
                  <c:v>-2.2934312706537852</c:v>
                </c:pt>
                <c:pt idx="173">
                  <c:v>0.7720635437259481</c:v>
                </c:pt>
                <c:pt idx="174">
                  <c:v>3.7852291047819024</c:v>
                </c:pt>
                <c:pt idx="175">
                  <c:v>6.5418377874280234</c:v>
                </c:pt>
                <c:pt idx="176">
                  <c:v>8.8550509884940372</c:v>
                </c:pt>
                <c:pt idx="177">
                  <c:v>10.568082753541239</c:v>
                </c:pt>
                <c:pt idx="178">
                  <c:v>11.564826482390023</c:v>
                </c:pt>
                <c:pt idx="179">
                  <c:v>11.777724451962277</c:v>
                </c:pt>
                <c:pt idx="180">
                  <c:v>11.19234677255216</c:v>
                </c:pt>
                <c:pt idx="181">
                  <c:v>9.8483694230669094</c:v>
                </c:pt>
                <c:pt idx="182">
                  <c:v>7.8368850755462747</c:v>
                </c:pt>
                <c:pt idx="183">
                  <c:v>5.2942289770479842</c:v>
                </c:pt>
                <c:pt idx="184">
                  <c:v>2.3927383609183281</c:v>
                </c:pt>
                <c:pt idx="185">
                  <c:v>-0.67092829997249515</c:v>
                </c:pt>
                <c:pt idx="186">
                  <c:v>-3.6891204953784404</c:v>
                </c:pt>
                <c:pt idx="187">
                  <c:v>-6.4572699028390499</c:v>
                </c:pt>
                <c:pt idx="188">
                  <c:v>-8.7877557069975794</c:v>
                </c:pt>
                <c:pt idx="189">
                  <c:v>-10.522621243530221</c:v>
                </c:pt>
                <c:pt idx="190">
                  <c:v>-11.544280053548329</c:v>
                </c:pt>
                <c:pt idx="191">
                  <c:v>-11.783485708938152</c:v>
                </c:pt>
                <c:pt idx="192">
                  <c:v>-11.224025226404406</c:v>
                </c:pt>
                <c:pt idx="193">
                  <c:v>-9.9038179579913361</c:v>
                </c:pt>
                <c:pt idx="194">
                  <c:v>-7.9123454770098345</c:v>
                </c:pt>
                <c:pt idx="195">
                  <c:v>-5.3845866576618002</c:v>
                </c:pt>
                <c:pt idx="196">
                  <c:v>-2.4918690191311925</c:v>
                </c:pt>
                <c:pt idx="197">
                  <c:v>0.56974358434270711</c:v>
                </c:pt>
                <c:pt idx="198">
                  <c:v>3.5927398632966376</c:v>
                </c:pt>
                <c:pt idx="199">
                  <c:v>6.3722258820388857</c:v>
                </c:pt>
                <c:pt idx="200">
                  <c:v>8.7198124475213739</c:v>
                </c:pt>
                <c:pt idx="201">
                  <c:v>10.476383832699723</c:v>
                </c:pt>
                <c:pt idx="202">
                  <c:v>11.522882390385195</c:v>
                </c:pt>
                <c:pt idx="203">
                  <c:v>11.788378093414831</c:v>
                </c:pt>
                <c:pt idx="204">
                  <c:v>11.254876060391791</c:v>
                </c:pt>
                <c:pt idx="205">
                  <c:v>9.9585362204587646</c:v>
                </c:pt>
                <c:pt idx="206">
                  <c:v>7.9872224501433688</c:v>
                </c:pt>
                <c:pt idx="207">
                  <c:v>5.4745472979277805</c:v>
                </c:pt>
                <c:pt idx="208">
                  <c:v>2.5908159357488434</c:v>
                </c:pt>
                <c:pt idx="209">
                  <c:v>-0.46851685783911956</c:v>
                </c:pt>
                <c:pt idx="210">
                  <c:v>-3.4960943153026838</c:v>
                </c:pt>
                <c:pt idx="211">
                  <c:v>-6.2867119958726114</c:v>
                </c:pt>
                <c:pt idx="212">
                  <c:v>-8.6512262199608898</c:v>
                </c:pt>
                <c:pt idx="213">
                  <c:v>-10.42937393043265</c:v>
                </c:pt>
                <c:pt idx="214">
                  <c:v>-11.500635070688528</c:v>
                </c:pt>
                <c:pt idx="215">
                  <c:v>-11.792401244645225</c:v>
                </c:pt>
                <c:pt idx="216">
                  <c:v>-11.284896999683191</c:v>
                </c:pt>
                <c:pt idx="217">
                  <c:v>-10.01252017573829</c:v>
                </c:pt>
                <c:pt idx="218">
                  <c:v>-8.0615104737840895</c:v>
                </c:pt>
                <c:pt idx="219">
                  <c:v>-5.5641042644667289</c:v>
                </c:pt>
                <c:pt idx="220">
                  <c:v>-2.6895718147758725</c:v>
                </c:pt>
                <c:pt idx="221">
                  <c:v>0.36725558456174939</c:v>
                </c:pt>
                <c:pt idx="222">
                  <c:v>3.3991909776970508</c:v>
                </c:pt>
                <c:pt idx="223">
                  <c:v>6.2007345498312318</c:v>
                </c:pt>
                <c:pt idx="224">
                  <c:v>8.5820020816213862</c:v>
                </c:pt>
                <c:pt idx="225">
                  <c:v>10.381595003072723</c:v>
                </c:pt>
                <c:pt idx="226">
                  <c:v>11.477539734896881</c:v>
                </c:pt>
                <c:pt idx="227">
                  <c:v>11.795554865976403</c:v>
                </c:pt>
                <c:pt idx="228">
                  <c:v>11.314085830640778</c:v>
                </c:pt>
                <c:pt idx="229">
                  <c:v>10.065765843244389</c:v>
                </c:pt>
                <c:pt idx="230">
                  <c:v>8.1352040701963251</c:v>
                </c:pt>
                <c:pt idx="231">
                  <c:v>5.6532509536652178</c:v>
                </c:pt>
                <c:pt idx="232">
                  <c:v>2.7881293743038795</c:v>
                </c:pt>
                <c:pt idx="233">
                  <c:v>-0.26596723115855686</c:v>
                </c:pt>
                <c:pt idx="234">
                  <c:v>-3.302036995788622</c:v>
                </c:pt>
                <c:pt idx="235">
                  <c:v>-6.114299883587087</c:v>
                </c:pt>
                <c:pt idx="236">
                  <c:v>-8.5121451368458665</c:v>
                </c:pt>
                <c:pt idx="237">
                  <c:v>-10.333050573668697</c:v>
                </c:pt>
                <c:pt idx="238">
                  <c:v>-11.453598085978495</c:v>
                </c:pt>
                <c:pt idx="239">
                  <c:v>-11.7978387248715</c:v>
                </c:pt>
                <c:pt idx="240">
                  <c:v>-11.342440400983616</c:v>
                </c:pt>
                <c:pt idx="241">
                  <c:v>-10.118269296830004</c:v>
                </c:pt>
                <c:pt idx="242">
                  <c:v>-8.2082978054751141</c:v>
                </c:pt>
                <c:pt idx="243">
                  <c:v>-5.7419807921621402</c:v>
                </c:pt>
                <c:pt idx="244">
                  <c:v>-2.8864813470471886</c:v>
                </c:pt>
                <c:pt idx="245">
                  <c:v>0.16465926627362429</c:v>
                </c:pt>
                <c:pt idx="246">
                  <c:v>3.2046395333678257</c:v>
                </c:pt>
                <c:pt idx="247">
                  <c:v>6.0274143705263157</c:v>
                </c:pt>
                <c:pt idx="248">
                  <c:v>8.4416605366378299</c:v>
                </c:pt>
                <c:pt idx="249">
                  <c:v>10.283744221714969</c:v>
                </c:pt>
                <c:pt idx="250">
                  <c:v>11.428811889305818</c:v>
                </c:pt>
                <c:pt idx="251">
                  <c:v>11.799252652926851</c:v>
                </c:pt>
                <c:pt idx="252">
                  <c:v>11.369958619946093</c:v>
                </c:pt>
                <c:pt idx="253">
                  <c:v>10.170026665076481</c:v>
                </c:pt>
                <c:pt idx="254">
                  <c:v>8.2807862899475566</c:v>
                </c:pt>
                <c:pt idx="255">
                  <c:v>5.8302872373334154</c:v>
                </c:pt>
                <c:pt idx="256">
                  <c:v>2.9846204808800172</c:v>
                </c:pt>
                <c:pt idx="257">
                  <c:v>-6.3339159997618175E-2</c:v>
                </c:pt>
                <c:pt idx="258">
                  <c:v>-3.1070057721788009</c:v>
                </c:pt>
                <c:pt idx="259">
                  <c:v>-5.9400844172789036</c:v>
                </c:pt>
                <c:pt idx="260">
                  <c:v>-8.3705534782820408</c:v>
                </c:pt>
                <c:pt idx="261">
                  <c:v>-10.233679582887291</c:v>
                </c:pt>
                <c:pt idx="262">
                  <c:v>-11.403182972525141</c:v>
                </c:pt>
                <c:pt idx="263">
                  <c:v>-11.799796545884412</c:v>
                </c:pt>
                <c:pt idx="264">
                  <c:v>-11.396638458432239</c:v>
                </c:pt>
                <c:pt idx="265">
                  <c:v>-10.22103413157885</c:v>
                </c:pt>
                <c:pt idx="266">
                  <c:v>-8.3526641785693201</c:v>
                </c:pt>
                <c:pt idx="267">
                  <c:v>-5.9181637777747733</c:v>
                </c:pt>
                <c:pt idx="268">
                  <c:v>-3.0825395393700008</c:v>
                </c:pt>
                <c:pt idx="269">
                  <c:v>-3.7985616683447979E-2</c:v>
                </c:pt>
                <c:pt idx="270">
                  <c:v>3.0091429113890382</c:v>
                </c:pt>
                <c:pt idx="271">
                  <c:v>5.8523164632462796</c:v>
                </c:pt>
                <c:pt idx="272">
                  <c:v>8.2988292049612369</c:v>
                </c:pt>
                <c:pt idx="273">
                  <c:v>10.182860348774637</c:v>
                </c:pt>
                <c:pt idx="274">
                  <c:v>11.376713225421984</c:v>
                </c:pt>
                <c:pt idx="275">
                  <c:v>11.799470363639438</c:v>
                </c:pt>
                <c:pt idx="276">
                  <c:v>11.422477949165176</c:v>
                </c:pt>
                <c:pt idx="277">
                  <c:v>10.271287935227031</c:v>
                </c:pt>
                <c:pt idx="278">
                  <c:v>8.4239261713196694</c:v>
                </c:pt>
                <c:pt idx="279">
                  <c:v>6.0056039337811633</c:v>
                </c:pt>
                <c:pt idx="280">
                  <c:v>3.1802313023126749</c:v>
                </c:pt>
                <c:pt idx="281">
                  <c:v>0.13930759243985225</c:v>
                </c:pt>
                <c:pt idx="282">
                  <c:v>-2.9110581670593443</c:v>
                </c:pt>
                <c:pt idx="283">
                  <c:v>-5.7641169801265031</c:v>
                </c:pt>
                <c:pt idx="284">
                  <c:v>-8.22649300536923</c:v>
                </c:pt>
                <c:pt idx="285">
                  <c:v>-10.131290266607623</c:v>
                </c:pt>
                <c:pt idx="286">
                  <c:v>-11.349404599781924</c:v>
                </c:pt>
                <c:pt idx="287">
                  <c:v>-11.798274130243456</c:v>
                </c:pt>
                <c:pt idx="288">
                  <c:v>-11.447475186832486</c:v>
                </c:pt>
                <c:pt idx="289">
                  <c:v>-10.32078437048383</c:v>
                </c:pt>
                <c:pt idx="290">
                  <c:v>-8.494567013591606</c:v>
                </c:pt>
                <c:pt idx="291">
                  <c:v>-6.0926012578254083</c:v>
                </c:pt>
                <c:pt idx="292">
                  <c:v>-3.2776885662634641</c:v>
                </c:pt>
                <c:pt idx="293">
                  <c:v>-0.2406192961478161</c:v>
                </c:pt>
                <c:pt idx="294">
                  <c:v>2.812758771611187</c:v>
                </c:pt>
                <c:pt idx="295">
                  <c:v>5.6754924714370558</c:v>
                </c:pt>
                <c:pt idx="296">
                  <c:v>8.1535502133210418</c:v>
                </c:pt>
                <c:pt idx="297">
                  <c:v>10.078973138981105</c:v>
                </c:pt>
                <c:pt idx="298">
                  <c:v>11.321259109246064</c:v>
                </c:pt>
                <c:pt idx="299">
                  <c:v>11.79620793390248</c:v>
                </c:pt>
                <c:pt idx="300">
                  <c:v>11.471628328226361</c:v>
                </c:pt>
                <c:pt idx="301">
                  <c:v>10.369519787657184</c:v>
                </c:pt>
                <c:pt idx="302">
                  <c:v>8.564581496579633</c:v>
                </c:pt>
                <c:pt idx="303">
                  <c:v>6.1791493350324025</c:v>
                </c:pt>
                <c:pt idx="304">
                  <c:v>3.3749041450689168</c:v>
                </c:pt>
                <c:pt idx="305">
                  <c:v>0.3419132574411532</c:v>
                </c:pt>
                <c:pt idx="306">
                  <c:v>-2.7142519732941373</c:v>
                </c:pt>
                <c:pt idx="307">
                  <c:v>-5.5864494720353024</c:v>
                </c:pt>
                <c:pt idx="308">
                  <c:v>-8.080006207360281</c:v>
                </c:pt>
                <c:pt idx="309">
                  <c:v>-10.025912823575027</c:v>
                </c:pt>
                <c:pt idx="310">
                  <c:v>-11.292278829163228</c:v>
                </c:pt>
                <c:pt idx="311">
                  <c:v>-11.793271926970501</c:v>
                </c:pt>
                <c:pt idx="312">
                  <c:v>-11.494935592379706</c:v>
                </c:pt>
                <c:pt idx="313">
                  <c:v>-10.417490593170211</c:v>
                </c:pt>
                <c:pt idx="314">
                  <c:v>-8.6339644576637635</c:v>
                </c:pt>
                <c:pt idx="315">
                  <c:v>-6.2652417836542051</c:v>
                </c:pt>
                <c:pt idx="316">
                  <c:v>-3.4718708703965881</c:v>
                </c:pt>
                <c:pt idx="317">
                  <c:v>-0.44318200726193985</c:v>
                </c:pt>
                <c:pt idx="318">
                  <c:v>2.6155450356504297</c:v>
                </c:pt>
                <c:pt idx="319">
                  <c:v>5.4969945476366293</c:v>
                </c:pt>
                <c:pt idx="320">
                  <c:v>8.0058664103608468</c:v>
                </c:pt>
                <c:pt idx="321">
                  <c:v>9.9721132328690221</c:v>
                </c:pt>
                <c:pt idx="322">
                  <c:v>11.262465896436714</c:v>
                </c:pt>
                <c:pt idx="323">
                  <c:v>11.789466325938283</c:v>
                </c:pt>
                <c:pt idx="324">
                  <c:v>11.517395260697452</c:v>
                </c:pt>
                <c:pt idx="325">
                  <c:v>10.464693249825309</c:v>
                </c:pt>
                <c:pt idx="326">
                  <c:v>8.7027107807903157</c:v>
                </c:pt>
                <c:pt idx="327">
                  <c:v>6.3508722555383041</c:v>
                </c:pt>
                <c:pt idx="328">
                  <c:v>3.5685815922637691</c:v>
                </c:pt>
                <c:pt idx="329">
                  <c:v>0.54441807841125722</c:v>
                </c:pt>
                <c:pt idx="330">
                  <c:v>-2.5166452369803558</c:v>
                </c:pt>
                <c:pt idx="331">
                  <c:v>-5.4071342943303131</c:v>
                </c:pt>
                <c:pt idx="332">
                  <c:v>-7.9311362891290118</c:v>
                </c:pt>
                <c:pt idx="333">
                  <c:v>-9.9175783338543511</c:v>
                </c:pt>
                <c:pt idx="334">
                  <c:v>-11.231822509366538</c:v>
                </c:pt>
                <c:pt idx="335">
                  <c:v>-11.784791411417379</c:v>
                </c:pt>
                <c:pt idx="336">
                  <c:v>-11.539005677083134</c:v>
                </c:pt>
                <c:pt idx="337">
                  <c:v>-10.511124277066161</c:v>
                </c:pt>
                <c:pt idx="338">
                  <c:v>-8.7708153968486897</c:v>
                </c:pt>
                <c:pt idx="339">
                  <c:v>-6.4360344365971454</c:v>
                </c:pt>
                <c:pt idx="340">
                  <c:v>-3.6650291795640562</c:v>
                </c:pt>
                <c:pt idx="341">
                  <c:v>-0.64561400609996344</c:v>
                </c:pt>
                <c:pt idx="342">
                  <c:v>2.4175598698041116</c:v>
                </c:pt>
                <c:pt idx="343">
                  <c:v>5.3168753380929985</c:v>
                </c:pt>
                <c:pt idx="344">
                  <c:v>7.8558213539992225</c:v>
                </c:pt>
                <c:pt idx="345">
                  <c:v>9.8623121477413029</c:v>
                </c:pt>
                <c:pt idx="346">
                  <c:v>11.200350927487523</c:v>
                </c:pt>
                <c:pt idx="347">
                  <c:v>11.779247528119395</c:v>
                </c:pt>
                <c:pt idx="348">
                  <c:v>11.559765248061231</c:v>
                </c:pt>
                <c:pt idx="349">
                  <c:v>10.556780251233118</c:v>
                </c:pt>
                <c:pt idx="350">
                  <c:v>8.8382732840458438</c:v>
                </c:pt>
                <c:pt idx="351">
                  <c:v>6.5207220472728622</c:v>
                </c:pt>
                <c:pt idx="352">
                  <c:v>3.761206520593821</c:v>
                </c:pt>
                <c:pt idx="353">
                  <c:v>0.74676232849845048</c:v>
                </c:pt>
                <c:pt idx="354">
                  <c:v>-2.3182962403258767</c:v>
                </c:pt>
                <c:pt idx="355">
                  <c:v>-5.2262243343007215</c:v>
                </c:pt>
                <c:pt idx="356">
                  <c:v>-7.7799271584279026</c:v>
                </c:pt>
                <c:pt idx="357">
                  <c:v>-9.8063187496628785</c:v>
                </c:pt>
                <c:pt idx="358">
                  <c:v>-11.168053471402592</c:v>
                </c:pt>
                <c:pt idx="359">
                  <c:v>-11.772835084830664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F-4B0E-8CE6-153330E74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27296"/>
        <c:axId val="185128832"/>
      </c:lineChart>
      <c:catAx>
        <c:axId val="18512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128832"/>
        <c:crosses val="autoZero"/>
        <c:auto val="1"/>
        <c:lblAlgn val="ctr"/>
        <c:lblOffset val="100"/>
        <c:tickLblSkip val="11"/>
        <c:tickMarkSkip val="1"/>
        <c:noMultiLvlLbl val="0"/>
      </c:catAx>
      <c:valAx>
        <c:axId val="185128832"/>
        <c:scaling>
          <c:orientation val="minMax"/>
          <c:max val="160"/>
          <c:min val="-1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5127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256051868299844"/>
          <c:y val="0.52292291045858064"/>
          <c:w val="8.2220072431849089E-2"/>
          <c:h val="2.72206446540083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'Hitung f'!$O$3</c:f>
              <c:strCache>
                <c:ptCount val="1"/>
                <c:pt idx="0">
                  <c:v>M2</c:v>
                </c:pt>
              </c:strCache>
            </c:strRef>
          </c:tx>
          <c:spPr>
            <a:ln w="28575">
              <a:noFill/>
            </a:ln>
          </c:spPr>
          <c:xVal>
            <c:numRef>
              <c:f>'Hitung f'!$N$4:$N$29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'Hitung f'!$O$4:$O$29</c:f>
              <c:numCache>
                <c:formatCode>General</c:formatCode>
                <c:ptCount val="26"/>
                <c:pt idx="0">
                  <c:v>1.022</c:v>
                </c:pt>
                <c:pt idx="1">
                  <c:v>1.0110000000000001</c:v>
                </c:pt>
                <c:pt idx="2">
                  <c:v>0.99800000000000011</c:v>
                </c:pt>
                <c:pt idx="3">
                  <c:v>0.9860000000000001</c:v>
                </c:pt>
                <c:pt idx="4">
                  <c:v>0.97600000000000009</c:v>
                </c:pt>
                <c:pt idx="5">
                  <c:v>0.96800000000000008</c:v>
                </c:pt>
                <c:pt idx="6">
                  <c:v>0.96499999999999997</c:v>
                </c:pt>
                <c:pt idx="7">
                  <c:v>0.96499999999999997</c:v>
                </c:pt>
                <c:pt idx="8">
                  <c:v>0.97</c:v>
                </c:pt>
                <c:pt idx="9">
                  <c:v>0.97800000000000009</c:v>
                </c:pt>
                <c:pt idx="10">
                  <c:v>0.9880000000000001</c:v>
                </c:pt>
                <c:pt idx="11">
                  <c:v>1.0010000000000001</c:v>
                </c:pt>
                <c:pt idx="12">
                  <c:v>1.0130000000000001</c:v>
                </c:pt>
                <c:pt idx="13">
                  <c:v>1.024</c:v>
                </c:pt>
                <c:pt idx="14">
                  <c:v>1.0330000000000001</c:v>
                </c:pt>
                <c:pt idx="15">
                  <c:v>1.038</c:v>
                </c:pt>
                <c:pt idx="16">
                  <c:v>1.0390000000000001</c:v>
                </c:pt>
                <c:pt idx="17">
                  <c:v>1.0349999999999999</c:v>
                </c:pt>
                <c:pt idx="18">
                  <c:v>1.028</c:v>
                </c:pt>
                <c:pt idx="19">
                  <c:v>1.018</c:v>
                </c:pt>
                <c:pt idx="20">
                  <c:v>1.006</c:v>
                </c:pt>
                <c:pt idx="21">
                  <c:v>0.99529999999999996</c:v>
                </c:pt>
                <c:pt idx="22">
                  <c:v>0.98499999999999999</c:v>
                </c:pt>
                <c:pt idx="23">
                  <c:v>0.97499999999999998</c:v>
                </c:pt>
                <c:pt idx="24">
                  <c:v>0.96699999999999997</c:v>
                </c:pt>
                <c:pt idx="25">
                  <c:v>0.96399999999999997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2-4A89-9D92-D5BD9272972B}"/>
            </c:ext>
          </c:extLst>
        </c:ser>
        <c:ser>
          <c:idx val="1"/>
          <c:order val="1"/>
          <c:tx>
            <c:strRef>
              <c:f>'Hitung f'!$P$3</c:f>
              <c:strCache>
                <c:ptCount val="1"/>
                <c:pt idx="0">
                  <c:v>K1</c:v>
                </c:pt>
              </c:strCache>
            </c:strRef>
          </c:tx>
          <c:spPr>
            <a:ln w="28575">
              <a:noFill/>
            </a:ln>
          </c:spPr>
          <c:xVal>
            <c:numRef>
              <c:f>'Hitung f'!$N$4:$N$29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'Hitung f'!$P$4:$P$29</c:f>
              <c:numCache>
                <c:formatCode>General</c:formatCode>
                <c:ptCount val="26"/>
                <c:pt idx="0">
                  <c:v>0.92200000000000004</c:v>
                </c:pt>
                <c:pt idx="1">
                  <c:v>0.95799999999999996</c:v>
                </c:pt>
                <c:pt idx="2">
                  <c:v>0.997</c:v>
                </c:pt>
                <c:pt idx="3">
                  <c:v>1.0349999999999999</c:v>
                </c:pt>
                <c:pt idx="4">
                  <c:v>1.0680000000000001</c:v>
                </c:pt>
                <c:pt idx="5">
                  <c:v>1.0940000000000001</c:v>
                </c:pt>
                <c:pt idx="6">
                  <c:v>1.1110000000000002</c:v>
                </c:pt>
                <c:pt idx="7">
                  <c:v>1.1180000000000001</c:v>
                </c:pt>
                <c:pt idx="8">
                  <c:v>1.115</c:v>
                </c:pt>
                <c:pt idx="9">
                  <c:v>1.1020000000000001</c:v>
                </c:pt>
                <c:pt idx="10">
                  <c:v>1.0810000000000002</c:v>
                </c:pt>
                <c:pt idx="11">
                  <c:v>1.052</c:v>
                </c:pt>
                <c:pt idx="12">
                  <c:v>1.016</c:v>
                </c:pt>
                <c:pt idx="13">
                  <c:v>0.97600000000000009</c:v>
                </c:pt>
                <c:pt idx="14">
                  <c:v>0.93800000000000017</c:v>
                </c:pt>
                <c:pt idx="15">
                  <c:v>0.90700000000000014</c:v>
                </c:pt>
                <c:pt idx="16">
                  <c:v>0.88900000000000012</c:v>
                </c:pt>
                <c:pt idx="17">
                  <c:v>0.88900000000000012</c:v>
                </c:pt>
                <c:pt idx="18">
                  <c:v>0.90500000000000003</c:v>
                </c:pt>
                <c:pt idx="19">
                  <c:v>0.93500000000000005</c:v>
                </c:pt>
                <c:pt idx="20">
                  <c:v>0.97300000000000009</c:v>
                </c:pt>
                <c:pt idx="21">
                  <c:v>1.03</c:v>
                </c:pt>
                <c:pt idx="22">
                  <c:v>1.0629999999999999</c:v>
                </c:pt>
                <c:pt idx="23">
                  <c:v>1.089</c:v>
                </c:pt>
                <c:pt idx="24">
                  <c:v>1.1060000000000001</c:v>
                </c:pt>
                <c:pt idx="25">
                  <c:v>1.113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2-4A89-9D92-D5BD9272972B}"/>
            </c:ext>
          </c:extLst>
        </c:ser>
        <c:ser>
          <c:idx val="2"/>
          <c:order val="2"/>
          <c:tx>
            <c:strRef>
              <c:f>'Hitung f'!$Q$3</c:f>
              <c:strCache>
                <c:ptCount val="1"/>
                <c:pt idx="0">
                  <c:v>O1</c:v>
                </c:pt>
              </c:strCache>
            </c:strRef>
          </c:tx>
          <c:spPr>
            <a:ln w="28575">
              <a:noFill/>
            </a:ln>
          </c:spPr>
          <c:xVal>
            <c:numRef>
              <c:f>'Hitung f'!$N$4:$N$29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'Hitung f'!$Q$4:$Q$29</c:f>
              <c:numCache>
                <c:formatCode>General</c:formatCode>
                <c:ptCount val="26"/>
                <c:pt idx="0">
                  <c:v>0.94399999999999995</c:v>
                </c:pt>
                <c:pt idx="1">
                  <c:v>1.008</c:v>
                </c:pt>
                <c:pt idx="2">
                  <c:v>1.0670000000000002</c:v>
                </c:pt>
                <c:pt idx="3">
                  <c:v>1.1160000000000001</c:v>
                </c:pt>
                <c:pt idx="4">
                  <c:v>1.1520000000000001</c:v>
                </c:pt>
                <c:pt idx="5">
                  <c:v>1.1740000000000002</c:v>
                </c:pt>
                <c:pt idx="6">
                  <c:v>1.18</c:v>
                </c:pt>
                <c:pt idx="7">
                  <c:v>1.169</c:v>
                </c:pt>
                <c:pt idx="8">
                  <c:v>1.143</c:v>
                </c:pt>
                <c:pt idx="9">
                  <c:v>1.1030000000000002</c:v>
                </c:pt>
                <c:pt idx="10">
                  <c:v>1.0510000000000002</c:v>
                </c:pt>
                <c:pt idx="11">
                  <c:v>0.9890000000000001</c:v>
                </c:pt>
                <c:pt idx="12">
                  <c:v>0.92400000000000015</c:v>
                </c:pt>
                <c:pt idx="13">
                  <c:v>0.8660000000000001</c:v>
                </c:pt>
                <c:pt idx="14">
                  <c:v>0.82300000000000006</c:v>
                </c:pt>
                <c:pt idx="15">
                  <c:v>0.80400000000000016</c:v>
                </c:pt>
                <c:pt idx="16">
                  <c:v>0.81400000000000006</c:v>
                </c:pt>
                <c:pt idx="17">
                  <c:v>0.85100000000000009</c:v>
                </c:pt>
                <c:pt idx="18">
                  <c:v>0.90300000000000002</c:v>
                </c:pt>
                <c:pt idx="19">
                  <c:v>0.96699999999999997</c:v>
                </c:pt>
                <c:pt idx="20">
                  <c:v>1.04</c:v>
                </c:pt>
                <c:pt idx="21">
                  <c:v>1.0609999999999999</c:v>
                </c:pt>
                <c:pt idx="22">
                  <c:v>1.1120000000000001</c:v>
                </c:pt>
                <c:pt idx="23">
                  <c:v>1.151</c:v>
                </c:pt>
                <c:pt idx="24">
                  <c:v>1.175</c:v>
                </c:pt>
                <c:pt idx="25">
                  <c:v>1.1830000000000001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82-4A89-9D92-D5BD9272972B}"/>
            </c:ext>
          </c:extLst>
        </c:ser>
        <c:ser>
          <c:idx val="3"/>
          <c:order val="3"/>
          <c:tx>
            <c:strRef>
              <c:f>'Hitung f'!$R$3</c:f>
              <c:strCache>
                <c:ptCount val="1"/>
                <c:pt idx="0">
                  <c:v>K2</c:v>
                </c:pt>
              </c:strCache>
            </c:strRef>
          </c:tx>
          <c:spPr>
            <a:ln w="28575">
              <a:noFill/>
            </a:ln>
          </c:spPr>
          <c:xVal>
            <c:numRef>
              <c:f>'Hitung f'!$N$4:$N$29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'Hitung f'!$R$4:$R$29</c:f>
              <c:numCache>
                <c:formatCode>General</c:formatCode>
                <c:ptCount val="26"/>
                <c:pt idx="0">
                  <c:v>0.85599999999999998</c:v>
                </c:pt>
                <c:pt idx="1">
                  <c:v>0.94099999999999995</c:v>
                </c:pt>
                <c:pt idx="2">
                  <c:v>1.0369999999999999</c:v>
                </c:pt>
                <c:pt idx="3">
                  <c:v>1.133</c:v>
                </c:pt>
                <c:pt idx="4">
                  <c:v>1.218</c:v>
                </c:pt>
                <c:pt idx="5">
                  <c:v>1.2789999999999999</c:v>
                </c:pt>
                <c:pt idx="6">
                  <c:v>1.31</c:v>
                </c:pt>
                <c:pt idx="7">
                  <c:v>1.3069999999999999</c:v>
                </c:pt>
                <c:pt idx="8">
                  <c:v>1.2689999999999999</c:v>
                </c:pt>
                <c:pt idx="9">
                  <c:v>1.2030000000000001</c:v>
                </c:pt>
                <c:pt idx="10">
                  <c:v>1.115</c:v>
                </c:pt>
                <c:pt idx="11">
                  <c:v>1.0169999999999999</c:v>
                </c:pt>
                <c:pt idx="12">
                  <c:v>0.92200000000000004</c:v>
                </c:pt>
                <c:pt idx="13">
                  <c:v>0.84199999999999997</c:v>
                </c:pt>
                <c:pt idx="14">
                  <c:v>0.78400000000000003</c:v>
                </c:pt>
                <c:pt idx="15">
                  <c:v>0.751</c:v>
                </c:pt>
                <c:pt idx="16">
                  <c:v>0.745</c:v>
                </c:pt>
                <c:pt idx="17">
                  <c:v>0.76700000000000002</c:v>
                </c:pt>
                <c:pt idx="18">
                  <c:v>0.81499999999999995</c:v>
                </c:pt>
                <c:pt idx="19">
                  <c:v>0.88700000000000001</c:v>
                </c:pt>
                <c:pt idx="20">
                  <c:v>0.97699999999999998</c:v>
                </c:pt>
                <c:pt idx="21">
                  <c:v>1.079</c:v>
                </c:pt>
                <c:pt idx="22">
                  <c:v>1.1719999999999999</c:v>
                </c:pt>
                <c:pt idx="23">
                  <c:v>1.2330000000000001</c:v>
                </c:pt>
                <c:pt idx="24">
                  <c:v>1.29</c:v>
                </c:pt>
                <c:pt idx="25">
                  <c:v>1.3149999999999999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82-4A89-9D92-D5BD92729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053568"/>
        <c:axId val="227055104"/>
      </c:scatterChart>
      <c:valAx>
        <c:axId val="22705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7055104"/>
        <c:crosses val="autoZero"/>
        <c:crossBetween val="midCat"/>
      </c:valAx>
      <c:valAx>
        <c:axId val="22705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053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M2</a:t>
            </a:r>
          </a:p>
        </c:rich>
      </c:tx>
      <c:layout>
        <c:manualLayout>
          <c:xMode val="edge"/>
          <c:yMode val="edge"/>
          <c:x val="0.49068062907644955"/>
          <c:y val="3.2159175170368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7064332456466781E-2"/>
          <c:y val="0.16079668536297026"/>
          <c:w val="0.94361656657767545"/>
          <c:h val="0.72741357664200823"/>
        </c:manualLayout>
      </c:layout>
      <c:lineChart>
        <c:grouping val="stacked"/>
        <c:varyColors val="0"/>
        <c:ser>
          <c:idx val="0"/>
          <c:order val="0"/>
          <c:tx>
            <c:strRef>
              <c:f>'Tabel 39 (f)'!$C$3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'Tabel 39 (f)'!$B$4:$B$111</c:f>
              <c:numCache>
                <c:formatCode>General</c:formatCode>
                <c:ptCount val="108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</c:numCache>
            </c:numRef>
          </c:cat>
          <c:val>
            <c:numRef>
              <c:f>'Tabel 39 (f)'!$C$4:$C$111</c:f>
              <c:numCache>
                <c:formatCode>0.000</c:formatCode>
                <c:ptCount val="108"/>
                <c:pt idx="0">
                  <c:v>1.0069999999999999</c:v>
                </c:pt>
                <c:pt idx="1">
                  <c:v>1.0189999999999999</c:v>
                </c:pt>
                <c:pt idx="2">
                  <c:v>1.0289999999999999</c:v>
                </c:pt>
                <c:pt idx="3">
                  <c:v>1.0349999999999999</c:v>
                </c:pt>
                <c:pt idx="4">
                  <c:v>1.038</c:v>
                </c:pt>
                <c:pt idx="5">
                  <c:v>1.036</c:v>
                </c:pt>
                <c:pt idx="6">
                  <c:v>1.03</c:v>
                </c:pt>
                <c:pt idx="7">
                  <c:v>1.0209999999999999</c:v>
                </c:pt>
                <c:pt idx="8">
                  <c:v>1.01</c:v>
                </c:pt>
                <c:pt idx="9">
                  <c:v>0.997</c:v>
                </c:pt>
                <c:pt idx="10">
                  <c:v>0.98499999999999999</c:v>
                </c:pt>
                <c:pt idx="11">
                  <c:v>0.97499999999999998</c:v>
                </c:pt>
                <c:pt idx="12">
                  <c:v>0.96699999999999997</c:v>
                </c:pt>
                <c:pt idx="13">
                  <c:v>0.96399999999999997</c:v>
                </c:pt>
                <c:pt idx="14">
                  <c:v>0.96399999999999997</c:v>
                </c:pt>
                <c:pt idx="15">
                  <c:v>0.96899999999999997</c:v>
                </c:pt>
                <c:pt idx="16">
                  <c:v>0.97699999999999998</c:v>
                </c:pt>
                <c:pt idx="17">
                  <c:v>0.98699999999999999</c:v>
                </c:pt>
                <c:pt idx="18">
                  <c:v>1</c:v>
                </c:pt>
                <c:pt idx="19">
                  <c:v>1.012</c:v>
                </c:pt>
                <c:pt idx="20">
                  <c:v>1.0229999999999999</c:v>
                </c:pt>
                <c:pt idx="21">
                  <c:v>1.032</c:v>
                </c:pt>
                <c:pt idx="22">
                  <c:v>1.0369999999999999</c:v>
                </c:pt>
                <c:pt idx="23">
                  <c:v>1.038</c:v>
                </c:pt>
                <c:pt idx="24">
                  <c:v>1.034</c:v>
                </c:pt>
                <c:pt idx="25">
                  <c:v>1.0269999999999999</c:v>
                </c:pt>
                <c:pt idx="26">
                  <c:v>1.0169999999999999</c:v>
                </c:pt>
                <c:pt idx="27">
                  <c:v>1.0049999999999999</c:v>
                </c:pt>
                <c:pt idx="28">
                  <c:v>0.99199999999999999</c:v>
                </c:pt>
                <c:pt idx="29">
                  <c:v>0.98099999999999998</c:v>
                </c:pt>
                <c:pt idx="30">
                  <c:v>0.97199999999999998</c:v>
                </c:pt>
                <c:pt idx="31">
                  <c:v>0.96499999999999997</c:v>
                </c:pt>
                <c:pt idx="32">
                  <c:v>0.96299999999999997</c:v>
                </c:pt>
                <c:pt idx="33">
                  <c:v>0.96499999999999997</c:v>
                </c:pt>
                <c:pt idx="34">
                  <c:v>0.97099999999999997</c:v>
                </c:pt>
                <c:pt idx="35">
                  <c:v>0.98099999999999998</c:v>
                </c:pt>
                <c:pt idx="36">
                  <c:v>0.99199999999999999</c:v>
                </c:pt>
                <c:pt idx="37">
                  <c:v>1.004</c:v>
                </c:pt>
                <c:pt idx="38">
                  <c:v>1.0169999999999999</c:v>
                </c:pt>
                <c:pt idx="39">
                  <c:v>1.0269999999999999</c:v>
                </c:pt>
                <c:pt idx="40">
                  <c:v>1.034</c:v>
                </c:pt>
                <c:pt idx="41">
                  <c:v>1.038</c:v>
                </c:pt>
                <c:pt idx="42">
                  <c:v>1.0369999999999999</c:v>
                </c:pt>
                <c:pt idx="43">
                  <c:v>1.032</c:v>
                </c:pt>
                <c:pt idx="44">
                  <c:v>1.0229999999999999</c:v>
                </c:pt>
                <c:pt idx="45">
                  <c:v>1.012</c:v>
                </c:pt>
                <c:pt idx="46">
                  <c:v>1</c:v>
                </c:pt>
                <c:pt idx="47">
                  <c:v>0.98799999999999999</c:v>
                </c:pt>
                <c:pt idx="48">
                  <c:v>0.97699999999999998</c:v>
                </c:pt>
                <c:pt idx="49">
                  <c:v>0.96899999999999997</c:v>
                </c:pt>
                <c:pt idx="50">
                  <c:v>0.96399999999999997</c:v>
                </c:pt>
                <c:pt idx="51">
                  <c:v>0.96399999999999997</c:v>
                </c:pt>
                <c:pt idx="52">
                  <c:v>0.96699999999999997</c:v>
                </c:pt>
                <c:pt idx="53">
                  <c:v>0.97499999999999998</c:v>
                </c:pt>
                <c:pt idx="54">
                  <c:v>0.98499999999999999</c:v>
                </c:pt>
                <c:pt idx="55">
                  <c:v>0.997</c:v>
                </c:pt>
                <c:pt idx="56">
                  <c:v>1.0089999999999999</c:v>
                </c:pt>
                <c:pt idx="57">
                  <c:v>1.0209999999999999</c:v>
                </c:pt>
                <c:pt idx="58">
                  <c:v>1.03</c:v>
                </c:pt>
                <c:pt idx="59">
                  <c:v>1.036</c:v>
                </c:pt>
                <c:pt idx="60">
                  <c:v>1.038</c:v>
                </c:pt>
                <c:pt idx="61">
                  <c:v>1.0349999999999999</c:v>
                </c:pt>
                <c:pt idx="62">
                  <c:v>1.0289999999999999</c:v>
                </c:pt>
                <c:pt idx="63">
                  <c:v>1.0189999999999999</c:v>
                </c:pt>
                <c:pt idx="64">
                  <c:v>1.008</c:v>
                </c:pt>
                <c:pt idx="65">
                  <c:v>0.995</c:v>
                </c:pt>
                <c:pt idx="66">
                  <c:v>0.98299999999999998</c:v>
                </c:pt>
                <c:pt idx="67">
                  <c:v>0.97299999999999998</c:v>
                </c:pt>
                <c:pt idx="68">
                  <c:v>0.96699999999999997</c:v>
                </c:pt>
                <c:pt idx="69">
                  <c:v>0.96399999999999997</c:v>
                </c:pt>
                <c:pt idx="70">
                  <c:v>0.96499999999999997</c:v>
                </c:pt>
                <c:pt idx="71">
                  <c:v>0.97</c:v>
                </c:pt>
                <c:pt idx="72">
                  <c:v>0.97799999999999998</c:v>
                </c:pt>
                <c:pt idx="73">
                  <c:v>0.98899999999999999</c:v>
                </c:pt>
                <c:pt idx="74">
                  <c:v>1.002</c:v>
                </c:pt>
                <c:pt idx="75">
                  <c:v>1.014</c:v>
                </c:pt>
                <c:pt idx="76">
                  <c:v>1.0249999999999999</c:v>
                </c:pt>
                <c:pt idx="77">
                  <c:v>1.0329999999999999</c:v>
                </c:pt>
                <c:pt idx="78">
                  <c:v>1.0369999999999999</c:v>
                </c:pt>
                <c:pt idx="79">
                  <c:v>1.0369999999999999</c:v>
                </c:pt>
                <c:pt idx="80">
                  <c:v>1.0329999999999999</c:v>
                </c:pt>
                <c:pt idx="81">
                  <c:v>1.026</c:v>
                </c:pt>
                <c:pt idx="82">
                  <c:v>1.0149999999999999</c:v>
                </c:pt>
                <c:pt idx="83">
                  <c:v>1.0029999999999999</c:v>
                </c:pt>
                <c:pt idx="84">
                  <c:v>0.99</c:v>
                </c:pt>
                <c:pt idx="85">
                  <c:v>0.97899999999999998</c:v>
                </c:pt>
                <c:pt idx="86">
                  <c:v>0.97</c:v>
                </c:pt>
                <c:pt idx="87">
                  <c:v>0.96499999999999997</c:v>
                </c:pt>
                <c:pt idx="88">
                  <c:v>0.96399999999999997</c:v>
                </c:pt>
                <c:pt idx="89">
                  <c:v>0.96599999999999997</c:v>
                </c:pt>
                <c:pt idx="90">
                  <c:v>0.97299999999999998</c:v>
                </c:pt>
                <c:pt idx="91">
                  <c:v>0.98199999999999998</c:v>
                </c:pt>
                <c:pt idx="92">
                  <c:v>0.99399999999999999</c:v>
                </c:pt>
                <c:pt idx="93">
                  <c:v>1.006</c:v>
                </c:pt>
                <c:pt idx="94">
                  <c:v>1.018</c:v>
                </c:pt>
                <c:pt idx="95">
                  <c:v>1.028</c:v>
                </c:pt>
                <c:pt idx="96">
                  <c:v>1.0349999999999999</c:v>
                </c:pt>
                <c:pt idx="97">
                  <c:v>1.038</c:v>
                </c:pt>
                <c:pt idx="98">
                  <c:v>1.0367</c:v>
                </c:pt>
                <c:pt idx="99">
                  <c:v>1.0330999999999999</c:v>
                </c:pt>
                <c:pt idx="100">
                  <c:v>1.0236000000000001</c:v>
                </c:pt>
                <c:pt idx="101">
                  <c:v>1.012</c:v>
                </c:pt>
                <c:pt idx="102">
                  <c:v>0.99959999999999993</c:v>
                </c:pt>
                <c:pt idx="103">
                  <c:v>0.98780000000000001</c:v>
                </c:pt>
                <c:pt idx="104">
                  <c:v>0.97739999999999994</c:v>
                </c:pt>
                <c:pt idx="105">
                  <c:v>0.96909999999999996</c:v>
                </c:pt>
                <c:pt idx="106">
                  <c:v>0.96449999999999991</c:v>
                </c:pt>
                <c:pt idx="107">
                  <c:v>0.96429999999999993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A9-4A45-8CD5-D91AD37DD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832384"/>
        <c:axId val="228834304"/>
      </c:lineChart>
      <c:catAx>
        <c:axId val="22883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8343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28834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832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80600748763634"/>
          <c:y val="0.50746372670951734"/>
          <c:w val="3.8461554632654396E-2"/>
          <c:h val="4.291053571440772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 1</a:t>
            </a:r>
          </a:p>
        </c:rich>
      </c:tx>
      <c:layout>
        <c:manualLayout>
          <c:xMode val="edge"/>
          <c:yMode val="edge"/>
          <c:x val="0.48676760360444554"/>
          <c:y val="3.31011302158658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69755169355868E-2"/>
          <c:y val="0.22299727446263359"/>
          <c:w val="0.95085088104095306"/>
          <c:h val="0.64111716408007158"/>
        </c:manualLayout>
      </c:layout>
      <c:lineChart>
        <c:grouping val="stacked"/>
        <c:varyColors val="0"/>
        <c:ser>
          <c:idx val="0"/>
          <c:order val="0"/>
          <c:spPr>
            <a:ln w="25400">
              <a:solidFill>
                <a:srgbClr val="3399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Ref>
              <c:f>'Tabel 39 (f)'!$B$4:$B$112</c:f>
              <c:numCache>
                <c:formatCode>General</c:formatCode>
                <c:ptCount val="109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</c:numCache>
            </c:numRef>
          </c:cat>
          <c:val>
            <c:numRef>
              <c:f>'Tabel 39 (f)'!$D$4:$D$112</c:f>
              <c:numCache>
                <c:formatCode>0.000</c:formatCode>
                <c:ptCount val="109"/>
                <c:pt idx="0">
                  <c:v>0.99299999999999999</c:v>
                </c:pt>
                <c:pt idx="1">
                  <c:v>0.95399999999999996</c:v>
                </c:pt>
                <c:pt idx="2">
                  <c:v>0.91800000000000004</c:v>
                </c:pt>
                <c:pt idx="3">
                  <c:v>0.89200000000000002</c:v>
                </c:pt>
                <c:pt idx="4">
                  <c:v>0.88200000000000001</c:v>
                </c:pt>
                <c:pt idx="5">
                  <c:v>0.88900000000000001</c:v>
                </c:pt>
                <c:pt idx="6">
                  <c:v>0.91200000000000003</c:v>
                </c:pt>
                <c:pt idx="7">
                  <c:v>0.94599999999999995</c:v>
                </c:pt>
                <c:pt idx="8">
                  <c:v>0.98599999999999999</c:v>
                </c:pt>
                <c:pt idx="9">
                  <c:v>1.024</c:v>
                </c:pt>
                <c:pt idx="10">
                  <c:v>1.0580000000000001</c:v>
                </c:pt>
                <c:pt idx="11">
                  <c:v>1.085</c:v>
                </c:pt>
                <c:pt idx="12">
                  <c:v>1.103</c:v>
                </c:pt>
                <c:pt idx="13">
                  <c:v>1.1120000000000001</c:v>
                </c:pt>
                <c:pt idx="14">
                  <c:v>1.111</c:v>
                </c:pt>
                <c:pt idx="15">
                  <c:v>1.1000000000000001</c:v>
                </c:pt>
                <c:pt idx="16">
                  <c:v>1.081</c:v>
                </c:pt>
                <c:pt idx="17">
                  <c:v>1.0529999999999999</c:v>
                </c:pt>
                <c:pt idx="18">
                  <c:v>1.0169999999999999</c:v>
                </c:pt>
                <c:pt idx="19">
                  <c:v>0.97699999999999998</c:v>
                </c:pt>
                <c:pt idx="20">
                  <c:v>0.93899999999999995</c:v>
                </c:pt>
                <c:pt idx="21">
                  <c:v>0.90700000000000003</c:v>
                </c:pt>
                <c:pt idx="22">
                  <c:v>0.88700000000000001</c:v>
                </c:pt>
                <c:pt idx="23">
                  <c:v>0.88300000000000001</c:v>
                </c:pt>
                <c:pt idx="24">
                  <c:v>0.89600000000000002</c:v>
                </c:pt>
                <c:pt idx="25">
                  <c:v>0.92400000000000004</c:v>
                </c:pt>
                <c:pt idx="26">
                  <c:v>0.96099999999999997</c:v>
                </c:pt>
                <c:pt idx="27">
                  <c:v>1.0009999999999999</c:v>
                </c:pt>
                <c:pt idx="28">
                  <c:v>1.038</c:v>
                </c:pt>
                <c:pt idx="29">
                  <c:v>1.069</c:v>
                </c:pt>
                <c:pt idx="30">
                  <c:v>1.093</c:v>
                </c:pt>
                <c:pt idx="31">
                  <c:v>1.1080000000000001</c:v>
                </c:pt>
                <c:pt idx="32">
                  <c:v>1.113</c:v>
                </c:pt>
                <c:pt idx="33">
                  <c:v>1.1080000000000001</c:v>
                </c:pt>
                <c:pt idx="34">
                  <c:v>1.093</c:v>
                </c:pt>
                <c:pt idx="35">
                  <c:v>1.07</c:v>
                </c:pt>
                <c:pt idx="36">
                  <c:v>1.0389999999999999</c:v>
                </c:pt>
                <c:pt idx="37">
                  <c:v>1.002</c:v>
                </c:pt>
                <c:pt idx="38">
                  <c:v>0.96199999999999997</c:v>
                </c:pt>
                <c:pt idx="39">
                  <c:v>0.92500000000000004</c:v>
                </c:pt>
                <c:pt idx="40">
                  <c:v>0.89700000000000002</c:v>
                </c:pt>
                <c:pt idx="41">
                  <c:v>0.88300000000000001</c:v>
                </c:pt>
                <c:pt idx="42">
                  <c:v>0.88600000000000001</c:v>
                </c:pt>
                <c:pt idx="43">
                  <c:v>0.90600000000000003</c:v>
                </c:pt>
                <c:pt idx="44">
                  <c:v>0.93799999999999994</c:v>
                </c:pt>
                <c:pt idx="45">
                  <c:v>0.97599999999999998</c:v>
                </c:pt>
                <c:pt idx="46">
                  <c:v>1.016</c:v>
                </c:pt>
                <c:pt idx="47">
                  <c:v>1.052</c:v>
                </c:pt>
                <c:pt idx="48">
                  <c:v>1.08</c:v>
                </c:pt>
                <c:pt idx="49">
                  <c:v>1.1000000000000001</c:v>
                </c:pt>
                <c:pt idx="50">
                  <c:v>1.111</c:v>
                </c:pt>
                <c:pt idx="51">
                  <c:v>1.1120000000000001</c:v>
                </c:pt>
                <c:pt idx="52">
                  <c:v>1.103</c:v>
                </c:pt>
                <c:pt idx="53">
                  <c:v>1.085</c:v>
                </c:pt>
                <c:pt idx="54">
                  <c:v>1.0589999999999999</c:v>
                </c:pt>
                <c:pt idx="55">
                  <c:v>1.0249999999999999</c:v>
                </c:pt>
                <c:pt idx="56">
                  <c:v>0.98699999999999999</c:v>
                </c:pt>
                <c:pt idx="57">
                  <c:v>0.94699999999999995</c:v>
                </c:pt>
                <c:pt idx="58">
                  <c:v>0.91300000000000003</c:v>
                </c:pt>
                <c:pt idx="59">
                  <c:v>0.89</c:v>
                </c:pt>
                <c:pt idx="60">
                  <c:v>0.88200000000000001</c:v>
                </c:pt>
                <c:pt idx="61">
                  <c:v>0.89200000000000002</c:v>
                </c:pt>
                <c:pt idx="62">
                  <c:v>0.91700000000000004</c:v>
                </c:pt>
                <c:pt idx="63">
                  <c:v>0.95299999999999996</c:v>
                </c:pt>
                <c:pt idx="64">
                  <c:v>0.99199999999999999</c:v>
                </c:pt>
                <c:pt idx="65">
                  <c:v>1.03</c:v>
                </c:pt>
                <c:pt idx="66">
                  <c:v>1.0629999999999999</c:v>
                </c:pt>
                <c:pt idx="67">
                  <c:v>1.089</c:v>
                </c:pt>
                <c:pt idx="68">
                  <c:v>1.1060000000000001</c:v>
                </c:pt>
                <c:pt idx="69">
                  <c:v>1.113</c:v>
                </c:pt>
                <c:pt idx="70">
                  <c:v>1.1100000000000001</c:v>
                </c:pt>
                <c:pt idx="71">
                  <c:v>1.097</c:v>
                </c:pt>
                <c:pt idx="72">
                  <c:v>1.0760000000000001</c:v>
                </c:pt>
                <c:pt idx="73">
                  <c:v>1.0469999999999999</c:v>
                </c:pt>
                <c:pt idx="74">
                  <c:v>1.0109999999999999</c:v>
                </c:pt>
                <c:pt idx="75">
                  <c:v>0.97099999999999997</c:v>
                </c:pt>
                <c:pt idx="76">
                  <c:v>0.93300000000000005</c:v>
                </c:pt>
                <c:pt idx="77">
                  <c:v>0.90200000000000002</c:v>
                </c:pt>
                <c:pt idx="78">
                  <c:v>0.88400000000000001</c:v>
                </c:pt>
                <c:pt idx="79">
                  <c:v>0.88400000000000001</c:v>
                </c:pt>
                <c:pt idx="80">
                  <c:v>0.9</c:v>
                </c:pt>
                <c:pt idx="81">
                  <c:v>0.93</c:v>
                </c:pt>
                <c:pt idx="82">
                  <c:v>0.96799999999999997</c:v>
                </c:pt>
                <c:pt idx="83">
                  <c:v>1.0069999999999999</c:v>
                </c:pt>
                <c:pt idx="84">
                  <c:v>1.044</c:v>
                </c:pt>
                <c:pt idx="85">
                  <c:v>1.0740000000000001</c:v>
                </c:pt>
                <c:pt idx="86">
                  <c:v>1.0960000000000001</c:v>
                </c:pt>
                <c:pt idx="87">
                  <c:v>1.109</c:v>
                </c:pt>
                <c:pt idx="88">
                  <c:v>1.113</c:v>
                </c:pt>
                <c:pt idx="89">
                  <c:v>1.1060000000000001</c:v>
                </c:pt>
                <c:pt idx="90">
                  <c:v>1.0900000000000001</c:v>
                </c:pt>
                <c:pt idx="91">
                  <c:v>1.0660000000000001</c:v>
                </c:pt>
                <c:pt idx="92">
                  <c:v>1.034</c:v>
                </c:pt>
                <c:pt idx="93">
                  <c:v>0.996</c:v>
                </c:pt>
                <c:pt idx="94">
                  <c:v>0.95599999999999996</c:v>
                </c:pt>
                <c:pt idx="95">
                  <c:v>0.92</c:v>
                </c:pt>
                <c:pt idx="96">
                  <c:v>0.89400000000000002</c:v>
                </c:pt>
                <c:pt idx="97">
                  <c:v>0.88300000000000001</c:v>
                </c:pt>
                <c:pt idx="98">
                  <c:v>0.88470000000000004</c:v>
                </c:pt>
                <c:pt idx="99">
                  <c:v>0.90510000000000002</c:v>
                </c:pt>
                <c:pt idx="100">
                  <c:v>0.93559999999999999</c:v>
                </c:pt>
                <c:pt idx="101">
                  <c:v>0.97710000000000008</c:v>
                </c:pt>
                <c:pt idx="102">
                  <c:v>1.0153000000000001</c:v>
                </c:pt>
                <c:pt idx="103">
                  <c:v>1.0492000000000001</c:v>
                </c:pt>
                <c:pt idx="104">
                  <c:v>1.0814000000000001</c:v>
                </c:pt>
                <c:pt idx="105">
                  <c:v>1.1017000000000001</c:v>
                </c:pt>
                <c:pt idx="106">
                  <c:v>1.1119000000000001</c:v>
                </c:pt>
                <c:pt idx="107">
                  <c:v>1.1120000000000001</c:v>
                </c:pt>
                <c:pt idx="108">
                  <c:v>1.103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A-4C9B-AAD6-033D886DE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846208"/>
        <c:axId val="229122816"/>
      </c:lineChart>
      <c:catAx>
        <c:axId val="22884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12281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29122816"/>
        <c:scaling>
          <c:orientation val="minMax"/>
          <c:min val="0.8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8462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766025906338519"/>
          <c:y val="0.53177979854772495"/>
          <c:w val="5.4132723995340866E-2"/>
          <c:h val="4.872882616174373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K 2</a:t>
            </a:r>
          </a:p>
        </c:rich>
      </c:tx>
      <c:layout>
        <c:manualLayout>
          <c:xMode val="edge"/>
          <c:yMode val="edge"/>
          <c:x val="0.48676760360444554"/>
          <c:y val="3.3613699050977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69755169355868E-2"/>
          <c:y val="0.21680690060965452"/>
          <c:w val="0.95085088104095306"/>
          <c:h val="0.65210137547710045"/>
        </c:manualLayout>
      </c:layout>
      <c:lineChart>
        <c:grouping val="stacke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666699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cat>
            <c:numRef>
              <c:f>'Tabel 39 (f)'!$B$4:$B$112</c:f>
              <c:numCache>
                <c:formatCode>General</c:formatCode>
                <c:ptCount val="109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</c:numCache>
            </c:numRef>
          </c:cat>
          <c:val>
            <c:numRef>
              <c:f>'Tabel 39 (f)'!$F$4:$F$112</c:f>
              <c:numCache>
                <c:formatCode>0.000</c:formatCode>
                <c:ptCount val="109"/>
                <c:pt idx="0">
                  <c:v>0.96199999999999997</c:v>
                </c:pt>
                <c:pt idx="1">
                  <c:v>0.874</c:v>
                </c:pt>
                <c:pt idx="2">
                  <c:v>0.80700000000000005</c:v>
                </c:pt>
                <c:pt idx="3">
                  <c:v>0.76400000000000001</c:v>
                </c:pt>
                <c:pt idx="4">
                  <c:v>0.748</c:v>
                </c:pt>
                <c:pt idx="5">
                  <c:v>0.75900000000000001</c:v>
                </c:pt>
                <c:pt idx="6">
                  <c:v>0.79700000000000004</c:v>
                </c:pt>
                <c:pt idx="7">
                  <c:v>0.86</c:v>
                </c:pt>
                <c:pt idx="8">
                  <c:v>0.94499999999999995</c:v>
                </c:pt>
                <c:pt idx="9">
                  <c:v>1.0409999999999999</c:v>
                </c:pt>
                <c:pt idx="10">
                  <c:v>1.137</c:v>
                </c:pt>
                <c:pt idx="11">
                  <c:v>1.222</c:v>
                </c:pt>
                <c:pt idx="12">
                  <c:v>1.2829999999999999</c:v>
                </c:pt>
                <c:pt idx="13">
                  <c:v>1.3140000000000001</c:v>
                </c:pt>
                <c:pt idx="14">
                  <c:v>1.3109999999999999</c:v>
                </c:pt>
                <c:pt idx="15">
                  <c:v>1.2729999999999999</c:v>
                </c:pt>
                <c:pt idx="16">
                  <c:v>1.2070000000000001</c:v>
                </c:pt>
                <c:pt idx="17">
                  <c:v>1.119</c:v>
                </c:pt>
                <c:pt idx="18">
                  <c:v>1.0209999999999999</c:v>
                </c:pt>
                <c:pt idx="19">
                  <c:v>0.92600000000000005</c:v>
                </c:pt>
                <c:pt idx="20">
                  <c:v>0.84599999999999997</c:v>
                </c:pt>
                <c:pt idx="21">
                  <c:v>0.78800000000000003</c:v>
                </c:pt>
                <c:pt idx="22">
                  <c:v>0.755</c:v>
                </c:pt>
                <c:pt idx="23">
                  <c:v>0.749</c:v>
                </c:pt>
                <c:pt idx="24">
                  <c:v>0.77100000000000002</c:v>
                </c:pt>
                <c:pt idx="25">
                  <c:v>0.81899999999999995</c:v>
                </c:pt>
                <c:pt idx="26">
                  <c:v>0.89100000000000001</c:v>
                </c:pt>
                <c:pt idx="27">
                  <c:v>0.98099999999999998</c:v>
                </c:pt>
                <c:pt idx="28">
                  <c:v>1.079</c:v>
                </c:pt>
                <c:pt idx="29">
                  <c:v>1.1719999999999999</c:v>
                </c:pt>
                <c:pt idx="30">
                  <c:v>1.2490000000000001</c:v>
                </c:pt>
                <c:pt idx="31">
                  <c:v>1.3</c:v>
                </c:pt>
                <c:pt idx="32">
                  <c:v>1.3169999999999999</c:v>
                </c:pt>
                <c:pt idx="33">
                  <c:v>1.3</c:v>
                </c:pt>
                <c:pt idx="34">
                  <c:v>1.2509999999999999</c:v>
                </c:pt>
                <c:pt idx="35">
                  <c:v>1.1739999999999999</c:v>
                </c:pt>
                <c:pt idx="36">
                  <c:v>1.0820000000000001</c:v>
                </c:pt>
                <c:pt idx="37">
                  <c:v>0.98399999999999999</c:v>
                </c:pt>
                <c:pt idx="38">
                  <c:v>0.89400000000000002</c:v>
                </c:pt>
                <c:pt idx="39">
                  <c:v>0.82099999999999995</c:v>
                </c:pt>
                <c:pt idx="40">
                  <c:v>0.77200000000000002</c:v>
                </c:pt>
                <c:pt idx="41">
                  <c:v>0.75</c:v>
                </c:pt>
                <c:pt idx="42">
                  <c:v>0.754</c:v>
                </c:pt>
                <c:pt idx="43">
                  <c:v>0.78600000000000003</c:v>
                </c:pt>
                <c:pt idx="44">
                  <c:v>0.84399999999999997</c:v>
                </c:pt>
                <c:pt idx="45">
                  <c:v>0.92400000000000004</c:v>
                </c:pt>
                <c:pt idx="46">
                  <c:v>1.0189999999999999</c:v>
                </c:pt>
                <c:pt idx="47">
                  <c:v>1.1160000000000001</c:v>
                </c:pt>
                <c:pt idx="48">
                  <c:v>1.204</c:v>
                </c:pt>
                <c:pt idx="49">
                  <c:v>1.272</c:v>
                </c:pt>
                <c:pt idx="50">
                  <c:v>1.31</c:v>
                </c:pt>
                <c:pt idx="51">
                  <c:v>1.3140000000000001</c:v>
                </c:pt>
                <c:pt idx="52">
                  <c:v>1.284</c:v>
                </c:pt>
                <c:pt idx="53">
                  <c:v>1.2230000000000001</c:v>
                </c:pt>
                <c:pt idx="54">
                  <c:v>1.1399999999999999</c:v>
                </c:pt>
                <c:pt idx="55">
                  <c:v>1.044</c:v>
                </c:pt>
                <c:pt idx="56">
                  <c:v>0.94799999999999995</c:v>
                </c:pt>
                <c:pt idx="57">
                  <c:v>0.86199999999999999</c:v>
                </c:pt>
                <c:pt idx="58">
                  <c:v>0.79800000000000004</c:v>
                </c:pt>
                <c:pt idx="59">
                  <c:v>0.76</c:v>
                </c:pt>
                <c:pt idx="60">
                  <c:v>0.748</c:v>
                </c:pt>
                <c:pt idx="61">
                  <c:v>0.76300000000000001</c:v>
                </c:pt>
                <c:pt idx="62">
                  <c:v>0.80500000000000005</c:v>
                </c:pt>
                <c:pt idx="63">
                  <c:v>0.873</c:v>
                </c:pt>
                <c:pt idx="64">
                  <c:v>0.96</c:v>
                </c:pt>
                <c:pt idx="65">
                  <c:v>1.0580000000000001</c:v>
                </c:pt>
                <c:pt idx="66">
                  <c:v>1.1519999999999999</c:v>
                </c:pt>
                <c:pt idx="67">
                  <c:v>1.2330000000000001</c:v>
                </c:pt>
                <c:pt idx="68">
                  <c:v>1.29</c:v>
                </c:pt>
                <c:pt idx="69">
                  <c:v>1.3149999999999999</c:v>
                </c:pt>
                <c:pt idx="70">
                  <c:v>1.306</c:v>
                </c:pt>
                <c:pt idx="71">
                  <c:v>1.264</c:v>
                </c:pt>
                <c:pt idx="72">
                  <c:v>1.1930000000000001</c:v>
                </c:pt>
                <c:pt idx="73">
                  <c:v>1.103</c:v>
                </c:pt>
                <c:pt idx="74">
                  <c:v>1.006</c:v>
                </c:pt>
                <c:pt idx="75">
                  <c:v>0.91300000000000003</c:v>
                </c:pt>
                <c:pt idx="76">
                  <c:v>0.83499999999999996</c:v>
                </c:pt>
                <c:pt idx="77">
                  <c:v>0.78</c:v>
                </c:pt>
                <c:pt idx="78">
                  <c:v>0.752</c:v>
                </c:pt>
                <c:pt idx="79">
                  <c:v>0.751</c:v>
                </c:pt>
                <c:pt idx="80">
                  <c:v>0.77700000000000002</c:v>
                </c:pt>
                <c:pt idx="81">
                  <c:v>0.82899999999999996</c:v>
                </c:pt>
                <c:pt idx="82">
                  <c:v>0.90500000000000003</c:v>
                </c:pt>
                <c:pt idx="83">
                  <c:v>0.997</c:v>
                </c:pt>
                <c:pt idx="84">
                  <c:v>1.095</c:v>
                </c:pt>
                <c:pt idx="85">
                  <c:v>1.1859999999999999</c:v>
                </c:pt>
                <c:pt idx="86">
                  <c:v>1.258</c:v>
                </c:pt>
                <c:pt idx="87">
                  <c:v>1.304</c:v>
                </c:pt>
                <c:pt idx="88">
                  <c:v>1.3160000000000001</c:v>
                </c:pt>
                <c:pt idx="89">
                  <c:v>1.294</c:v>
                </c:pt>
                <c:pt idx="90">
                  <c:v>1.24</c:v>
                </c:pt>
                <c:pt idx="91">
                  <c:v>1.161</c:v>
                </c:pt>
                <c:pt idx="92">
                  <c:v>1.0660000000000001</c:v>
                </c:pt>
                <c:pt idx="93">
                  <c:v>0.96799999999999997</c:v>
                </c:pt>
                <c:pt idx="94">
                  <c:v>0.879</c:v>
                </c:pt>
                <c:pt idx="95">
                  <c:v>0.81</c:v>
                </c:pt>
                <c:pt idx="96">
                  <c:v>0.76600000000000001</c:v>
                </c:pt>
                <c:pt idx="97">
                  <c:v>0.748</c:v>
                </c:pt>
                <c:pt idx="98">
                  <c:v>0.75900000000000001</c:v>
                </c:pt>
                <c:pt idx="99">
                  <c:v>0.79700000000000004</c:v>
                </c:pt>
                <c:pt idx="100">
                  <c:v>0.86</c:v>
                </c:pt>
                <c:pt idx="101">
                  <c:v>0.94499999999999995</c:v>
                </c:pt>
                <c:pt idx="102">
                  <c:v>1.0409999999999999</c:v>
                </c:pt>
                <c:pt idx="103">
                  <c:v>1.137</c:v>
                </c:pt>
                <c:pt idx="104">
                  <c:v>1.222</c:v>
                </c:pt>
                <c:pt idx="105">
                  <c:v>1.2829999999999999</c:v>
                </c:pt>
                <c:pt idx="106">
                  <c:v>1.3140000000000001</c:v>
                </c:pt>
                <c:pt idx="107">
                  <c:v>1.3109999999999999</c:v>
                </c:pt>
                <c:pt idx="108">
                  <c:v>1.2729999999999999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B-4C5D-BEDC-C3EC0A90D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159296"/>
        <c:axId val="229161216"/>
      </c:lineChart>
      <c:catAx>
        <c:axId val="22915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16121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29161216"/>
        <c:scaling>
          <c:orientation val="minMax"/>
          <c:min val="0.70000000000000007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915929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766025906338519"/>
          <c:y val="0.51115783197474995"/>
          <c:w val="5.4132723995340866E-2"/>
          <c:h val="4.86816982833095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O 1</a:t>
            </a:r>
          </a:p>
        </c:rich>
      </c:tx>
      <c:layout>
        <c:manualLayout>
          <c:xMode val="edge"/>
          <c:yMode val="edge"/>
          <c:x val="0.48605213880558917"/>
          <c:y val="3.37269008886579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716316641307974E-2"/>
          <c:y val="0.2175379426644182"/>
          <c:w val="0.95082753292464683"/>
          <c:h val="0.65092748735244521"/>
        </c:manualLayout>
      </c:layout>
      <c:lineChart>
        <c:grouping val="stacked"/>
        <c:varyColors val="0"/>
        <c:ser>
          <c:idx val="0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'Tabel 39 (f)'!$B$4:$B$112</c:f>
              <c:numCache>
                <c:formatCode>General</c:formatCode>
                <c:ptCount val="109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</c:numCache>
            </c:numRef>
          </c:cat>
          <c:val>
            <c:numRef>
              <c:f>'Tabel 39 (f)'!$E$4:$E$112</c:f>
              <c:numCache>
                <c:formatCode>0.000</c:formatCode>
                <c:ptCount val="109"/>
                <c:pt idx="0">
                  <c:v>0.98699999999999999</c:v>
                </c:pt>
                <c:pt idx="1">
                  <c:v>0.92300000000000004</c:v>
                </c:pt>
                <c:pt idx="2">
                  <c:v>0.86499999999999999</c:v>
                </c:pt>
                <c:pt idx="3">
                  <c:v>0.82299999999999995</c:v>
                </c:pt>
                <c:pt idx="4">
                  <c:v>0.80700000000000005</c:v>
                </c:pt>
                <c:pt idx="5">
                  <c:v>0.81799999999999995</c:v>
                </c:pt>
                <c:pt idx="6">
                  <c:v>0.85599999999999998</c:v>
                </c:pt>
                <c:pt idx="7">
                  <c:v>0.91200000000000003</c:v>
                </c:pt>
                <c:pt idx="8">
                  <c:v>0.97599999999999998</c:v>
                </c:pt>
                <c:pt idx="9">
                  <c:v>1.0389999999999999</c:v>
                </c:pt>
                <c:pt idx="10">
                  <c:v>1.0940000000000001</c:v>
                </c:pt>
                <c:pt idx="11">
                  <c:v>1.137</c:v>
                </c:pt>
                <c:pt idx="12">
                  <c:v>1.167</c:v>
                </c:pt>
                <c:pt idx="13">
                  <c:v>1.181</c:v>
                </c:pt>
                <c:pt idx="14">
                  <c:v>1.18</c:v>
                </c:pt>
                <c:pt idx="15">
                  <c:v>1.163</c:v>
                </c:pt>
                <c:pt idx="16">
                  <c:v>1.1299999999999999</c:v>
                </c:pt>
                <c:pt idx="17">
                  <c:v>1.0840000000000001</c:v>
                </c:pt>
                <c:pt idx="18">
                  <c:v>1.0269999999999999</c:v>
                </c:pt>
                <c:pt idx="19">
                  <c:v>0.96299999999999997</c:v>
                </c:pt>
                <c:pt idx="20">
                  <c:v>0.9</c:v>
                </c:pt>
                <c:pt idx="21">
                  <c:v>0.84699999999999998</c:v>
                </c:pt>
                <c:pt idx="22">
                  <c:v>0.81399999999999995</c:v>
                </c:pt>
                <c:pt idx="23">
                  <c:v>0.80800000000000005</c:v>
                </c:pt>
                <c:pt idx="24">
                  <c:v>0.83</c:v>
                </c:pt>
                <c:pt idx="25">
                  <c:v>0.876</c:v>
                </c:pt>
                <c:pt idx="26">
                  <c:v>0.93600000000000005</c:v>
                </c:pt>
                <c:pt idx="27">
                  <c:v>1.0009999999999999</c:v>
                </c:pt>
                <c:pt idx="28">
                  <c:v>1.0609999999999999</c:v>
                </c:pt>
                <c:pt idx="29">
                  <c:v>1.1120000000000001</c:v>
                </c:pt>
                <c:pt idx="30">
                  <c:v>1.151</c:v>
                </c:pt>
                <c:pt idx="31">
                  <c:v>1.175</c:v>
                </c:pt>
                <c:pt idx="32">
                  <c:v>1.1830000000000001</c:v>
                </c:pt>
                <c:pt idx="33">
                  <c:v>1.175</c:v>
                </c:pt>
                <c:pt idx="34">
                  <c:v>1.151</c:v>
                </c:pt>
                <c:pt idx="35">
                  <c:v>1.113</c:v>
                </c:pt>
                <c:pt idx="36">
                  <c:v>1.0629999999999999</c:v>
                </c:pt>
                <c:pt idx="37">
                  <c:v>1.0029999999999999</c:v>
                </c:pt>
                <c:pt idx="38">
                  <c:v>0.93799999999999994</c:v>
                </c:pt>
                <c:pt idx="39">
                  <c:v>0.878</c:v>
                </c:pt>
                <c:pt idx="40">
                  <c:v>0.83099999999999996</c:v>
                </c:pt>
                <c:pt idx="41">
                  <c:v>0.80800000000000005</c:v>
                </c:pt>
                <c:pt idx="42">
                  <c:v>0.81299999999999994</c:v>
                </c:pt>
                <c:pt idx="43">
                  <c:v>0.84599999999999997</c:v>
                </c:pt>
                <c:pt idx="44">
                  <c:v>0.89800000000000002</c:v>
                </c:pt>
                <c:pt idx="45">
                  <c:v>0.96099999999999997</c:v>
                </c:pt>
                <c:pt idx="46">
                  <c:v>1.026</c:v>
                </c:pt>
                <c:pt idx="47">
                  <c:v>1.083</c:v>
                </c:pt>
                <c:pt idx="48">
                  <c:v>1.129</c:v>
                </c:pt>
                <c:pt idx="49">
                  <c:v>1.1619999999999999</c:v>
                </c:pt>
                <c:pt idx="50">
                  <c:v>1.18</c:v>
                </c:pt>
                <c:pt idx="51">
                  <c:v>1.181</c:v>
                </c:pt>
                <c:pt idx="52">
                  <c:v>1.167</c:v>
                </c:pt>
                <c:pt idx="53">
                  <c:v>1.1379999999999999</c:v>
                </c:pt>
                <c:pt idx="54">
                  <c:v>1.095</c:v>
                </c:pt>
                <c:pt idx="55">
                  <c:v>1.0409999999999999</c:v>
                </c:pt>
                <c:pt idx="56">
                  <c:v>0.97799999999999998</c:v>
                </c:pt>
                <c:pt idx="57">
                  <c:v>0.91400000000000003</c:v>
                </c:pt>
                <c:pt idx="58">
                  <c:v>0.85799999999999998</c:v>
                </c:pt>
                <c:pt idx="59">
                  <c:v>0.81899999999999995</c:v>
                </c:pt>
                <c:pt idx="60">
                  <c:v>0.80600000000000005</c:v>
                </c:pt>
                <c:pt idx="61">
                  <c:v>0.82199999999999995</c:v>
                </c:pt>
                <c:pt idx="62">
                  <c:v>0.86399999999999999</c:v>
                </c:pt>
                <c:pt idx="63">
                  <c:v>0.92200000000000004</c:v>
                </c:pt>
                <c:pt idx="64">
                  <c:v>0.98599999999999999</c:v>
                </c:pt>
                <c:pt idx="65">
                  <c:v>1.048</c:v>
                </c:pt>
                <c:pt idx="66">
                  <c:v>1.101</c:v>
                </c:pt>
                <c:pt idx="67">
                  <c:v>1.143</c:v>
                </c:pt>
                <c:pt idx="68">
                  <c:v>1.17</c:v>
                </c:pt>
                <c:pt idx="69">
                  <c:v>1.1819999999999999</c:v>
                </c:pt>
                <c:pt idx="70">
                  <c:v>1.1779999999999999</c:v>
                </c:pt>
                <c:pt idx="71">
                  <c:v>1.1579999999999999</c:v>
                </c:pt>
                <c:pt idx="72">
                  <c:v>1.123</c:v>
                </c:pt>
                <c:pt idx="73">
                  <c:v>1.075</c:v>
                </c:pt>
                <c:pt idx="74">
                  <c:v>1.016</c:v>
                </c:pt>
                <c:pt idx="75">
                  <c:v>0.95199999999999996</c:v>
                </c:pt>
                <c:pt idx="76">
                  <c:v>0.89900000000000002</c:v>
                </c:pt>
                <c:pt idx="77">
                  <c:v>0.84</c:v>
                </c:pt>
                <c:pt idx="78">
                  <c:v>0.81</c:v>
                </c:pt>
                <c:pt idx="79">
                  <c:v>0.80900000000000005</c:v>
                </c:pt>
                <c:pt idx="80">
                  <c:v>0.83599999999999997</c:v>
                </c:pt>
                <c:pt idx="81">
                  <c:v>0.88500000000000001</c:v>
                </c:pt>
                <c:pt idx="82">
                  <c:v>0.94699999999999995</c:v>
                </c:pt>
                <c:pt idx="83">
                  <c:v>1.0109999999999999</c:v>
                </c:pt>
                <c:pt idx="84">
                  <c:v>1.07</c:v>
                </c:pt>
                <c:pt idx="85">
                  <c:v>1.119</c:v>
                </c:pt>
                <c:pt idx="86">
                  <c:v>1.155</c:v>
                </c:pt>
                <c:pt idx="87">
                  <c:v>1.177</c:v>
                </c:pt>
                <c:pt idx="88">
                  <c:v>1.1830000000000001</c:v>
                </c:pt>
                <c:pt idx="89">
                  <c:v>1.1719999999999999</c:v>
                </c:pt>
                <c:pt idx="90">
                  <c:v>1.1459999999999999</c:v>
                </c:pt>
                <c:pt idx="91">
                  <c:v>1.1060000000000001</c:v>
                </c:pt>
                <c:pt idx="92">
                  <c:v>1.054</c:v>
                </c:pt>
                <c:pt idx="93">
                  <c:v>0.99199999999999999</c:v>
                </c:pt>
                <c:pt idx="94">
                  <c:v>0.92700000000000005</c:v>
                </c:pt>
                <c:pt idx="95">
                  <c:v>0.86899999999999999</c:v>
                </c:pt>
                <c:pt idx="96">
                  <c:v>0.82599999999999996</c:v>
                </c:pt>
                <c:pt idx="97">
                  <c:v>0.80700000000000005</c:v>
                </c:pt>
                <c:pt idx="98">
                  <c:v>0.81799999999999995</c:v>
                </c:pt>
                <c:pt idx="99">
                  <c:v>0.85599999999999998</c:v>
                </c:pt>
                <c:pt idx="100">
                  <c:v>0.91200000000000003</c:v>
                </c:pt>
                <c:pt idx="101">
                  <c:v>0.97599999999999998</c:v>
                </c:pt>
                <c:pt idx="102">
                  <c:v>1.0389999999999999</c:v>
                </c:pt>
                <c:pt idx="103">
                  <c:v>1.0940000000000001</c:v>
                </c:pt>
                <c:pt idx="104">
                  <c:v>1.137</c:v>
                </c:pt>
                <c:pt idx="105">
                  <c:v>1.167</c:v>
                </c:pt>
                <c:pt idx="106">
                  <c:v>1.181</c:v>
                </c:pt>
                <c:pt idx="107">
                  <c:v>1.18</c:v>
                </c:pt>
                <c:pt idx="108">
                  <c:v>1.163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3-4B13-BB62-68F75E42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861824"/>
        <c:axId val="228884480"/>
      </c:lineChart>
      <c:catAx>
        <c:axId val="22886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8844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28884480"/>
        <c:scaling>
          <c:orientation val="minMax"/>
          <c:min val="0.70000000000000007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86182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934193859187438"/>
          <c:y val="0.5050927798604915"/>
          <c:w val="5.4164243804220247E-2"/>
          <c:h val="4.887994643811208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'Tabel 39 (f)'!$N$3</c:f>
              <c:strCache>
                <c:ptCount val="1"/>
                <c:pt idx="0">
                  <c:v>M2</c:v>
                </c:pt>
              </c:strCache>
            </c:strRef>
          </c:tx>
          <c:spPr>
            <a:ln>
              <a:noFill/>
            </a:ln>
          </c:spPr>
          <c:xVal>
            <c:numRef>
              <c:f>'Tabel 39 (f)'!$M$4:$M$61</c:f>
              <c:numCache>
                <c:formatCode>General</c:formatCode>
                <c:ptCount val="58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  <c:pt idx="49">
                  <c:v>2004</c:v>
                </c:pt>
                <c:pt idx="50">
                  <c:v>2005</c:v>
                </c:pt>
                <c:pt idx="51">
                  <c:v>2006</c:v>
                </c:pt>
                <c:pt idx="52">
                  <c:v>2007</c:v>
                </c:pt>
                <c:pt idx="53">
                  <c:v>2008</c:v>
                </c:pt>
                <c:pt idx="54">
                  <c:v>2009</c:v>
                </c:pt>
                <c:pt idx="55">
                  <c:v>2010</c:v>
                </c:pt>
                <c:pt idx="56">
                  <c:v>2011</c:v>
                </c:pt>
                <c:pt idx="57">
                  <c:v>2012</c:v>
                </c:pt>
              </c:numCache>
            </c:numRef>
          </c:xVal>
          <c:yVal>
            <c:numRef>
              <c:f>'Tabel 39 (f)'!$N$4:$N$61</c:f>
              <c:numCache>
                <c:formatCode>0.000</c:formatCode>
                <c:ptCount val="58"/>
                <c:pt idx="0">
                  <c:v>0.997</c:v>
                </c:pt>
                <c:pt idx="1">
                  <c:v>1.0089999999999999</c:v>
                </c:pt>
                <c:pt idx="2">
                  <c:v>1.0209999999999999</c:v>
                </c:pt>
                <c:pt idx="3">
                  <c:v>1.03</c:v>
                </c:pt>
                <c:pt idx="4">
                  <c:v>1.036</c:v>
                </c:pt>
                <c:pt idx="5">
                  <c:v>1.038</c:v>
                </c:pt>
                <c:pt idx="6">
                  <c:v>1.0349999999999999</c:v>
                </c:pt>
                <c:pt idx="7">
                  <c:v>1.0289999999999999</c:v>
                </c:pt>
                <c:pt idx="8">
                  <c:v>1.0189999999999999</c:v>
                </c:pt>
                <c:pt idx="9">
                  <c:v>1.008</c:v>
                </c:pt>
                <c:pt idx="10">
                  <c:v>0.995</c:v>
                </c:pt>
                <c:pt idx="11">
                  <c:v>0.98299999999999998</c:v>
                </c:pt>
                <c:pt idx="12">
                  <c:v>0.97299999999999998</c:v>
                </c:pt>
                <c:pt idx="13">
                  <c:v>0.96699999999999997</c:v>
                </c:pt>
                <c:pt idx="14">
                  <c:v>0.96399999999999997</c:v>
                </c:pt>
                <c:pt idx="15">
                  <c:v>0.96499999999999997</c:v>
                </c:pt>
                <c:pt idx="16">
                  <c:v>0.97</c:v>
                </c:pt>
                <c:pt idx="17">
                  <c:v>0.97799999999999998</c:v>
                </c:pt>
                <c:pt idx="18">
                  <c:v>0.98899999999999999</c:v>
                </c:pt>
                <c:pt idx="19">
                  <c:v>1.002</c:v>
                </c:pt>
                <c:pt idx="20">
                  <c:v>1.014</c:v>
                </c:pt>
                <c:pt idx="21">
                  <c:v>1.0249999999999999</c:v>
                </c:pt>
                <c:pt idx="22">
                  <c:v>1.0329999999999999</c:v>
                </c:pt>
                <c:pt idx="23">
                  <c:v>1.0369999999999999</c:v>
                </c:pt>
                <c:pt idx="24">
                  <c:v>1.0369999999999999</c:v>
                </c:pt>
                <c:pt idx="25">
                  <c:v>1.0329999999999999</c:v>
                </c:pt>
                <c:pt idx="26">
                  <c:v>1.026</c:v>
                </c:pt>
                <c:pt idx="27">
                  <c:v>1.0149999999999999</c:v>
                </c:pt>
                <c:pt idx="28">
                  <c:v>1.0029999999999999</c:v>
                </c:pt>
                <c:pt idx="29">
                  <c:v>0.99</c:v>
                </c:pt>
                <c:pt idx="30">
                  <c:v>0.97899999999999998</c:v>
                </c:pt>
                <c:pt idx="31">
                  <c:v>0.97</c:v>
                </c:pt>
                <c:pt idx="32">
                  <c:v>0.96499999999999997</c:v>
                </c:pt>
                <c:pt idx="33">
                  <c:v>0.96399999999999997</c:v>
                </c:pt>
                <c:pt idx="34">
                  <c:v>0.96599999999999997</c:v>
                </c:pt>
                <c:pt idx="35">
                  <c:v>0.97299999999999998</c:v>
                </c:pt>
                <c:pt idx="36">
                  <c:v>0.98199999999999998</c:v>
                </c:pt>
                <c:pt idx="37">
                  <c:v>0.99399999999999999</c:v>
                </c:pt>
                <c:pt idx="38">
                  <c:v>1.006</c:v>
                </c:pt>
                <c:pt idx="39">
                  <c:v>1.018</c:v>
                </c:pt>
                <c:pt idx="40">
                  <c:v>1.028</c:v>
                </c:pt>
                <c:pt idx="41">
                  <c:v>1.0349999999999999</c:v>
                </c:pt>
                <c:pt idx="42">
                  <c:v>1.038</c:v>
                </c:pt>
                <c:pt idx="43">
                  <c:v>1.0367</c:v>
                </c:pt>
                <c:pt idx="44">
                  <c:v>1.0330999999999999</c:v>
                </c:pt>
                <c:pt idx="45">
                  <c:v>1.0236000000000001</c:v>
                </c:pt>
                <c:pt idx="46">
                  <c:v>1.012</c:v>
                </c:pt>
                <c:pt idx="47">
                  <c:v>0.99959999999999993</c:v>
                </c:pt>
                <c:pt idx="48">
                  <c:v>0.98780000000000001</c:v>
                </c:pt>
                <c:pt idx="49">
                  <c:v>0.97739999999999994</c:v>
                </c:pt>
                <c:pt idx="50">
                  <c:v>0.96909999999999996</c:v>
                </c:pt>
                <c:pt idx="51">
                  <c:v>0.96449999999999991</c:v>
                </c:pt>
                <c:pt idx="52">
                  <c:v>0.96429999999999993</c:v>
                </c:pt>
                <c:pt idx="53">
                  <c:v>0.9677</c:v>
                </c:pt>
                <c:pt idx="54">
                  <c:v>0.97519999999999996</c:v>
                </c:pt>
                <c:pt idx="55">
                  <c:v>0.98509999999999998</c:v>
                </c:pt>
                <c:pt idx="56">
                  <c:v>0.997</c:v>
                </c:pt>
                <c:pt idx="57">
                  <c:v>1.0090999999999999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1-44C9-A59A-845AB3D7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917248"/>
        <c:axId val="228918784"/>
      </c:scatterChart>
      <c:valAx>
        <c:axId val="22891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918784"/>
        <c:crosses val="autoZero"/>
        <c:crossBetween val="midCat"/>
      </c:valAx>
      <c:valAx>
        <c:axId val="22891878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9172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8869863013698625"/>
          <c:y val="0.52381149400605154"/>
          <c:w val="8.9041095890410968E-2"/>
          <c:h val="8.1232798535697828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297600443176734E-2"/>
          <c:y val="6.1611469458847781E-2"/>
          <c:w val="0.94730359195652392"/>
          <c:h val="0.81516713437860133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numRef>
              <c:f>'Tabel 43 (u)'!$B$4:$B$112</c:f>
              <c:numCache>
                <c:formatCode>General</c:formatCode>
                <c:ptCount val="109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</c:numCache>
            </c:numRef>
          </c:cat>
          <c:val>
            <c:numRef>
              <c:f>'Tabel 43 (u)'!$C$4:$C$112</c:f>
              <c:numCache>
                <c:formatCode>General</c:formatCode>
                <c:ptCount val="109"/>
                <c:pt idx="0">
                  <c:v>2.1</c:v>
                </c:pt>
                <c:pt idx="1">
                  <c:v>1.8</c:v>
                </c:pt>
                <c:pt idx="2">
                  <c:v>1.4</c:v>
                </c:pt>
                <c:pt idx="3">
                  <c:v>0.8</c:v>
                </c:pt>
                <c:pt idx="4">
                  <c:v>0.1</c:v>
                </c:pt>
                <c:pt idx="5">
                  <c:v>-0.6</c:v>
                </c:pt>
                <c:pt idx="6">
                  <c:v>-1.3</c:v>
                </c:pt>
                <c:pt idx="7">
                  <c:v>-1.8</c:v>
                </c:pt>
                <c:pt idx="8">
                  <c:v>-2.1</c:v>
                </c:pt>
                <c:pt idx="9">
                  <c:v>-2.1</c:v>
                </c:pt>
                <c:pt idx="10">
                  <c:v>-2</c:v>
                </c:pt>
                <c:pt idx="11">
                  <c:v>-1.6</c:v>
                </c:pt>
                <c:pt idx="12">
                  <c:v>-1</c:v>
                </c:pt>
                <c:pt idx="13">
                  <c:v>-0.3</c:v>
                </c:pt>
                <c:pt idx="14">
                  <c:v>0.4</c:v>
                </c:pt>
                <c:pt idx="15">
                  <c:v>1.1000000000000001</c:v>
                </c:pt>
                <c:pt idx="16">
                  <c:v>1.7</c:v>
                </c:pt>
                <c:pt idx="17">
                  <c:v>2</c:v>
                </c:pt>
                <c:pt idx="18">
                  <c:v>2.1</c:v>
                </c:pt>
                <c:pt idx="19">
                  <c:v>2</c:v>
                </c:pt>
                <c:pt idx="20">
                  <c:v>1.7</c:v>
                </c:pt>
                <c:pt idx="21">
                  <c:v>1.2</c:v>
                </c:pt>
                <c:pt idx="22">
                  <c:v>0.5</c:v>
                </c:pt>
                <c:pt idx="23">
                  <c:v>-0.2</c:v>
                </c:pt>
                <c:pt idx="24">
                  <c:v>-0.9</c:v>
                </c:pt>
                <c:pt idx="25">
                  <c:v>-1.5</c:v>
                </c:pt>
                <c:pt idx="26">
                  <c:v>-1.9</c:v>
                </c:pt>
                <c:pt idx="27">
                  <c:v>-2.1</c:v>
                </c:pt>
                <c:pt idx="28">
                  <c:v>-2.1</c:v>
                </c:pt>
                <c:pt idx="29">
                  <c:v>-1.8</c:v>
                </c:pt>
                <c:pt idx="30">
                  <c:v>-1.4</c:v>
                </c:pt>
                <c:pt idx="31">
                  <c:v>-0.7</c:v>
                </c:pt>
                <c:pt idx="32">
                  <c:v>0</c:v>
                </c:pt>
                <c:pt idx="33">
                  <c:v>0.7</c:v>
                </c:pt>
                <c:pt idx="34">
                  <c:v>1.3</c:v>
                </c:pt>
                <c:pt idx="35">
                  <c:v>1.8</c:v>
                </c:pt>
                <c:pt idx="36">
                  <c:v>2.1</c:v>
                </c:pt>
                <c:pt idx="37">
                  <c:v>2.1</c:v>
                </c:pt>
                <c:pt idx="38">
                  <c:v>1.9</c:v>
                </c:pt>
                <c:pt idx="39">
                  <c:v>1.5</c:v>
                </c:pt>
                <c:pt idx="40">
                  <c:v>0.9</c:v>
                </c:pt>
                <c:pt idx="41">
                  <c:v>0.2</c:v>
                </c:pt>
                <c:pt idx="42">
                  <c:v>-0.5</c:v>
                </c:pt>
                <c:pt idx="43">
                  <c:v>-1.1000000000000001</c:v>
                </c:pt>
                <c:pt idx="44">
                  <c:v>-1.7</c:v>
                </c:pt>
                <c:pt idx="45">
                  <c:v>-2</c:v>
                </c:pt>
                <c:pt idx="46">
                  <c:v>-2.1</c:v>
                </c:pt>
                <c:pt idx="47">
                  <c:v>-2</c:v>
                </c:pt>
                <c:pt idx="48">
                  <c:v>-1.7</c:v>
                </c:pt>
                <c:pt idx="49">
                  <c:v>-1.1000000000000001</c:v>
                </c:pt>
                <c:pt idx="50">
                  <c:v>-0.5</c:v>
                </c:pt>
                <c:pt idx="51">
                  <c:v>0.3</c:v>
                </c:pt>
                <c:pt idx="52">
                  <c:v>1</c:v>
                </c:pt>
                <c:pt idx="53">
                  <c:v>1.5</c:v>
                </c:pt>
                <c:pt idx="54">
                  <c:v>1.9</c:v>
                </c:pt>
                <c:pt idx="55">
                  <c:v>2.1</c:v>
                </c:pt>
                <c:pt idx="56">
                  <c:v>2.1</c:v>
                </c:pt>
                <c:pt idx="57">
                  <c:v>1.8</c:v>
                </c:pt>
                <c:pt idx="58">
                  <c:v>1.3</c:v>
                </c:pt>
                <c:pt idx="59">
                  <c:v>0.7</c:v>
                </c:pt>
                <c:pt idx="60">
                  <c:v>-0.1</c:v>
                </c:pt>
                <c:pt idx="61">
                  <c:v>-0.8</c:v>
                </c:pt>
                <c:pt idx="62">
                  <c:v>-1.4</c:v>
                </c:pt>
                <c:pt idx="63">
                  <c:v>-1.8</c:v>
                </c:pt>
                <c:pt idx="64">
                  <c:v>-2.1</c:v>
                </c:pt>
                <c:pt idx="65">
                  <c:v>-2.1</c:v>
                </c:pt>
                <c:pt idx="66">
                  <c:v>-1.9</c:v>
                </c:pt>
                <c:pt idx="67">
                  <c:v>-1.5</c:v>
                </c:pt>
                <c:pt idx="68">
                  <c:v>-0.9</c:v>
                </c:pt>
                <c:pt idx="69">
                  <c:v>-0.2</c:v>
                </c:pt>
                <c:pt idx="70">
                  <c:v>0.6</c:v>
                </c:pt>
                <c:pt idx="71">
                  <c:v>1.2</c:v>
                </c:pt>
                <c:pt idx="72">
                  <c:v>1.7</c:v>
                </c:pt>
                <c:pt idx="73">
                  <c:v>2.1</c:v>
                </c:pt>
                <c:pt idx="74">
                  <c:v>2.1</c:v>
                </c:pt>
                <c:pt idx="75">
                  <c:v>2</c:v>
                </c:pt>
                <c:pt idx="76">
                  <c:v>1.6</c:v>
                </c:pt>
                <c:pt idx="77">
                  <c:v>1.1000000000000001</c:v>
                </c:pt>
                <c:pt idx="78">
                  <c:v>0.4</c:v>
                </c:pt>
                <c:pt idx="79">
                  <c:v>-0.3</c:v>
                </c:pt>
                <c:pt idx="80">
                  <c:v>-1</c:v>
                </c:pt>
                <c:pt idx="81">
                  <c:v>-1.6</c:v>
                </c:pt>
                <c:pt idx="82">
                  <c:v>-2</c:v>
                </c:pt>
                <c:pt idx="83">
                  <c:v>-2.1</c:v>
                </c:pt>
                <c:pt idx="84">
                  <c:v>-2.1</c:v>
                </c:pt>
                <c:pt idx="85">
                  <c:v>-1.8</c:v>
                </c:pt>
                <c:pt idx="86">
                  <c:v>-1.3</c:v>
                </c:pt>
                <c:pt idx="87">
                  <c:v>-0.6</c:v>
                </c:pt>
                <c:pt idx="88">
                  <c:v>0.1</c:v>
                </c:pt>
                <c:pt idx="89">
                  <c:v>0.8</c:v>
                </c:pt>
                <c:pt idx="90">
                  <c:v>1.4</c:v>
                </c:pt>
                <c:pt idx="91">
                  <c:v>1.9</c:v>
                </c:pt>
                <c:pt idx="92">
                  <c:v>2.1</c:v>
                </c:pt>
                <c:pt idx="93">
                  <c:v>2.1</c:v>
                </c:pt>
                <c:pt idx="94">
                  <c:v>1.9</c:v>
                </c:pt>
                <c:pt idx="95">
                  <c:v>1.4</c:v>
                </c:pt>
                <c:pt idx="96">
                  <c:v>0.8</c:v>
                </c:pt>
                <c:pt idx="97">
                  <c:v>0.1</c:v>
                </c:pt>
                <c:pt idx="98">
                  <c:v>-0.6</c:v>
                </c:pt>
                <c:pt idx="99">
                  <c:v>-1.2</c:v>
                </c:pt>
                <c:pt idx="100">
                  <c:v>-1.7</c:v>
                </c:pt>
                <c:pt idx="101">
                  <c:v>-2.1</c:v>
                </c:pt>
                <c:pt idx="102">
                  <c:v>-2.1</c:v>
                </c:pt>
                <c:pt idx="103">
                  <c:v>-1.9</c:v>
                </c:pt>
                <c:pt idx="104">
                  <c:v>-1.5</c:v>
                </c:pt>
                <c:pt idx="105">
                  <c:v>-0.9</c:v>
                </c:pt>
                <c:pt idx="106">
                  <c:v>-0.2</c:v>
                </c:pt>
                <c:pt idx="107" formatCode="0.0">
                  <c:v>0.58610899999999999</c:v>
                </c:pt>
                <c:pt idx="108" formatCode="0.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C-4F04-A77D-056D6A1D0063}"/>
            </c:ext>
          </c:extLst>
        </c:ser>
        <c:ser>
          <c:idx val="1"/>
          <c:order val="1"/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cat>
            <c:numRef>
              <c:f>'Tabel 43 (u)'!$B$4:$B$112</c:f>
              <c:numCache>
                <c:formatCode>General</c:formatCode>
                <c:ptCount val="109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</c:numCache>
            </c:numRef>
          </c:cat>
          <c:val>
            <c:numRef>
              <c:f>'Tabel 43 (u)'!$D$4:$D$112</c:f>
              <c:numCache>
                <c:formatCode>General</c:formatCode>
                <c:ptCount val="109"/>
                <c:pt idx="0">
                  <c:v>8.9</c:v>
                </c:pt>
                <c:pt idx="1">
                  <c:v>8.1999999999999993</c:v>
                </c:pt>
                <c:pt idx="2">
                  <c:v>6.5</c:v>
                </c:pt>
                <c:pt idx="3">
                  <c:v>3.7</c:v>
                </c:pt>
                <c:pt idx="4">
                  <c:v>0.3</c:v>
                </c:pt>
                <c:pt idx="5">
                  <c:v>-3.1</c:v>
                </c:pt>
                <c:pt idx="6">
                  <c:v>-6</c:v>
                </c:pt>
                <c:pt idx="7">
                  <c:v>-8</c:v>
                </c:pt>
                <c:pt idx="8">
                  <c:v>-8.9</c:v>
                </c:pt>
                <c:pt idx="9">
                  <c:v>-8.6</c:v>
                </c:pt>
                <c:pt idx="10">
                  <c:v>-7.6</c:v>
                </c:pt>
                <c:pt idx="11">
                  <c:v>-5.8</c:v>
                </c:pt>
                <c:pt idx="12">
                  <c:v>-3.5</c:v>
                </c:pt>
                <c:pt idx="13">
                  <c:v>-1</c:v>
                </c:pt>
                <c:pt idx="14">
                  <c:v>1.6</c:v>
                </c:pt>
                <c:pt idx="15">
                  <c:v>4</c:v>
                </c:pt>
                <c:pt idx="16">
                  <c:v>6.2</c:v>
                </c:pt>
                <c:pt idx="17">
                  <c:v>7.8</c:v>
                </c:pt>
                <c:pt idx="18">
                  <c:v>8.8000000000000007</c:v>
                </c:pt>
                <c:pt idx="19">
                  <c:v>8.8000000000000007</c:v>
                </c:pt>
                <c:pt idx="20">
                  <c:v>7.7</c:v>
                </c:pt>
                <c:pt idx="21">
                  <c:v>5.5</c:v>
                </c:pt>
                <c:pt idx="22">
                  <c:v>2.5</c:v>
                </c:pt>
                <c:pt idx="23">
                  <c:v>-1</c:v>
                </c:pt>
                <c:pt idx="24">
                  <c:v>-4.3</c:v>
                </c:pt>
                <c:pt idx="25">
                  <c:v>-6.9</c:v>
                </c:pt>
                <c:pt idx="26">
                  <c:v>-8.5</c:v>
                </c:pt>
                <c:pt idx="27">
                  <c:v>-8.9</c:v>
                </c:pt>
                <c:pt idx="28">
                  <c:v>-8.3000000000000007</c:v>
                </c:pt>
                <c:pt idx="29">
                  <c:v>-6.9</c:v>
                </c:pt>
                <c:pt idx="30">
                  <c:v>-5</c:v>
                </c:pt>
                <c:pt idx="31">
                  <c:v>-2.6</c:v>
                </c:pt>
                <c:pt idx="32">
                  <c:v>0</c:v>
                </c:pt>
                <c:pt idx="33">
                  <c:v>2.5</c:v>
                </c:pt>
                <c:pt idx="34">
                  <c:v>4.9000000000000004</c:v>
                </c:pt>
                <c:pt idx="35">
                  <c:v>6.9</c:v>
                </c:pt>
                <c:pt idx="36">
                  <c:v>8.3000000000000007</c:v>
                </c:pt>
                <c:pt idx="37">
                  <c:v>8.9</c:v>
                </c:pt>
                <c:pt idx="38">
                  <c:v>8.5</c:v>
                </c:pt>
                <c:pt idx="39">
                  <c:v>7</c:v>
                </c:pt>
                <c:pt idx="40">
                  <c:v>4.4000000000000004</c:v>
                </c:pt>
                <c:pt idx="41">
                  <c:v>1.1000000000000001</c:v>
                </c:pt>
                <c:pt idx="42">
                  <c:v>-2.4</c:v>
                </c:pt>
                <c:pt idx="43">
                  <c:v>-5.5</c:v>
                </c:pt>
                <c:pt idx="44">
                  <c:v>-7.7</c:v>
                </c:pt>
                <c:pt idx="45">
                  <c:v>-8.8000000000000007</c:v>
                </c:pt>
                <c:pt idx="46">
                  <c:v>-8.8000000000000007</c:v>
                </c:pt>
                <c:pt idx="47">
                  <c:v>-7.9</c:v>
                </c:pt>
                <c:pt idx="48">
                  <c:v>-6.2</c:v>
                </c:pt>
                <c:pt idx="49">
                  <c:v>-4.0999999999999996</c:v>
                </c:pt>
                <c:pt idx="50">
                  <c:v>-1.6</c:v>
                </c:pt>
                <c:pt idx="51">
                  <c:v>1</c:v>
                </c:pt>
                <c:pt idx="52">
                  <c:v>3.5</c:v>
                </c:pt>
                <c:pt idx="53">
                  <c:v>5.7</c:v>
                </c:pt>
                <c:pt idx="54">
                  <c:v>7.5</c:v>
                </c:pt>
                <c:pt idx="55">
                  <c:v>8.6</c:v>
                </c:pt>
                <c:pt idx="56">
                  <c:v>8.9</c:v>
                </c:pt>
                <c:pt idx="57">
                  <c:v>8</c:v>
                </c:pt>
                <c:pt idx="58">
                  <c:v>6.1</c:v>
                </c:pt>
                <c:pt idx="59">
                  <c:v>3.2</c:v>
                </c:pt>
                <c:pt idx="60">
                  <c:v>-0.2</c:v>
                </c:pt>
                <c:pt idx="61">
                  <c:v>-3.7</c:v>
                </c:pt>
                <c:pt idx="62">
                  <c:v>-6.4</c:v>
                </c:pt>
                <c:pt idx="63">
                  <c:v>-8.1999999999999993</c:v>
                </c:pt>
                <c:pt idx="64">
                  <c:v>-8.9</c:v>
                </c:pt>
                <c:pt idx="65">
                  <c:v>-8.5</c:v>
                </c:pt>
                <c:pt idx="66">
                  <c:v>-7.3</c:v>
                </c:pt>
                <c:pt idx="67">
                  <c:v>-5.5</c:v>
                </c:pt>
                <c:pt idx="68">
                  <c:v>-3.2</c:v>
                </c:pt>
                <c:pt idx="69">
                  <c:v>-0.6</c:v>
                </c:pt>
                <c:pt idx="70">
                  <c:v>2</c:v>
                </c:pt>
                <c:pt idx="71">
                  <c:v>4.4000000000000004</c:v>
                </c:pt>
                <c:pt idx="72">
                  <c:v>6.5</c:v>
                </c:pt>
                <c:pt idx="73">
                  <c:v>8</c:v>
                </c:pt>
                <c:pt idx="74">
                  <c:v>8.8000000000000007</c:v>
                </c:pt>
                <c:pt idx="75">
                  <c:v>8.6999999999999993</c:v>
                </c:pt>
                <c:pt idx="76">
                  <c:v>7.4</c:v>
                </c:pt>
                <c:pt idx="77" formatCode="0.0">
                  <c:v>5</c:v>
                </c:pt>
                <c:pt idx="78">
                  <c:v>1.9</c:v>
                </c:pt>
                <c:pt idx="79">
                  <c:v>-1.6</c:v>
                </c:pt>
                <c:pt idx="80">
                  <c:v>-4.8</c:v>
                </c:pt>
                <c:pt idx="81">
                  <c:v>-7.3</c:v>
                </c:pt>
                <c:pt idx="82">
                  <c:v>-8.6</c:v>
                </c:pt>
                <c:pt idx="83">
                  <c:v>-8.9</c:v>
                </c:pt>
                <c:pt idx="84">
                  <c:v>-8.1</c:v>
                </c:pt>
                <c:pt idx="85">
                  <c:v>-6.7</c:v>
                </c:pt>
                <c:pt idx="86">
                  <c:v>-4.5999999999999996</c:v>
                </c:pt>
                <c:pt idx="87">
                  <c:v>-2.2000000000000002</c:v>
                </c:pt>
                <c:pt idx="88">
                  <c:v>0.4</c:v>
                </c:pt>
                <c:pt idx="89">
                  <c:v>2.9</c:v>
                </c:pt>
                <c:pt idx="90">
                  <c:v>5.3</c:v>
                </c:pt>
                <c:pt idx="91">
                  <c:v>7.2</c:v>
                </c:pt>
                <c:pt idx="92">
                  <c:v>8.5</c:v>
                </c:pt>
                <c:pt idx="93">
                  <c:v>8.9</c:v>
                </c:pt>
                <c:pt idx="94">
                  <c:v>8.3000000000000007</c:v>
                </c:pt>
                <c:pt idx="95">
                  <c:v>6.6</c:v>
                </c:pt>
                <c:pt idx="96">
                  <c:v>3.9</c:v>
                </c:pt>
                <c:pt idx="97">
                  <c:v>0.6</c:v>
                </c:pt>
                <c:pt idx="98">
                  <c:v>-2.9</c:v>
                </c:pt>
                <c:pt idx="99">
                  <c:v>-5.9</c:v>
                </c:pt>
                <c:pt idx="100">
                  <c:v>-7.9</c:v>
                </c:pt>
                <c:pt idx="101">
                  <c:v>-8.9</c:v>
                </c:pt>
                <c:pt idx="102">
                  <c:v>-8.5</c:v>
                </c:pt>
                <c:pt idx="103">
                  <c:v>-7.3</c:v>
                </c:pt>
                <c:pt idx="104">
                  <c:v>-5.5</c:v>
                </c:pt>
                <c:pt idx="105">
                  <c:v>-3.2</c:v>
                </c:pt>
                <c:pt idx="106">
                  <c:v>-0.6</c:v>
                </c:pt>
                <c:pt idx="107" formatCode="0.0">
                  <c:v>2.0021499999999999</c:v>
                </c:pt>
                <c:pt idx="108" formatCode="0.0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C-4F04-A77D-056D6A1D0063}"/>
            </c:ext>
          </c:extLst>
        </c:ser>
        <c:ser>
          <c:idx val="2"/>
          <c:order val="2"/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cat>
            <c:numRef>
              <c:f>'Tabel 43 (u)'!$B$4:$B$112</c:f>
              <c:numCache>
                <c:formatCode>General</c:formatCode>
                <c:ptCount val="109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</c:numCache>
            </c:numRef>
          </c:cat>
          <c:val>
            <c:numRef>
              <c:f>'Tabel 43 (u)'!$E$4:$E$112</c:f>
              <c:numCache>
                <c:formatCode>General</c:formatCode>
                <c:ptCount val="109"/>
                <c:pt idx="0">
                  <c:v>-10.9</c:v>
                </c:pt>
                <c:pt idx="1">
                  <c:v>-10.5</c:v>
                </c:pt>
                <c:pt idx="2">
                  <c:v>-8.5</c:v>
                </c:pt>
                <c:pt idx="3">
                  <c:v>-5</c:v>
                </c:pt>
                <c:pt idx="4">
                  <c:v>-0.5</c:v>
                </c:pt>
                <c:pt idx="5">
                  <c:v>4.2</c:v>
                </c:pt>
                <c:pt idx="6">
                  <c:v>8</c:v>
                </c:pt>
                <c:pt idx="7">
                  <c:v>10.199999999999999</c:v>
                </c:pt>
                <c:pt idx="8">
                  <c:v>11</c:v>
                </c:pt>
                <c:pt idx="9">
                  <c:v>10.4</c:v>
                </c:pt>
                <c:pt idx="10">
                  <c:v>8.8000000000000007</c:v>
                </c:pt>
                <c:pt idx="11">
                  <c:v>6.6</c:v>
                </c:pt>
                <c:pt idx="12">
                  <c:v>4</c:v>
                </c:pt>
                <c:pt idx="13">
                  <c:v>1.2</c:v>
                </c:pt>
                <c:pt idx="14">
                  <c:v>-1.7</c:v>
                </c:pt>
                <c:pt idx="15">
                  <c:v>-4.5</c:v>
                </c:pt>
                <c:pt idx="16">
                  <c:v>-7.1</c:v>
                </c:pt>
                <c:pt idx="17">
                  <c:v>-9.1999999999999993</c:v>
                </c:pt>
                <c:pt idx="18">
                  <c:v>-10.6</c:v>
                </c:pt>
                <c:pt idx="19">
                  <c:v>-10.9</c:v>
                </c:pt>
                <c:pt idx="20">
                  <c:v>-9.9</c:v>
                </c:pt>
                <c:pt idx="21">
                  <c:v>-7.3</c:v>
                </c:pt>
                <c:pt idx="22">
                  <c:v>-3.3</c:v>
                </c:pt>
                <c:pt idx="23">
                  <c:v>1.4</c:v>
                </c:pt>
                <c:pt idx="24">
                  <c:v>5.8</c:v>
                </c:pt>
                <c:pt idx="25">
                  <c:v>9</c:v>
                </c:pt>
                <c:pt idx="26">
                  <c:v>10.7</c:v>
                </c:pt>
                <c:pt idx="27">
                  <c:v>10.9</c:v>
                </c:pt>
                <c:pt idx="28">
                  <c:v>9.9</c:v>
                </c:pt>
                <c:pt idx="29">
                  <c:v>8</c:v>
                </c:pt>
                <c:pt idx="30">
                  <c:v>5.6</c:v>
                </c:pt>
                <c:pt idx="31">
                  <c:v>2.9</c:v>
                </c:pt>
                <c:pt idx="32">
                  <c:v>0</c:v>
                </c:pt>
                <c:pt idx="33">
                  <c:v>-2.8</c:v>
                </c:pt>
                <c:pt idx="34">
                  <c:v>-5.6</c:v>
                </c:pt>
                <c:pt idx="35">
                  <c:v>-8</c:v>
                </c:pt>
                <c:pt idx="36">
                  <c:v>-9.8000000000000007</c:v>
                </c:pt>
                <c:pt idx="37">
                  <c:v>-10.8</c:v>
                </c:pt>
                <c:pt idx="38">
                  <c:v>-10.7</c:v>
                </c:pt>
                <c:pt idx="39">
                  <c:v>-9.1</c:v>
                </c:pt>
                <c:pt idx="40">
                  <c:v>-5.9</c:v>
                </c:pt>
                <c:pt idx="41">
                  <c:v>-1.5</c:v>
                </c:pt>
                <c:pt idx="42">
                  <c:v>3.2</c:v>
                </c:pt>
                <c:pt idx="43">
                  <c:v>7.2</c:v>
                </c:pt>
                <c:pt idx="44">
                  <c:v>9.9</c:v>
                </c:pt>
                <c:pt idx="45">
                  <c:v>10.9</c:v>
                </c:pt>
                <c:pt idx="46">
                  <c:v>10.6</c:v>
                </c:pt>
                <c:pt idx="47">
                  <c:v>9.1999999999999993</c:v>
                </c:pt>
                <c:pt idx="48">
                  <c:v>7.2</c:v>
                </c:pt>
                <c:pt idx="49">
                  <c:v>4.8</c:v>
                </c:pt>
                <c:pt idx="50">
                  <c:v>1.8</c:v>
                </c:pt>
                <c:pt idx="51">
                  <c:v>-1.1000000000000001</c:v>
                </c:pt>
                <c:pt idx="52">
                  <c:v>-3.9</c:v>
                </c:pt>
                <c:pt idx="53">
                  <c:v>-6.5</c:v>
                </c:pt>
                <c:pt idx="54">
                  <c:v>-8.8000000000000007</c:v>
                </c:pt>
                <c:pt idx="55">
                  <c:v>-10.3</c:v>
                </c:pt>
                <c:pt idx="56">
                  <c:v>-11</c:v>
                </c:pt>
                <c:pt idx="57">
                  <c:v>-10.3</c:v>
                </c:pt>
                <c:pt idx="58">
                  <c:v>-8.1</c:v>
                </c:pt>
                <c:pt idx="59">
                  <c:v>-4.3</c:v>
                </c:pt>
                <c:pt idx="60">
                  <c:v>0.3</c:v>
                </c:pt>
                <c:pt idx="61">
                  <c:v>4.9000000000000004</c:v>
                </c:pt>
                <c:pt idx="62">
                  <c:v>8.5</c:v>
                </c:pt>
                <c:pt idx="63">
                  <c:v>10.5</c:v>
                </c:pt>
                <c:pt idx="64">
                  <c:v>10.9</c:v>
                </c:pt>
                <c:pt idx="65">
                  <c:v>10.199999999999999</c:v>
                </c:pt>
                <c:pt idx="66">
                  <c:v>8.5</c:v>
                </c:pt>
                <c:pt idx="67">
                  <c:v>6.2</c:v>
                </c:pt>
                <c:pt idx="68">
                  <c:v>3.6</c:v>
                </c:pt>
                <c:pt idx="69">
                  <c:v>0.7</c:v>
                </c:pt>
                <c:pt idx="70">
                  <c:v>-2.2000000000000002</c:v>
                </c:pt>
                <c:pt idx="71">
                  <c:v>-5</c:v>
                </c:pt>
                <c:pt idx="72">
                  <c:v>-7.5</c:v>
                </c:pt>
                <c:pt idx="73">
                  <c:v>-9.5</c:v>
                </c:pt>
                <c:pt idx="74">
                  <c:v>-10.7</c:v>
                </c:pt>
                <c:pt idx="75">
                  <c:v>-10.9</c:v>
                </c:pt>
                <c:pt idx="76">
                  <c:v>-9.6</c:v>
                </c:pt>
                <c:pt idx="77">
                  <c:v>-6.8</c:v>
                </c:pt>
                <c:pt idx="78">
                  <c:v>-2.6</c:v>
                </c:pt>
                <c:pt idx="79">
                  <c:v>2.2000000000000002</c:v>
                </c:pt>
                <c:pt idx="80">
                  <c:v>6.4</c:v>
                </c:pt>
                <c:pt idx="81">
                  <c:v>9.4</c:v>
                </c:pt>
                <c:pt idx="82">
                  <c:v>10.8</c:v>
                </c:pt>
                <c:pt idx="83">
                  <c:v>10.8</c:v>
                </c:pt>
                <c:pt idx="84">
                  <c:v>9.5</c:v>
                </c:pt>
                <c:pt idx="85">
                  <c:v>7.7</c:v>
                </c:pt>
                <c:pt idx="86">
                  <c:v>5.2</c:v>
                </c:pt>
                <c:pt idx="87">
                  <c:v>2.5</c:v>
                </c:pt>
                <c:pt idx="88">
                  <c:v>-0.4</c:v>
                </c:pt>
                <c:pt idx="89">
                  <c:v>-3.3</c:v>
                </c:pt>
                <c:pt idx="90">
                  <c:v>-6</c:v>
                </c:pt>
                <c:pt idx="91">
                  <c:v>-8.3000000000000007</c:v>
                </c:pt>
                <c:pt idx="92">
                  <c:v>-10</c:v>
                </c:pt>
                <c:pt idx="93">
                  <c:v>-10.9</c:v>
                </c:pt>
                <c:pt idx="94">
                  <c:v>-10.6</c:v>
                </c:pt>
                <c:pt idx="95">
                  <c:v>-8.6999999999999993</c:v>
                </c:pt>
                <c:pt idx="96">
                  <c:v>-5.3</c:v>
                </c:pt>
                <c:pt idx="97">
                  <c:v>-0.8</c:v>
                </c:pt>
                <c:pt idx="98">
                  <c:v>3.9</c:v>
                </c:pt>
                <c:pt idx="99">
                  <c:v>7.8</c:v>
                </c:pt>
                <c:pt idx="100">
                  <c:v>10.1</c:v>
                </c:pt>
                <c:pt idx="101">
                  <c:v>10.9</c:v>
                </c:pt>
                <c:pt idx="102">
                  <c:v>10.199999999999999</c:v>
                </c:pt>
                <c:pt idx="103">
                  <c:v>8.5</c:v>
                </c:pt>
                <c:pt idx="104">
                  <c:v>6.2</c:v>
                </c:pt>
                <c:pt idx="105">
                  <c:v>3.6</c:v>
                </c:pt>
                <c:pt idx="106">
                  <c:v>0.7</c:v>
                </c:pt>
                <c:pt idx="107" formatCode="0.0">
                  <c:v>-2.31162</c:v>
                </c:pt>
                <c:pt idx="108" formatCode="0.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C-4F04-A77D-056D6A1D0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646272"/>
        <c:axId val="228656256"/>
      </c:lineChart>
      <c:catAx>
        <c:axId val="22864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562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228656256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462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7853405074809887"/>
          <c:y val="0.36416227797112788"/>
          <c:w val="6.8754838754199035E-2"/>
          <c:h val="0.1329481332275546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Grafik Pengamatan Pasang Surut</a:t>
            </a:r>
            <a:endParaRPr lang="en-US" sz="15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 Pupuk Kaltim,  29/12/2018 - 26/1/2019</a:t>
            </a:r>
          </a:p>
        </c:rich>
      </c:tx>
      <c:layout>
        <c:manualLayout>
          <c:xMode val="edge"/>
          <c:yMode val="edge"/>
          <c:x val="0.30046594175728036"/>
          <c:y val="3.01837270341207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167737183275756E-2"/>
          <c:y val="0.19291381848648492"/>
          <c:w val="0.80036579933600505"/>
          <c:h val="0.60105121678102102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'data asli x100'!$B$8:$B$703</c:f>
              <c:numCache>
                <c:formatCode>m/d/yyyy\ h:mm</c:formatCode>
                <c:ptCount val="696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</c:numCache>
            </c:numRef>
          </c:xVal>
          <c:yVal>
            <c:numRef>
              <c:f>'data asli x100'!$C$8:$C$703</c:f>
              <c:numCache>
                <c:formatCode>0.00</c:formatCode>
                <c:ptCount val="696"/>
                <c:pt idx="0">
                  <c:v>136</c:v>
                </c:pt>
                <c:pt idx="1">
                  <c:v>165.5</c:v>
                </c:pt>
                <c:pt idx="2">
                  <c:v>198.3</c:v>
                </c:pt>
                <c:pt idx="3">
                  <c:v>224.7</c:v>
                </c:pt>
                <c:pt idx="4">
                  <c:v>239</c:v>
                </c:pt>
                <c:pt idx="5">
                  <c:v>243.00000000000003</c:v>
                </c:pt>
                <c:pt idx="6">
                  <c:v>231.70000000000002</c:v>
                </c:pt>
                <c:pt idx="7">
                  <c:v>212.1</c:v>
                </c:pt>
                <c:pt idx="8">
                  <c:v>188.39999999999998</c:v>
                </c:pt>
                <c:pt idx="9">
                  <c:v>163.69999999999999</c:v>
                </c:pt>
                <c:pt idx="10">
                  <c:v>145.4</c:v>
                </c:pt>
                <c:pt idx="11">
                  <c:v>135.4</c:v>
                </c:pt>
                <c:pt idx="12">
                  <c:v>142</c:v>
                </c:pt>
                <c:pt idx="13">
                  <c:v>156.1</c:v>
                </c:pt>
                <c:pt idx="14">
                  <c:v>173.10000000000002</c:v>
                </c:pt>
                <c:pt idx="15">
                  <c:v>188.9</c:v>
                </c:pt>
                <c:pt idx="16">
                  <c:v>194.9</c:v>
                </c:pt>
                <c:pt idx="17">
                  <c:v>190</c:v>
                </c:pt>
                <c:pt idx="18">
                  <c:v>173.3</c:v>
                </c:pt>
                <c:pt idx="19">
                  <c:v>155</c:v>
                </c:pt>
                <c:pt idx="20">
                  <c:v>132.4</c:v>
                </c:pt>
                <c:pt idx="21">
                  <c:v>110.80000000000001</c:v>
                </c:pt>
                <c:pt idx="22">
                  <c:v>96.899999999999991</c:v>
                </c:pt>
                <c:pt idx="23">
                  <c:v>99.1</c:v>
                </c:pt>
                <c:pt idx="24">
                  <c:v>113.79999999999998</c:v>
                </c:pt>
                <c:pt idx="25">
                  <c:v>143.9</c:v>
                </c:pt>
                <c:pt idx="26">
                  <c:v>184.7</c:v>
                </c:pt>
                <c:pt idx="27">
                  <c:v>222.29999999999998</c:v>
                </c:pt>
                <c:pt idx="28">
                  <c:v>249.10000000000002</c:v>
                </c:pt>
                <c:pt idx="29">
                  <c:v>258.10000000000002</c:v>
                </c:pt>
                <c:pt idx="30">
                  <c:v>251.9</c:v>
                </c:pt>
                <c:pt idx="31">
                  <c:v>232.6</c:v>
                </c:pt>
                <c:pt idx="32">
                  <c:v>202.4</c:v>
                </c:pt>
                <c:pt idx="33">
                  <c:v>171.9</c:v>
                </c:pt>
                <c:pt idx="34">
                  <c:v>144.1</c:v>
                </c:pt>
                <c:pt idx="35">
                  <c:v>125.29999999999998</c:v>
                </c:pt>
                <c:pt idx="36">
                  <c:v>123.2</c:v>
                </c:pt>
                <c:pt idx="37">
                  <c:v>133.20000000000002</c:v>
                </c:pt>
                <c:pt idx="38">
                  <c:v>150</c:v>
                </c:pt>
                <c:pt idx="39">
                  <c:v>169.3</c:v>
                </c:pt>
                <c:pt idx="40">
                  <c:v>183.29999999999998</c:v>
                </c:pt>
                <c:pt idx="41">
                  <c:v>184</c:v>
                </c:pt>
                <c:pt idx="42">
                  <c:v>174.2</c:v>
                </c:pt>
                <c:pt idx="43">
                  <c:v>158.29999999999998</c:v>
                </c:pt>
                <c:pt idx="44">
                  <c:v>133.20000000000002</c:v>
                </c:pt>
                <c:pt idx="45">
                  <c:v>106.69999999999999</c:v>
                </c:pt>
                <c:pt idx="46">
                  <c:v>81.3</c:v>
                </c:pt>
                <c:pt idx="47">
                  <c:v>75.400000000000006</c:v>
                </c:pt>
                <c:pt idx="48">
                  <c:v>90.600000000000009</c:v>
                </c:pt>
                <c:pt idx="49">
                  <c:v>123.10000000000001</c:v>
                </c:pt>
                <c:pt idx="50">
                  <c:v>162.69999999999999</c:v>
                </c:pt>
                <c:pt idx="51">
                  <c:v>205.50000000000003</c:v>
                </c:pt>
                <c:pt idx="52">
                  <c:v>245.6</c:v>
                </c:pt>
                <c:pt idx="53">
                  <c:v>271.39999999999998</c:v>
                </c:pt>
                <c:pt idx="54">
                  <c:v>272.8</c:v>
                </c:pt>
                <c:pt idx="55">
                  <c:v>255.20000000000002</c:v>
                </c:pt>
                <c:pt idx="56">
                  <c:v>222.8</c:v>
                </c:pt>
                <c:pt idx="57">
                  <c:v>182.8</c:v>
                </c:pt>
                <c:pt idx="58">
                  <c:v>148.5</c:v>
                </c:pt>
                <c:pt idx="59">
                  <c:v>122</c:v>
                </c:pt>
                <c:pt idx="60">
                  <c:v>113.6</c:v>
                </c:pt>
                <c:pt idx="61">
                  <c:v>123.4</c:v>
                </c:pt>
                <c:pt idx="62">
                  <c:v>143.4</c:v>
                </c:pt>
                <c:pt idx="63">
                  <c:v>164.1</c:v>
                </c:pt>
                <c:pt idx="64">
                  <c:v>177.8</c:v>
                </c:pt>
                <c:pt idx="65">
                  <c:v>182.1</c:v>
                </c:pt>
                <c:pt idx="66">
                  <c:v>178.7</c:v>
                </c:pt>
                <c:pt idx="67">
                  <c:v>162.60000000000002</c:v>
                </c:pt>
                <c:pt idx="68">
                  <c:v>139.9</c:v>
                </c:pt>
                <c:pt idx="69">
                  <c:v>114.6</c:v>
                </c:pt>
                <c:pt idx="70">
                  <c:v>88.5</c:v>
                </c:pt>
                <c:pt idx="71">
                  <c:v>70.199999999999989</c:v>
                </c:pt>
                <c:pt idx="72">
                  <c:v>74.3</c:v>
                </c:pt>
                <c:pt idx="73">
                  <c:v>100.89999999999999</c:v>
                </c:pt>
                <c:pt idx="74">
                  <c:v>139.5</c:v>
                </c:pt>
                <c:pt idx="75">
                  <c:v>188.39999999999998</c:v>
                </c:pt>
                <c:pt idx="76">
                  <c:v>235.2</c:v>
                </c:pt>
                <c:pt idx="77">
                  <c:v>269.60000000000002</c:v>
                </c:pt>
                <c:pt idx="78">
                  <c:v>281.5</c:v>
                </c:pt>
                <c:pt idx="79">
                  <c:v>273.8</c:v>
                </c:pt>
                <c:pt idx="80">
                  <c:v>246</c:v>
                </c:pt>
                <c:pt idx="81">
                  <c:v>202.8</c:v>
                </c:pt>
                <c:pt idx="82">
                  <c:v>165.3</c:v>
                </c:pt>
                <c:pt idx="83">
                  <c:v>134.5</c:v>
                </c:pt>
                <c:pt idx="84">
                  <c:v>118</c:v>
                </c:pt>
                <c:pt idx="85">
                  <c:v>115.19999999999999</c:v>
                </c:pt>
                <c:pt idx="86">
                  <c:v>126.1</c:v>
                </c:pt>
                <c:pt idx="87">
                  <c:v>147</c:v>
                </c:pt>
                <c:pt idx="88">
                  <c:v>166.79999999999998</c:v>
                </c:pt>
                <c:pt idx="89">
                  <c:v>177.1</c:v>
                </c:pt>
                <c:pt idx="90">
                  <c:v>176.5</c:v>
                </c:pt>
                <c:pt idx="91">
                  <c:v>165.3</c:v>
                </c:pt>
                <c:pt idx="92">
                  <c:v>144.4</c:v>
                </c:pt>
                <c:pt idx="93">
                  <c:v>122.6</c:v>
                </c:pt>
                <c:pt idx="94">
                  <c:v>95.6</c:v>
                </c:pt>
                <c:pt idx="95">
                  <c:v>73.8</c:v>
                </c:pt>
                <c:pt idx="96">
                  <c:v>68.7</c:v>
                </c:pt>
                <c:pt idx="97">
                  <c:v>86.4</c:v>
                </c:pt>
                <c:pt idx="98">
                  <c:v>124.6</c:v>
                </c:pt>
                <c:pt idx="99">
                  <c:v>170.1</c:v>
                </c:pt>
                <c:pt idx="100">
                  <c:v>219.3</c:v>
                </c:pt>
                <c:pt idx="101">
                  <c:v>259.5</c:v>
                </c:pt>
                <c:pt idx="102">
                  <c:v>281.8</c:v>
                </c:pt>
                <c:pt idx="103">
                  <c:v>284</c:v>
                </c:pt>
                <c:pt idx="104">
                  <c:v>265.7</c:v>
                </c:pt>
                <c:pt idx="105">
                  <c:v>228.79999999999998</c:v>
                </c:pt>
                <c:pt idx="106">
                  <c:v>188.2</c:v>
                </c:pt>
                <c:pt idx="107">
                  <c:v>151.5</c:v>
                </c:pt>
                <c:pt idx="108">
                  <c:v>127</c:v>
                </c:pt>
                <c:pt idx="109">
                  <c:v>116.9</c:v>
                </c:pt>
                <c:pt idx="110">
                  <c:v>122.50000000000001</c:v>
                </c:pt>
                <c:pt idx="111">
                  <c:v>137.5</c:v>
                </c:pt>
                <c:pt idx="112">
                  <c:v>159.4</c:v>
                </c:pt>
                <c:pt idx="113">
                  <c:v>178.4</c:v>
                </c:pt>
                <c:pt idx="114">
                  <c:v>183.9</c:v>
                </c:pt>
                <c:pt idx="115">
                  <c:v>174.5</c:v>
                </c:pt>
                <c:pt idx="116">
                  <c:v>155.4</c:v>
                </c:pt>
                <c:pt idx="117">
                  <c:v>129.5</c:v>
                </c:pt>
                <c:pt idx="118">
                  <c:v>96.3</c:v>
                </c:pt>
                <c:pt idx="119">
                  <c:v>76.2</c:v>
                </c:pt>
                <c:pt idx="120">
                  <c:v>65.8</c:v>
                </c:pt>
                <c:pt idx="121">
                  <c:v>75</c:v>
                </c:pt>
                <c:pt idx="122">
                  <c:v>106.1</c:v>
                </c:pt>
                <c:pt idx="123">
                  <c:v>149.30000000000001</c:v>
                </c:pt>
                <c:pt idx="124">
                  <c:v>199.9</c:v>
                </c:pt>
                <c:pt idx="125">
                  <c:v>243.5</c:v>
                </c:pt>
                <c:pt idx="126">
                  <c:v>274.5</c:v>
                </c:pt>
                <c:pt idx="127">
                  <c:v>284.60000000000002</c:v>
                </c:pt>
                <c:pt idx="128">
                  <c:v>275.8</c:v>
                </c:pt>
                <c:pt idx="129">
                  <c:v>250.59999999999997</c:v>
                </c:pt>
                <c:pt idx="130">
                  <c:v>212.3</c:v>
                </c:pt>
                <c:pt idx="131">
                  <c:v>174.9</c:v>
                </c:pt>
                <c:pt idx="132">
                  <c:v>142.9</c:v>
                </c:pt>
                <c:pt idx="133">
                  <c:v>126.1</c:v>
                </c:pt>
                <c:pt idx="134">
                  <c:v>123.10000000000001</c:v>
                </c:pt>
                <c:pt idx="135">
                  <c:v>137.20000000000002</c:v>
                </c:pt>
                <c:pt idx="136">
                  <c:v>158.80000000000001</c:v>
                </c:pt>
                <c:pt idx="137">
                  <c:v>176.89999999999998</c:v>
                </c:pt>
                <c:pt idx="138">
                  <c:v>181.29999999999998</c:v>
                </c:pt>
                <c:pt idx="139">
                  <c:v>177.7</c:v>
                </c:pt>
                <c:pt idx="140">
                  <c:v>164.1</c:v>
                </c:pt>
                <c:pt idx="141">
                  <c:v>140.79999999999998</c:v>
                </c:pt>
                <c:pt idx="142">
                  <c:v>115.10000000000001</c:v>
                </c:pt>
                <c:pt idx="143">
                  <c:v>90.4</c:v>
                </c:pt>
                <c:pt idx="144">
                  <c:v>74</c:v>
                </c:pt>
                <c:pt idx="145">
                  <c:v>75.400000000000006</c:v>
                </c:pt>
                <c:pt idx="146">
                  <c:v>94.699999999999989</c:v>
                </c:pt>
                <c:pt idx="147">
                  <c:v>130.5</c:v>
                </c:pt>
                <c:pt idx="148">
                  <c:v>175.4</c:v>
                </c:pt>
                <c:pt idx="149">
                  <c:v>218.5</c:v>
                </c:pt>
                <c:pt idx="150">
                  <c:v>254.70000000000002</c:v>
                </c:pt>
                <c:pt idx="151">
                  <c:v>275.8</c:v>
                </c:pt>
                <c:pt idx="152">
                  <c:v>277.3</c:v>
                </c:pt>
                <c:pt idx="153">
                  <c:v>259.8</c:v>
                </c:pt>
                <c:pt idx="154">
                  <c:v>227.8</c:v>
                </c:pt>
                <c:pt idx="155">
                  <c:v>188.7</c:v>
                </c:pt>
                <c:pt idx="156">
                  <c:v>156.20000000000002</c:v>
                </c:pt>
                <c:pt idx="157">
                  <c:v>134.9</c:v>
                </c:pt>
                <c:pt idx="158">
                  <c:v>128</c:v>
                </c:pt>
                <c:pt idx="159">
                  <c:v>135</c:v>
                </c:pt>
                <c:pt idx="160">
                  <c:v>152.69999999999999</c:v>
                </c:pt>
                <c:pt idx="161">
                  <c:v>168</c:v>
                </c:pt>
                <c:pt idx="162">
                  <c:v>177.89999999999998</c:v>
                </c:pt>
                <c:pt idx="163">
                  <c:v>176.6</c:v>
                </c:pt>
                <c:pt idx="164">
                  <c:v>168.3</c:v>
                </c:pt>
                <c:pt idx="165">
                  <c:v>147.5</c:v>
                </c:pt>
                <c:pt idx="166">
                  <c:v>126.29999999999998</c:v>
                </c:pt>
                <c:pt idx="167">
                  <c:v>102.3</c:v>
                </c:pt>
                <c:pt idx="168">
                  <c:v>79.7</c:v>
                </c:pt>
                <c:pt idx="169">
                  <c:v>73.400000000000006</c:v>
                </c:pt>
                <c:pt idx="170">
                  <c:v>85.7</c:v>
                </c:pt>
                <c:pt idx="171">
                  <c:v>115.99999999999999</c:v>
                </c:pt>
                <c:pt idx="172">
                  <c:v>154</c:v>
                </c:pt>
                <c:pt idx="173">
                  <c:v>198.9</c:v>
                </c:pt>
                <c:pt idx="174">
                  <c:v>235.6</c:v>
                </c:pt>
                <c:pt idx="175">
                  <c:v>259.5</c:v>
                </c:pt>
                <c:pt idx="176">
                  <c:v>268.89999999999998</c:v>
                </c:pt>
                <c:pt idx="177">
                  <c:v>258.59999999999997</c:v>
                </c:pt>
                <c:pt idx="178">
                  <c:v>233.9</c:v>
                </c:pt>
                <c:pt idx="179">
                  <c:v>199.10000000000002</c:v>
                </c:pt>
                <c:pt idx="180">
                  <c:v>169.79999999999998</c:v>
                </c:pt>
                <c:pt idx="181">
                  <c:v>143.55000000000001</c:v>
                </c:pt>
                <c:pt idx="182">
                  <c:v>131.9</c:v>
                </c:pt>
                <c:pt idx="183">
                  <c:v>130.4</c:v>
                </c:pt>
                <c:pt idx="184">
                  <c:v>142.1</c:v>
                </c:pt>
                <c:pt idx="185">
                  <c:v>159.4</c:v>
                </c:pt>
                <c:pt idx="186">
                  <c:v>174.8</c:v>
                </c:pt>
                <c:pt idx="187">
                  <c:v>182</c:v>
                </c:pt>
                <c:pt idx="188">
                  <c:v>177.1</c:v>
                </c:pt>
                <c:pt idx="189">
                  <c:v>158.80000000000001</c:v>
                </c:pt>
                <c:pt idx="190">
                  <c:v>136</c:v>
                </c:pt>
                <c:pt idx="191">
                  <c:v>112.4</c:v>
                </c:pt>
                <c:pt idx="192">
                  <c:v>90.5</c:v>
                </c:pt>
                <c:pt idx="193">
                  <c:v>78.600000000000009</c:v>
                </c:pt>
                <c:pt idx="194">
                  <c:v>84.5</c:v>
                </c:pt>
                <c:pt idx="195">
                  <c:v>107</c:v>
                </c:pt>
                <c:pt idx="196">
                  <c:v>141.30000000000001</c:v>
                </c:pt>
                <c:pt idx="197">
                  <c:v>179.20000000000002</c:v>
                </c:pt>
                <c:pt idx="198">
                  <c:v>217.89999999999998</c:v>
                </c:pt>
                <c:pt idx="199">
                  <c:v>244.20000000000002</c:v>
                </c:pt>
                <c:pt idx="200">
                  <c:v>256.3</c:v>
                </c:pt>
                <c:pt idx="201">
                  <c:v>255.20000000000002</c:v>
                </c:pt>
                <c:pt idx="202">
                  <c:v>240.60000000000002</c:v>
                </c:pt>
                <c:pt idx="203">
                  <c:v>211.50000000000003</c:v>
                </c:pt>
                <c:pt idx="204">
                  <c:v>180.5</c:v>
                </c:pt>
                <c:pt idx="205">
                  <c:v>156.4</c:v>
                </c:pt>
                <c:pt idx="206">
                  <c:v>143.9</c:v>
                </c:pt>
                <c:pt idx="207">
                  <c:v>140.79999999999998</c:v>
                </c:pt>
                <c:pt idx="208">
                  <c:v>147.9</c:v>
                </c:pt>
                <c:pt idx="209">
                  <c:v>159.30000000000001</c:v>
                </c:pt>
                <c:pt idx="210">
                  <c:v>172.10000000000002</c:v>
                </c:pt>
                <c:pt idx="211">
                  <c:v>180.8</c:v>
                </c:pt>
                <c:pt idx="212">
                  <c:v>180.5</c:v>
                </c:pt>
                <c:pt idx="213">
                  <c:v>166.70000000000002</c:v>
                </c:pt>
                <c:pt idx="214">
                  <c:v>146</c:v>
                </c:pt>
                <c:pt idx="215">
                  <c:v>125.4</c:v>
                </c:pt>
                <c:pt idx="216">
                  <c:v>104.69999999999999</c:v>
                </c:pt>
                <c:pt idx="217">
                  <c:v>90.600000000000009</c:v>
                </c:pt>
                <c:pt idx="218">
                  <c:v>87.1</c:v>
                </c:pt>
                <c:pt idx="219">
                  <c:v>102.4</c:v>
                </c:pt>
                <c:pt idx="220">
                  <c:v>131.4</c:v>
                </c:pt>
                <c:pt idx="221">
                  <c:v>166.79999999999998</c:v>
                </c:pt>
                <c:pt idx="222">
                  <c:v>199.3</c:v>
                </c:pt>
                <c:pt idx="223">
                  <c:v>225</c:v>
                </c:pt>
                <c:pt idx="224">
                  <c:v>240.20000000000002</c:v>
                </c:pt>
                <c:pt idx="225">
                  <c:v>242.20000000000002</c:v>
                </c:pt>
                <c:pt idx="226">
                  <c:v>235.70000000000002</c:v>
                </c:pt>
                <c:pt idx="227">
                  <c:v>218.29999999999998</c:v>
                </c:pt>
                <c:pt idx="228">
                  <c:v>192.3</c:v>
                </c:pt>
                <c:pt idx="229">
                  <c:v>170.5</c:v>
                </c:pt>
                <c:pt idx="230">
                  <c:v>155.6</c:v>
                </c:pt>
                <c:pt idx="231">
                  <c:v>147.30000000000001</c:v>
                </c:pt>
                <c:pt idx="232">
                  <c:v>147.9</c:v>
                </c:pt>
                <c:pt idx="233">
                  <c:v>157.29999999999998</c:v>
                </c:pt>
                <c:pt idx="234">
                  <c:v>167.3</c:v>
                </c:pt>
                <c:pt idx="235">
                  <c:v>178.9</c:v>
                </c:pt>
                <c:pt idx="236">
                  <c:v>183.20000000000002</c:v>
                </c:pt>
                <c:pt idx="237">
                  <c:v>175.5</c:v>
                </c:pt>
                <c:pt idx="238">
                  <c:v>155.6</c:v>
                </c:pt>
                <c:pt idx="239">
                  <c:v>137.5</c:v>
                </c:pt>
                <c:pt idx="240">
                  <c:v>119.7</c:v>
                </c:pt>
                <c:pt idx="241">
                  <c:v>105.80000000000001</c:v>
                </c:pt>
                <c:pt idx="242">
                  <c:v>102.8</c:v>
                </c:pt>
                <c:pt idx="243">
                  <c:v>110.00000000000001</c:v>
                </c:pt>
                <c:pt idx="244">
                  <c:v>130.69999999999999</c:v>
                </c:pt>
                <c:pt idx="245">
                  <c:v>159.30000000000001</c:v>
                </c:pt>
                <c:pt idx="246">
                  <c:v>188.6</c:v>
                </c:pt>
                <c:pt idx="247">
                  <c:v>209.60000000000002</c:v>
                </c:pt>
                <c:pt idx="248">
                  <c:v>224.10000000000002</c:v>
                </c:pt>
                <c:pt idx="249">
                  <c:v>230.29999999999998</c:v>
                </c:pt>
                <c:pt idx="250">
                  <c:v>224.7</c:v>
                </c:pt>
                <c:pt idx="251">
                  <c:v>212.4</c:v>
                </c:pt>
                <c:pt idx="252">
                  <c:v>198.6</c:v>
                </c:pt>
                <c:pt idx="253">
                  <c:v>180.8</c:v>
                </c:pt>
                <c:pt idx="254">
                  <c:v>162.9</c:v>
                </c:pt>
                <c:pt idx="255">
                  <c:v>153.5</c:v>
                </c:pt>
                <c:pt idx="256">
                  <c:v>150.19999999999999</c:v>
                </c:pt>
                <c:pt idx="257">
                  <c:v>151.10000000000002</c:v>
                </c:pt>
                <c:pt idx="258">
                  <c:v>159.5</c:v>
                </c:pt>
                <c:pt idx="259">
                  <c:v>172.4</c:v>
                </c:pt>
                <c:pt idx="260">
                  <c:v>179.6</c:v>
                </c:pt>
                <c:pt idx="261">
                  <c:v>176.6</c:v>
                </c:pt>
                <c:pt idx="262">
                  <c:v>164</c:v>
                </c:pt>
                <c:pt idx="263">
                  <c:v>149.5</c:v>
                </c:pt>
                <c:pt idx="264">
                  <c:v>137.30000000000001</c:v>
                </c:pt>
                <c:pt idx="265">
                  <c:v>127.1</c:v>
                </c:pt>
                <c:pt idx="266">
                  <c:v>123.4</c:v>
                </c:pt>
                <c:pt idx="267">
                  <c:v>127.3</c:v>
                </c:pt>
                <c:pt idx="268">
                  <c:v>135.20000000000002</c:v>
                </c:pt>
                <c:pt idx="269">
                  <c:v>152.6</c:v>
                </c:pt>
                <c:pt idx="270">
                  <c:v>173.9</c:v>
                </c:pt>
                <c:pt idx="271">
                  <c:v>190.5</c:v>
                </c:pt>
                <c:pt idx="272">
                  <c:v>203.9</c:v>
                </c:pt>
                <c:pt idx="273">
                  <c:v>208.70000000000002</c:v>
                </c:pt>
                <c:pt idx="274">
                  <c:v>207.7</c:v>
                </c:pt>
                <c:pt idx="275">
                  <c:v>203.6</c:v>
                </c:pt>
                <c:pt idx="276">
                  <c:v>197.6</c:v>
                </c:pt>
                <c:pt idx="277">
                  <c:v>187.3</c:v>
                </c:pt>
                <c:pt idx="278">
                  <c:v>176.5</c:v>
                </c:pt>
                <c:pt idx="279">
                  <c:v>163.19999999999999</c:v>
                </c:pt>
                <c:pt idx="280">
                  <c:v>157.80000000000001</c:v>
                </c:pt>
                <c:pt idx="281">
                  <c:v>153.80000000000001</c:v>
                </c:pt>
                <c:pt idx="282">
                  <c:v>154.4</c:v>
                </c:pt>
                <c:pt idx="283">
                  <c:v>162.1</c:v>
                </c:pt>
                <c:pt idx="284">
                  <c:v>170.4</c:v>
                </c:pt>
                <c:pt idx="285">
                  <c:v>172.10000000000002</c:v>
                </c:pt>
                <c:pt idx="286">
                  <c:v>169.3</c:v>
                </c:pt>
                <c:pt idx="287">
                  <c:v>161</c:v>
                </c:pt>
                <c:pt idx="288">
                  <c:v>149.6</c:v>
                </c:pt>
                <c:pt idx="289">
                  <c:v>143.70000000000002</c:v>
                </c:pt>
                <c:pt idx="290">
                  <c:v>143.1</c:v>
                </c:pt>
                <c:pt idx="291">
                  <c:v>146.6</c:v>
                </c:pt>
                <c:pt idx="292">
                  <c:v>153.9</c:v>
                </c:pt>
                <c:pt idx="293">
                  <c:v>163.6</c:v>
                </c:pt>
                <c:pt idx="294">
                  <c:v>170.70000000000002</c:v>
                </c:pt>
                <c:pt idx="295">
                  <c:v>179.7</c:v>
                </c:pt>
                <c:pt idx="296">
                  <c:v>184.3</c:v>
                </c:pt>
                <c:pt idx="297">
                  <c:v>187.4</c:v>
                </c:pt>
                <c:pt idx="298">
                  <c:v>189.9</c:v>
                </c:pt>
                <c:pt idx="299">
                  <c:v>192.4</c:v>
                </c:pt>
                <c:pt idx="300">
                  <c:v>189.39999999999998</c:v>
                </c:pt>
                <c:pt idx="301">
                  <c:v>183.5</c:v>
                </c:pt>
                <c:pt idx="302">
                  <c:v>178.9</c:v>
                </c:pt>
                <c:pt idx="303">
                  <c:v>167.4</c:v>
                </c:pt>
                <c:pt idx="304">
                  <c:v>157.6</c:v>
                </c:pt>
                <c:pt idx="305">
                  <c:v>150.89999999999998</c:v>
                </c:pt>
                <c:pt idx="306">
                  <c:v>146.80000000000001</c:v>
                </c:pt>
                <c:pt idx="307">
                  <c:v>148.4</c:v>
                </c:pt>
                <c:pt idx="308">
                  <c:v>152.69999999999999</c:v>
                </c:pt>
                <c:pt idx="309">
                  <c:v>154.4</c:v>
                </c:pt>
                <c:pt idx="310">
                  <c:v>158.4</c:v>
                </c:pt>
                <c:pt idx="311">
                  <c:v>156.9</c:v>
                </c:pt>
                <c:pt idx="312">
                  <c:v>162</c:v>
                </c:pt>
                <c:pt idx="313">
                  <c:v>167.6</c:v>
                </c:pt>
                <c:pt idx="314">
                  <c:v>166.9</c:v>
                </c:pt>
                <c:pt idx="315">
                  <c:v>169.9</c:v>
                </c:pt>
                <c:pt idx="316">
                  <c:v>171.4</c:v>
                </c:pt>
                <c:pt idx="317">
                  <c:v>171.4</c:v>
                </c:pt>
                <c:pt idx="318">
                  <c:v>171.2</c:v>
                </c:pt>
                <c:pt idx="319">
                  <c:v>173</c:v>
                </c:pt>
                <c:pt idx="320">
                  <c:v>175.2</c:v>
                </c:pt>
                <c:pt idx="321">
                  <c:v>172.3</c:v>
                </c:pt>
                <c:pt idx="322">
                  <c:v>171.5</c:v>
                </c:pt>
                <c:pt idx="323">
                  <c:v>173.9</c:v>
                </c:pt>
                <c:pt idx="324">
                  <c:v>178.5</c:v>
                </c:pt>
                <c:pt idx="325">
                  <c:v>182.20000000000002</c:v>
                </c:pt>
                <c:pt idx="326">
                  <c:v>182.29999999999998</c:v>
                </c:pt>
                <c:pt idx="327">
                  <c:v>176.6</c:v>
                </c:pt>
                <c:pt idx="328">
                  <c:v>168.4</c:v>
                </c:pt>
                <c:pt idx="329">
                  <c:v>154.80000000000001</c:v>
                </c:pt>
                <c:pt idx="330">
                  <c:v>142.19999999999999</c:v>
                </c:pt>
                <c:pt idx="331">
                  <c:v>136.5</c:v>
                </c:pt>
                <c:pt idx="332">
                  <c:v>137.30000000000001</c:v>
                </c:pt>
                <c:pt idx="333">
                  <c:v>139.30000000000001</c:v>
                </c:pt>
                <c:pt idx="334">
                  <c:v>145.79999999999998</c:v>
                </c:pt>
                <c:pt idx="335">
                  <c:v>156.1</c:v>
                </c:pt>
                <c:pt idx="336">
                  <c:v>169.6</c:v>
                </c:pt>
                <c:pt idx="337">
                  <c:v>181.6</c:v>
                </c:pt>
                <c:pt idx="338">
                  <c:v>190.3</c:v>
                </c:pt>
                <c:pt idx="339">
                  <c:v>196.8</c:v>
                </c:pt>
                <c:pt idx="340">
                  <c:v>201.2</c:v>
                </c:pt>
                <c:pt idx="341">
                  <c:v>200</c:v>
                </c:pt>
                <c:pt idx="342">
                  <c:v>191.3</c:v>
                </c:pt>
                <c:pt idx="343">
                  <c:v>182</c:v>
                </c:pt>
                <c:pt idx="344">
                  <c:v>172.2</c:v>
                </c:pt>
                <c:pt idx="345">
                  <c:v>164.79999999999998</c:v>
                </c:pt>
                <c:pt idx="346">
                  <c:v>160</c:v>
                </c:pt>
                <c:pt idx="347">
                  <c:v>158.1</c:v>
                </c:pt>
                <c:pt idx="348">
                  <c:v>160.80000000000001</c:v>
                </c:pt>
                <c:pt idx="349">
                  <c:v>166.4</c:v>
                </c:pt>
                <c:pt idx="350">
                  <c:v>174.3</c:v>
                </c:pt>
                <c:pt idx="351">
                  <c:v>178</c:v>
                </c:pt>
                <c:pt idx="352">
                  <c:v>171.8</c:v>
                </c:pt>
                <c:pt idx="353">
                  <c:v>161.69999999999999</c:v>
                </c:pt>
                <c:pt idx="354">
                  <c:v>149.30000000000001</c:v>
                </c:pt>
                <c:pt idx="355">
                  <c:v>136.80000000000001</c:v>
                </c:pt>
                <c:pt idx="356">
                  <c:v>124.30000000000001</c:v>
                </c:pt>
                <c:pt idx="357">
                  <c:v>119.8</c:v>
                </c:pt>
                <c:pt idx="358">
                  <c:v>123.8</c:v>
                </c:pt>
                <c:pt idx="359">
                  <c:v>138.79999999999998</c:v>
                </c:pt>
                <c:pt idx="360">
                  <c:v>159.20000000000002</c:v>
                </c:pt>
                <c:pt idx="361">
                  <c:v>181.9</c:v>
                </c:pt>
                <c:pt idx="362">
                  <c:v>204.8</c:v>
                </c:pt>
                <c:pt idx="363">
                  <c:v>223.8</c:v>
                </c:pt>
                <c:pt idx="364">
                  <c:v>234.79999999999998</c:v>
                </c:pt>
                <c:pt idx="365">
                  <c:v>230.9</c:v>
                </c:pt>
                <c:pt idx="366">
                  <c:v>220.00000000000003</c:v>
                </c:pt>
                <c:pt idx="367">
                  <c:v>200.89999999999998</c:v>
                </c:pt>
                <c:pt idx="368">
                  <c:v>179.7</c:v>
                </c:pt>
                <c:pt idx="369">
                  <c:v>161</c:v>
                </c:pt>
                <c:pt idx="370">
                  <c:v>148</c:v>
                </c:pt>
                <c:pt idx="371">
                  <c:v>140</c:v>
                </c:pt>
                <c:pt idx="372">
                  <c:v>145.4</c:v>
                </c:pt>
                <c:pt idx="373">
                  <c:v>151.6</c:v>
                </c:pt>
                <c:pt idx="374">
                  <c:v>160.69999999999999</c:v>
                </c:pt>
                <c:pt idx="375">
                  <c:v>169</c:v>
                </c:pt>
                <c:pt idx="376">
                  <c:v>169</c:v>
                </c:pt>
                <c:pt idx="377">
                  <c:v>161.9</c:v>
                </c:pt>
                <c:pt idx="378">
                  <c:v>147.19999999999999</c:v>
                </c:pt>
                <c:pt idx="379">
                  <c:v>130.1</c:v>
                </c:pt>
                <c:pt idx="380">
                  <c:v>112.6</c:v>
                </c:pt>
                <c:pt idx="381">
                  <c:v>102.49999999999999</c:v>
                </c:pt>
                <c:pt idx="382">
                  <c:v>102.8</c:v>
                </c:pt>
                <c:pt idx="383">
                  <c:v>115.3</c:v>
                </c:pt>
                <c:pt idx="384">
                  <c:v>140.9</c:v>
                </c:pt>
                <c:pt idx="385">
                  <c:v>171.4</c:v>
                </c:pt>
                <c:pt idx="386">
                  <c:v>202.59999999999997</c:v>
                </c:pt>
                <c:pt idx="387">
                  <c:v>231.5</c:v>
                </c:pt>
                <c:pt idx="388">
                  <c:v>252.1</c:v>
                </c:pt>
                <c:pt idx="389">
                  <c:v>259.7</c:v>
                </c:pt>
                <c:pt idx="390">
                  <c:v>254.5</c:v>
                </c:pt>
                <c:pt idx="391">
                  <c:v>233.8</c:v>
                </c:pt>
                <c:pt idx="392">
                  <c:v>206.1</c:v>
                </c:pt>
                <c:pt idx="393">
                  <c:v>175.6</c:v>
                </c:pt>
                <c:pt idx="394">
                  <c:v>152.6</c:v>
                </c:pt>
                <c:pt idx="395">
                  <c:v>137.5</c:v>
                </c:pt>
                <c:pt idx="396">
                  <c:v>133.69999999999999</c:v>
                </c:pt>
                <c:pt idx="397">
                  <c:v>140.9</c:v>
                </c:pt>
                <c:pt idx="398">
                  <c:v>151.89999999999998</c:v>
                </c:pt>
                <c:pt idx="399">
                  <c:v>161.30000000000001</c:v>
                </c:pt>
                <c:pt idx="400">
                  <c:v>165</c:v>
                </c:pt>
                <c:pt idx="401">
                  <c:v>159.60000000000002</c:v>
                </c:pt>
                <c:pt idx="402">
                  <c:v>147.19999999999999</c:v>
                </c:pt>
                <c:pt idx="403">
                  <c:v>130.80000000000001</c:v>
                </c:pt>
                <c:pt idx="404">
                  <c:v>112.6</c:v>
                </c:pt>
                <c:pt idx="405">
                  <c:v>94.399999999999991</c:v>
                </c:pt>
                <c:pt idx="406">
                  <c:v>88.4</c:v>
                </c:pt>
                <c:pt idx="407">
                  <c:v>93.600000000000009</c:v>
                </c:pt>
                <c:pt idx="408">
                  <c:v>115.9</c:v>
                </c:pt>
                <c:pt idx="409">
                  <c:v>149</c:v>
                </c:pt>
                <c:pt idx="410">
                  <c:v>187.1</c:v>
                </c:pt>
                <c:pt idx="411">
                  <c:v>225.70000000000002</c:v>
                </c:pt>
                <c:pt idx="412">
                  <c:v>255.39999999999998</c:v>
                </c:pt>
                <c:pt idx="413">
                  <c:v>273</c:v>
                </c:pt>
                <c:pt idx="414">
                  <c:v>274.7</c:v>
                </c:pt>
                <c:pt idx="415">
                  <c:v>259.8</c:v>
                </c:pt>
                <c:pt idx="416">
                  <c:v>231.9</c:v>
                </c:pt>
                <c:pt idx="417">
                  <c:v>199</c:v>
                </c:pt>
                <c:pt idx="418">
                  <c:v>169.2</c:v>
                </c:pt>
                <c:pt idx="419">
                  <c:v>142.19999999999999</c:v>
                </c:pt>
                <c:pt idx="420">
                  <c:v>129.69999999999999</c:v>
                </c:pt>
                <c:pt idx="421">
                  <c:v>129</c:v>
                </c:pt>
                <c:pt idx="422">
                  <c:v>138.6</c:v>
                </c:pt>
                <c:pt idx="423">
                  <c:v>149.70000000000002</c:v>
                </c:pt>
                <c:pt idx="424">
                  <c:v>157.80000000000001</c:v>
                </c:pt>
                <c:pt idx="425">
                  <c:v>157.5</c:v>
                </c:pt>
                <c:pt idx="426">
                  <c:v>146.9</c:v>
                </c:pt>
                <c:pt idx="427">
                  <c:v>131.9</c:v>
                </c:pt>
                <c:pt idx="428">
                  <c:v>113.39999999999999</c:v>
                </c:pt>
                <c:pt idx="429">
                  <c:v>94.699999999999989</c:v>
                </c:pt>
                <c:pt idx="430">
                  <c:v>78.100000000000009</c:v>
                </c:pt>
                <c:pt idx="431">
                  <c:v>74.8</c:v>
                </c:pt>
                <c:pt idx="432">
                  <c:v>88.9</c:v>
                </c:pt>
                <c:pt idx="433">
                  <c:v>119.39999999999999</c:v>
                </c:pt>
                <c:pt idx="434">
                  <c:v>161.4</c:v>
                </c:pt>
                <c:pt idx="435">
                  <c:v>208.9</c:v>
                </c:pt>
                <c:pt idx="436">
                  <c:v>247.40000000000003</c:v>
                </c:pt>
                <c:pt idx="437">
                  <c:v>276.90000000000003</c:v>
                </c:pt>
                <c:pt idx="438">
                  <c:v>288</c:v>
                </c:pt>
                <c:pt idx="439">
                  <c:v>281.2</c:v>
                </c:pt>
                <c:pt idx="440">
                  <c:v>256.8</c:v>
                </c:pt>
                <c:pt idx="441">
                  <c:v>222.5</c:v>
                </c:pt>
                <c:pt idx="442">
                  <c:v>190.39999999999998</c:v>
                </c:pt>
                <c:pt idx="443">
                  <c:v>158.5</c:v>
                </c:pt>
                <c:pt idx="444">
                  <c:v>138.1</c:v>
                </c:pt>
                <c:pt idx="445">
                  <c:v>128.1</c:v>
                </c:pt>
                <c:pt idx="446">
                  <c:v>129.5</c:v>
                </c:pt>
                <c:pt idx="447">
                  <c:v>142.5</c:v>
                </c:pt>
                <c:pt idx="448">
                  <c:v>149.19999999999999</c:v>
                </c:pt>
                <c:pt idx="449">
                  <c:v>155.9</c:v>
                </c:pt>
                <c:pt idx="450">
                  <c:v>151.1</c:v>
                </c:pt>
                <c:pt idx="451">
                  <c:v>136.80000000000001</c:v>
                </c:pt>
                <c:pt idx="452">
                  <c:v>119</c:v>
                </c:pt>
                <c:pt idx="453">
                  <c:v>100.1</c:v>
                </c:pt>
                <c:pt idx="454">
                  <c:v>83</c:v>
                </c:pt>
                <c:pt idx="455">
                  <c:v>65.3</c:v>
                </c:pt>
                <c:pt idx="456">
                  <c:v>65.2</c:v>
                </c:pt>
                <c:pt idx="457">
                  <c:v>86.8</c:v>
                </c:pt>
                <c:pt idx="458">
                  <c:v>125.2</c:v>
                </c:pt>
                <c:pt idx="459">
                  <c:v>174.8</c:v>
                </c:pt>
                <c:pt idx="460">
                  <c:v>225.89999999999998</c:v>
                </c:pt>
                <c:pt idx="461">
                  <c:v>264.5</c:v>
                </c:pt>
                <c:pt idx="462">
                  <c:v>287</c:v>
                </c:pt>
                <c:pt idx="463">
                  <c:v>288.89999999999998</c:v>
                </c:pt>
                <c:pt idx="464">
                  <c:v>271.09999999999997</c:v>
                </c:pt>
                <c:pt idx="465">
                  <c:v>242.20000000000002</c:v>
                </c:pt>
                <c:pt idx="466">
                  <c:v>210.8</c:v>
                </c:pt>
                <c:pt idx="467">
                  <c:v>178.5</c:v>
                </c:pt>
                <c:pt idx="468">
                  <c:v>155</c:v>
                </c:pt>
                <c:pt idx="469">
                  <c:v>138.19999999999999</c:v>
                </c:pt>
                <c:pt idx="470">
                  <c:v>132.5</c:v>
                </c:pt>
                <c:pt idx="471">
                  <c:v>138.5</c:v>
                </c:pt>
                <c:pt idx="472">
                  <c:v>149.80000000000001</c:v>
                </c:pt>
                <c:pt idx="473">
                  <c:v>157.69999999999999</c:v>
                </c:pt>
                <c:pt idx="474">
                  <c:v>158.4</c:v>
                </c:pt>
                <c:pt idx="475">
                  <c:v>147.5</c:v>
                </c:pt>
                <c:pt idx="476">
                  <c:v>129.5</c:v>
                </c:pt>
                <c:pt idx="477">
                  <c:v>105.4</c:v>
                </c:pt>
                <c:pt idx="478">
                  <c:v>80.800000000000011</c:v>
                </c:pt>
                <c:pt idx="479">
                  <c:v>62.6</c:v>
                </c:pt>
                <c:pt idx="480">
                  <c:v>56.000000000000007</c:v>
                </c:pt>
                <c:pt idx="481">
                  <c:v>68.5</c:v>
                </c:pt>
                <c:pt idx="482">
                  <c:v>95.8</c:v>
                </c:pt>
                <c:pt idx="483">
                  <c:v>142.6</c:v>
                </c:pt>
                <c:pt idx="484">
                  <c:v>192.1</c:v>
                </c:pt>
                <c:pt idx="485">
                  <c:v>237.5</c:v>
                </c:pt>
                <c:pt idx="486">
                  <c:v>272.5</c:v>
                </c:pt>
                <c:pt idx="487">
                  <c:v>286.2</c:v>
                </c:pt>
                <c:pt idx="488">
                  <c:v>281.5</c:v>
                </c:pt>
                <c:pt idx="489">
                  <c:v>261</c:v>
                </c:pt>
                <c:pt idx="490">
                  <c:v>227.3</c:v>
                </c:pt>
                <c:pt idx="491">
                  <c:v>195.79999999999998</c:v>
                </c:pt>
                <c:pt idx="492">
                  <c:v>171</c:v>
                </c:pt>
                <c:pt idx="493">
                  <c:v>152.4</c:v>
                </c:pt>
                <c:pt idx="494">
                  <c:v>141.9</c:v>
                </c:pt>
                <c:pt idx="495">
                  <c:v>139</c:v>
                </c:pt>
                <c:pt idx="496">
                  <c:v>150.5</c:v>
                </c:pt>
                <c:pt idx="497">
                  <c:v>161.4</c:v>
                </c:pt>
                <c:pt idx="498">
                  <c:v>168.70000000000002</c:v>
                </c:pt>
                <c:pt idx="499">
                  <c:v>162.1</c:v>
                </c:pt>
                <c:pt idx="500">
                  <c:v>150.5</c:v>
                </c:pt>
                <c:pt idx="501">
                  <c:v>125.4</c:v>
                </c:pt>
                <c:pt idx="502">
                  <c:v>101.2</c:v>
                </c:pt>
                <c:pt idx="503">
                  <c:v>81.5</c:v>
                </c:pt>
                <c:pt idx="504">
                  <c:v>68.8</c:v>
                </c:pt>
                <c:pt idx="505">
                  <c:v>61.5</c:v>
                </c:pt>
                <c:pt idx="506">
                  <c:v>77.8</c:v>
                </c:pt>
                <c:pt idx="507">
                  <c:v>111.00000000000001</c:v>
                </c:pt>
                <c:pt idx="508">
                  <c:v>159.69999999999999</c:v>
                </c:pt>
                <c:pt idx="509">
                  <c:v>208.5</c:v>
                </c:pt>
                <c:pt idx="510">
                  <c:v>246.60000000000002</c:v>
                </c:pt>
                <c:pt idx="511">
                  <c:v>268.5</c:v>
                </c:pt>
                <c:pt idx="512">
                  <c:v>270.40000000000003</c:v>
                </c:pt>
                <c:pt idx="513">
                  <c:v>264.8</c:v>
                </c:pt>
                <c:pt idx="514">
                  <c:v>242.70000000000002</c:v>
                </c:pt>
                <c:pt idx="515">
                  <c:v>208.1</c:v>
                </c:pt>
                <c:pt idx="516">
                  <c:v>178.9</c:v>
                </c:pt>
                <c:pt idx="517">
                  <c:v>162.79999999999998</c:v>
                </c:pt>
                <c:pt idx="518">
                  <c:v>146.69999999999999</c:v>
                </c:pt>
                <c:pt idx="519">
                  <c:v>144.5</c:v>
                </c:pt>
                <c:pt idx="520">
                  <c:v>151.5</c:v>
                </c:pt>
                <c:pt idx="521">
                  <c:v>162.20000000000002</c:v>
                </c:pt>
                <c:pt idx="522">
                  <c:v>171.2</c:v>
                </c:pt>
                <c:pt idx="523">
                  <c:v>173.4</c:v>
                </c:pt>
                <c:pt idx="524">
                  <c:v>165.79999999999998</c:v>
                </c:pt>
                <c:pt idx="525">
                  <c:v>150</c:v>
                </c:pt>
                <c:pt idx="526">
                  <c:v>129.1</c:v>
                </c:pt>
                <c:pt idx="527">
                  <c:v>105.80000000000001</c:v>
                </c:pt>
                <c:pt idx="528">
                  <c:v>83.399999999999991</c:v>
                </c:pt>
                <c:pt idx="529">
                  <c:v>71.2</c:v>
                </c:pt>
                <c:pt idx="530">
                  <c:v>72.8</c:v>
                </c:pt>
                <c:pt idx="531">
                  <c:v>91</c:v>
                </c:pt>
                <c:pt idx="532">
                  <c:v>126.8</c:v>
                </c:pt>
                <c:pt idx="533">
                  <c:v>176.5</c:v>
                </c:pt>
                <c:pt idx="534">
                  <c:v>219.70000000000002</c:v>
                </c:pt>
                <c:pt idx="535">
                  <c:v>253.2</c:v>
                </c:pt>
                <c:pt idx="536">
                  <c:v>264.2</c:v>
                </c:pt>
                <c:pt idx="537">
                  <c:v>258</c:v>
                </c:pt>
                <c:pt idx="538">
                  <c:v>244.3</c:v>
                </c:pt>
                <c:pt idx="539">
                  <c:v>217.1</c:v>
                </c:pt>
                <c:pt idx="540">
                  <c:v>189.7</c:v>
                </c:pt>
                <c:pt idx="541">
                  <c:v>165.6</c:v>
                </c:pt>
                <c:pt idx="542">
                  <c:v>147.9</c:v>
                </c:pt>
                <c:pt idx="543">
                  <c:v>140.5</c:v>
                </c:pt>
                <c:pt idx="544">
                  <c:v>146.70000000000002</c:v>
                </c:pt>
                <c:pt idx="545">
                  <c:v>160.80000000000001</c:v>
                </c:pt>
                <c:pt idx="546">
                  <c:v>174.70000000000002</c:v>
                </c:pt>
                <c:pt idx="547">
                  <c:v>182.4</c:v>
                </c:pt>
                <c:pt idx="548">
                  <c:v>182.1</c:v>
                </c:pt>
                <c:pt idx="549">
                  <c:v>168.3</c:v>
                </c:pt>
                <c:pt idx="550">
                  <c:v>148.5</c:v>
                </c:pt>
                <c:pt idx="551">
                  <c:v>128.69999999999999</c:v>
                </c:pt>
                <c:pt idx="552">
                  <c:v>111.80000000000001</c:v>
                </c:pt>
                <c:pt idx="553">
                  <c:v>93.899999999999991</c:v>
                </c:pt>
                <c:pt idx="554">
                  <c:v>89.2</c:v>
                </c:pt>
                <c:pt idx="555">
                  <c:v>97.3</c:v>
                </c:pt>
                <c:pt idx="556">
                  <c:v>118.6</c:v>
                </c:pt>
                <c:pt idx="557">
                  <c:v>152.4</c:v>
                </c:pt>
                <c:pt idx="558">
                  <c:v>195.9</c:v>
                </c:pt>
                <c:pt idx="559">
                  <c:v>232.10000000000002</c:v>
                </c:pt>
                <c:pt idx="560">
                  <c:v>250.4</c:v>
                </c:pt>
                <c:pt idx="561">
                  <c:v>250.1</c:v>
                </c:pt>
                <c:pt idx="562">
                  <c:v>241.1</c:v>
                </c:pt>
                <c:pt idx="563">
                  <c:v>223.8</c:v>
                </c:pt>
                <c:pt idx="564">
                  <c:v>199.8</c:v>
                </c:pt>
                <c:pt idx="565">
                  <c:v>176.6</c:v>
                </c:pt>
                <c:pt idx="566">
                  <c:v>155</c:v>
                </c:pt>
                <c:pt idx="567">
                  <c:v>140.69999999999999</c:v>
                </c:pt>
                <c:pt idx="568">
                  <c:v>141.4</c:v>
                </c:pt>
                <c:pt idx="569">
                  <c:v>154.5</c:v>
                </c:pt>
                <c:pt idx="570">
                  <c:v>170</c:v>
                </c:pt>
                <c:pt idx="571">
                  <c:v>181.7</c:v>
                </c:pt>
                <c:pt idx="572">
                  <c:v>188.1</c:v>
                </c:pt>
                <c:pt idx="573">
                  <c:v>184.4</c:v>
                </c:pt>
                <c:pt idx="574">
                  <c:v>171.9</c:v>
                </c:pt>
                <c:pt idx="575">
                  <c:v>153.69999999999999</c:v>
                </c:pt>
                <c:pt idx="576">
                  <c:v>134.9</c:v>
                </c:pt>
                <c:pt idx="577">
                  <c:v>121.9</c:v>
                </c:pt>
                <c:pt idx="578">
                  <c:v>111.60000000000001</c:v>
                </c:pt>
                <c:pt idx="579">
                  <c:v>113.9</c:v>
                </c:pt>
                <c:pt idx="580">
                  <c:v>122</c:v>
                </c:pt>
                <c:pt idx="581">
                  <c:v>143.5</c:v>
                </c:pt>
                <c:pt idx="582">
                  <c:v>176.8</c:v>
                </c:pt>
                <c:pt idx="583">
                  <c:v>208.8</c:v>
                </c:pt>
                <c:pt idx="584">
                  <c:v>230.29999999999998</c:v>
                </c:pt>
                <c:pt idx="585">
                  <c:v>237.9</c:v>
                </c:pt>
                <c:pt idx="586">
                  <c:v>233.8</c:v>
                </c:pt>
                <c:pt idx="587">
                  <c:v>222.10000000000002</c:v>
                </c:pt>
                <c:pt idx="588">
                  <c:v>204.2</c:v>
                </c:pt>
                <c:pt idx="589">
                  <c:v>184.9</c:v>
                </c:pt>
                <c:pt idx="590">
                  <c:v>161.4</c:v>
                </c:pt>
                <c:pt idx="591">
                  <c:v>142.5</c:v>
                </c:pt>
                <c:pt idx="592">
                  <c:v>137.9</c:v>
                </c:pt>
                <c:pt idx="593">
                  <c:v>143.1</c:v>
                </c:pt>
                <c:pt idx="594">
                  <c:v>152.4</c:v>
                </c:pt>
                <c:pt idx="595">
                  <c:v>167.6</c:v>
                </c:pt>
                <c:pt idx="596">
                  <c:v>178</c:v>
                </c:pt>
                <c:pt idx="597">
                  <c:v>183.1</c:v>
                </c:pt>
                <c:pt idx="598">
                  <c:v>181</c:v>
                </c:pt>
                <c:pt idx="599">
                  <c:v>167.9</c:v>
                </c:pt>
                <c:pt idx="600">
                  <c:v>156.9</c:v>
                </c:pt>
                <c:pt idx="601">
                  <c:v>143.30000000000001</c:v>
                </c:pt>
                <c:pt idx="602">
                  <c:v>133.80000000000001</c:v>
                </c:pt>
                <c:pt idx="603">
                  <c:v>134</c:v>
                </c:pt>
                <c:pt idx="604">
                  <c:v>138.1</c:v>
                </c:pt>
                <c:pt idx="605">
                  <c:v>146.70000000000002</c:v>
                </c:pt>
                <c:pt idx="606">
                  <c:v>165.7</c:v>
                </c:pt>
                <c:pt idx="607">
                  <c:v>191.2</c:v>
                </c:pt>
                <c:pt idx="608">
                  <c:v>208.70000000000002</c:v>
                </c:pt>
                <c:pt idx="609">
                  <c:v>218.5</c:v>
                </c:pt>
                <c:pt idx="610">
                  <c:v>221.89999999999998</c:v>
                </c:pt>
                <c:pt idx="611">
                  <c:v>217</c:v>
                </c:pt>
                <c:pt idx="612">
                  <c:v>205.7</c:v>
                </c:pt>
                <c:pt idx="613">
                  <c:v>185.5</c:v>
                </c:pt>
                <c:pt idx="614">
                  <c:v>165.3</c:v>
                </c:pt>
                <c:pt idx="615">
                  <c:v>146.4</c:v>
                </c:pt>
                <c:pt idx="616">
                  <c:v>133.4</c:v>
                </c:pt>
                <c:pt idx="617">
                  <c:v>127.89999999999999</c:v>
                </c:pt>
                <c:pt idx="618">
                  <c:v>133.69999999999999</c:v>
                </c:pt>
                <c:pt idx="619">
                  <c:v>142.9</c:v>
                </c:pt>
                <c:pt idx="620">
                  <c:v>154</c:v>
                </c:pt>
                <c:pt idx="621">
                  <c:v>164.39999999999998</c:v>
                </c:pt>
                <c:pt idx="622">
                  <c:v>176.1</c:v>
                </c:pt>
                <c:pt idx="623">
                  <c:v>179.6</c:v>
                </c:pt>
                <c:pt idx="624">
                  <c:v>179</c:v>
                </c:pt>
                <c:pt idx="625">
                  <c:v>172.4</c:v>
                </c:pt>
                <c:pt idx="626">
                  <c:v>161.69999999999999</c:v>
                </c:pt>
                <c:pt idx="627">
                  <c:v>156.6</c:v>
                </c:pt>
                <c:pt idx="628">
                  <c:v>153.19999999999999</c:v>
                </c:pt>
                <c:pt idx="629">
                  <c:v>156.80000000000001</c:v>
                </c:pt>
                <c:pt idx="630">
                  <c:v>166.5</c:v>
                </c:pt>
                <c:pt idx="631">
                  <c:v>178.4</c:v>
                </c:pt>
                <c:pt idx="632">
                  <c:v>193.79999999999998</c:v>
                </c:pt>
                <c:pt idx="633">
                  <c:v>197.3</c:v>
                </c:pt>
                <c:pt idx="634">
                  <c:v>197</c:v>
                </c:pt>
                <c:pt idx="635">
                  <c:v>194.4</c:v>
                </c:pt>
                <c:pt idx="636">
                  <c:v>182.4</c:v>
                </c:pt>
                <c:pt idx="637">
                  <c:v>173.5</c:v>
                </c:pt>
                <c:pt idx="638">
                  <c:v>163.69999999999999</c:v>
                </c:pt>
                <c:pt idx="639">
                  <c:v>148.10000000000002</c:v>
                </c:pt>
                <c:pt idx="640">
                  <c:v>133.20000000000002</c:v>
                </c:pt>
                <c:pt idx="641">
                  <c:v>124.70000000000002</c:v>
                </c:pt>
                <c:pt idx="642">
                  <c:v>119.6</c:v>
                </c:pt>
                <c:pt idx="643">
                  <c:v>121.39999999999999</c:v>
                </c:pt>
                <c:pt idx="644">
                  <c:v>131.80000000000001</c:v>
                </c:pt>
                <c:pt idx="645">
                  <c:v>146.6</c:v>
                </c:pt>
                <c:pt idx="646">
                  <c:v>160</c:v>
                </c:pt>
                <c:pt idx="647">
                  <c:v>169.9</c:v>
                </c:pt>
                <c:pt idx="648">
                  <c:v>177</c:v>
                </c:pt>
                <c:pt idx="649">
                  <c:v>180.5</c:v>
                </c:pt>
                <c:pt idx="650">
                  <c:v>182.9</c:v>
                </c:pt>
                <c:pt idx="651">
                  <c:v>182.6</c:v>
                </c:pt>
                <c:pt idx="652">
                  <c:v>178.8</c:v>
                </c:pt>
                <c:pt idx="653">
                  <c:v>173.70000000000002</c:v>
                </c:pt>
                <c:pt idx="654">
                  <c:v>169.70000000000002</c:v>
                </c:pt>
                <c:pt idx="655">
                  <c:v>172.8</c:v>
                </c:pt>
                <c:pt idx="656">
                  <c:v>175.6</c:v>
                </c:pt>
                <c:pt idx="657">
                  <c:v>180</c:v>
                </c:pt>
                <c:pt idx="658">
                  <c:v>183.1</c:v>
                </c:pt>
                <c:pt idx="659">
                  <c:v>180.9</c:v>
                </c:pt>
                <c:pt idx="660">
                  <c:v>176</c:v>
                </c:pt>
                <c:pt idx="661">
                  <c:v>170.9</c:v>
                </c:pt>
                <c:pt idx="662">
                  <c:v>161.69999999999999</c:v>
                </c:pt>
                <c:pt idx="663">
                  <c:v>152.4</c:v>
                </c:pt>
                <c:pt idx="664">
                  <c:v>141.9</c:v>
                </c:pt>
                <c:pt idx="665">
                  <c:v>131.4</c:v>
                </c:pt>
                <c:pt idx="666">
                  <c:v>122.10000000000001</c:v>
                </c:pt>
                <c:pt idx="667">
                  <c:v>117.10000000000001</c:v>
                </c:pt>
                <c:pt idx="668">
                  <c:v>114.9</c:v>
                </c:pt>
                <c:pt idx="669">
                  <c:v>124.4</c:v>
                </c:pt>
                <c:pt idx="670">
                  <c:v>138.5</c:v>
                </c:pt>
                <c:pt idx="671">
                  <c:v>156.69999999999999</c:v>
                </c:pt>
                <c:pt idx="672">
                  <c:v>171.9</c:v>
                </c:pt>
                <c:pt idx="673">
                  <c:v>188.7</c:v>
                </c:pt>
                <c:pt idx="674">
                  <c:v>200.70000000000002</c:v>
                </c:pt>
                <c:pt idx="675">
                  <c:v>205.29999999999998</c:v>
                </c:pt>
                <c:pt idx="676">
                  <c:v>203.79999999999998</c:v>
                </c:pt>
                <c:pt idx="677">
                  <c:v>197.2</c:v>
                </c:pt>
                <c:pt idx="678">
                  <c:v>192</c:v>
                </c:pt>
                <c:pt idx="679">
                  <c:v>184.7</c:v>
                </c:pt>
                <c:pt idx="680">
                  <c:v>175.7</c:v>
                </c:pt>
                <c:pt idx="681">
                  <c:v>168.4</c:v>
                </c:pt>
                <c:pt idx="682">
                  <c:v>163.5</c:v>
                </c:pt>
                <c:pt idx="683">
                  <c:v>165.39999999999998</c:v>
                </c:pt>
                <c:pt idx="684">
                  <c:v>166.79999999999998</c:v>
                </c:pt>
                <c:pt idx="685">
                  <c:v>167.2</c:v>
                </c:pt>
                <c:pt idx="686">
                  <c:v>166.79999999999998</c:v>
                </c:pt>
                <c:pt idx="687">
                  <c:v>158.80000000000001</c:v>
                </c:pt>
                <c:pt idx="688">
                  <c:v>149.5</c:v>
                </c:pt>
                <c:pt idx="689">
                  <c:v>139.9</c:v>
                </c:pt>
                <c:pt idx="690">
                  <c:v>126.2</c:v>
                </c:pt>
                <c:pt idx="691">
                  <c:v>114.39999999999999</c:v>
                </c:pt>
                <c:pt idx="692">
                  <c:v>111.4</c:v>
                </c:pt>
                <c:pt idx="693">
                  <c:v>112.99999999999999</c:v>
                </c:pt>
                <c:pt idx="694">
                  <c:v>120.39999999999999</c:v>
                </c:pt>
                <c:pt idx="695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5-4887-915E-B7CA7367616F}"/>
            </c:ext>
          </c:extLst>
        </c:ser>
        <c:ser>
          <c:idx val="1"/>
          <c:order val="1"/>
          <c:tx>
            <c:strRef>
              <c:f>ChartDatA!$M$9</c:f>
              <c:strCache>
                <c:ptCount val="1"/>
                <c:pt idx="0">
                  <c:v>HAT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ChartDatA!$M$10:$M$11</c:f>
              <c:numCache>
                <c:formatCode>General</c:formatCode>
                <c:ptCount val="2"/>
                <c:pt idx="0">
                  <c:v>335.38423382986963</c:v>
                </c:pt>
                <c:pt idx="1">
                  <c:v>335.38423382986963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E5-4887-915E-B7CA7367616F}"/>
            </c:ext>
          </c:extLst>
        </c:ser>
        <c:ser>
          <c:idx val="4"/>
          <c:order val="2"/>
          <c:tx>
            <c:strRef>
              <c:f>ChartDatA!$O$9</c:f>
              <c:strCache>
                <c:ptCount val="1"/>
                <c:pt idx="0">
                  <c:v>MHWN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ChartDatA!$O$10:$O$11</c:f>
              <c:numCache>
                <c:formatCode>General</c:formatCode>
                <c:ptCount val="2"/>
                <c:pt idx="0">
                  <c:v>230.30829491683608</c:v>
                </c:pt>
                <c:pt idx="1">
                  <c:v>230.30829491683608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E5-4887-915E-B7CA7367616F}"/>
            </c:ext>
          </c:extLst>
        </c:ser>
        <c:ser>
          <c:idx val="6"/>
          <c:order val="3"/>
          <c:tx>
            <c:strRef>
              <c:f>ChartDatA!$R$9</c:f>
              <c:strCache>
                <c:ptCount val="1"/>
                <c:pt idx="0">
                  <c:v>LLWS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plus"/>
            <c:size val="7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dPt>
            <c:idx val="1"/>
            <c:bubble3D val="0"/>
            <c:spPr>
              <a:ln w="25400">
                <a:solidFill>
                  <a:srgbClr val="9933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EE5-4887-915E-B7CA7367616F}"/>
              </c:ext>
            </c:extLst>
          </c:dPt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ChartDatA!$R$10:$R$11</c:f>
              <c:numCache>
                <c:formatCode>General</c:formatCode>
                <c:ptCount val="2"/>
                <c:pt idx="0">
                  <c:v>55.888942901025047</c:v>
                </c:pt>
                <c:pt idx="1">
                  <c:v>55.888942901025047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E5-4887-915E-B7CA7367616F}"/>
            </c:ext>
          </c:extLst>
        </c:ser>
        <c:ser>
          <c:idx val="9"/>
          <c:order val="4"/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ChartDatA!$N$10:$N$11</c:f>
              <c:numCache>
                <c:formatCode>General</c:formatCode>
                <c:ptCount val="2"/>
                <c:pt idx="0">
                  <c:v>292.75776980177898</c:v>
                </c:pt>
                <c:pt idx="1">
                  <c:v>292.75776980177898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E5-4887-915E-B7CA7367616F}"/>
            </c:ext>
          </c:extLst>
        </c:ser>
        <c:ser>
          <c:idx val="10"/>
          <c:order val="5"/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ChartDatA!$Q$10:$Q$11</c:f>
              <c:numCache>
                <c:formatCode>General</c:formatCode>
                <c:ptCount val="2"/>
                <c:pt idx="0">
                  <c:v>87.140552568349534</c:v>
                </c:pt>
                <c:pt idx="1">
                  <c:v>87.140552568349534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E5-4887-915E-B7CA7367616F}"/>
            </c:ext>
          </c:extLst>
        </c:ser>
        <c:ser>
          <c:idx val="14"/>
          <c:order val="6"/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ChartDatA!$P$10:$P$11</c:f>
              <c:numCache>
                <c:formatCode>General</c:formatCode>
                <c:ptCount val="2"/>
                <c:pt idx="0">
                  <c:v>166.16831896551724</c:v>
                </c:pt>
                <c:pt idx="1">
                  <c:v>166.16831896551724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E5-4887-915E-B7CA73676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72384"/>
        <c:axId val="272274560"/>
      </c:scatterChart>
      <c:valAx>
        <c:axId val="27227238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0388213973253348"/>
              <c:y val="0.85301996946199221"/>
            </c:manualLayout>
          </c:layout>
          <c:overlay val="0"/>
          <c:spPr>
            <a:noFill/>
            <a:ln w="25400">
              <a:noFill/>
            </a:ln>
          </c:spPr>
        </c:title>
        <c:numFmt formatCode="d/mm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2274560"/>
        <c:crosses val="autoZero"/>
        <c:crossBetween val="midCat"/>
        <c:majorUnit val="0.99856317249314397"/>
      </c:valAx>
      <c:valAx>
        <c:axId val="272274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Water Level (Cm) PheilSchaal</a:t>
                </a:r>
              </a:p>
            </c:rich>
          </c:tx>
          <c:layout>
            <c:manualLayout>
              <c:xMode val="edge"/>
              <c:yMode val="edge"/>
              <c:x val="1.9309211348581427E-2"/>
              <c:y val="0.344530004091693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2272384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b"/>
      <c:legendEntry>
        <c:idx val="0"/>
        <c:delete val="1"/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paperSize="9" firstPageNumber="0" orientation="landscape" horizontalDpi="-3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baseline="0">
                <a:effectLst/>
              </a:rPr>
              <a:t>Grafik Pengamatan Pasang Surut 29 Hari</a:t>
            </a:r>
            <a:endParaRPr lang="en-US" sz="1400">
              <a:effectLst/>
            </a:endParaRPr>
          </a:p>
          <a:p>
            <a:pPr algn="ctr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 sz="1100" b="1" i="0" baseline="0">
                <a:effectLst/>
              </a:rPr>
              <a:t>Pantai Sanur,</a:t>
            </a:r>
            <a:r>
              <a:rPr lang="en-US" sz="1100" b="1" i="0" baseline="0">
                <a:effectLst/>
              </a:rPr>
              <a:t> 17</a:t>
            </a:r>
            <a:r>
              <a:rPr lang="id-ID" sz="1100" b="1" i="0" baseline="0">
                <a:effectLst/>
              </a:rPr>
              <a:t> </a:t>
            </a:r>
            <a:r>
              <a:rPr lang="en-ID" sz="1100" b="1" i="0" baseline="0">
                <a:effectLst/>
              </a:rPr>
              <a:t>Januari - 14 Februari </a:t>
            </a:r>
            <a:r>
              <a:rPr lang="en-US" sz="1100" b="1" i="0" baseline="0">
                <a:effectLst/>
              </a:rPr>
              <a:t>20</a:t>
            </a:r>
            <a:r>
              <a:rPr lang="en-ID" sz="1100" b="1" i="0" baseline="0">
                <a:effectLst/>
              </a:rPr>
              <a:t>21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4179002159608762"/>
          <c:y val="3.01838222080060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167737183275756E-2"/>
          <c:y val="0.19291381848648492"/>
          <c:w val="0.80036579933600505"/>
          <c:h val="0.60105121678102102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'data asli x100'!$B$8:$B$703</c:f>
              <c:numCache>
                <c:formatCode>m/d/yyyy\ h:mm</c:formatCode>
                <c:ptCount val="696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</c:numCache>
            </c:numRef>
          </c:xVal>
          <c:yVal>
            <c:numRef>
              <c:f>'data asli x100'!$C$8:$C$703</c:f>
              <c:numCache>
                <c:formatCode>0.00</c:formatCode>
                <c:ptCount val="696"/>
                <c:pt idx="0">
                  <c:v>136</c:v>
                </c:pt>
                <c:pt idx="1">
                  <c:v>165.5</c:v>
                </c:pt>
                <c:pt idx="2">
                  <c:v>198.3</c:v>
                </c:pt>
                <c:pt idx="3">
                  <c:v>224.7</c:v>
                </c:pt>
                <c:pt idx="4">
                  <c:v>239</c:v>
                </c:pt>
                <c:pt idx="5">
                  <c:v>243.00000000000003</c:v>
                </c:pt>
                <c:pt idx="6">
                  <c:v>231.70000000000002</c:v>
                </c:pt>
                <c:pt idx="7">
                  <c:v>212.1</c:v>
                </c:pt>
                <c:pt idx="8">
                  <c:v>188.39999999999998</c:v>
                </c:pt>
                <c:pt idx="9">
                  <c:v>163.69999999999999</c:v>
                </c:pt>
                <c:pt idx="10">
                  <c:v>145.4</c:v>
                </c:pt>
                <c:pt idx="11">
                  <c:v>135.4</c:v>
                </c:pt>
                <c:pt idx="12">
                  <c:v>142</c:v>
                </c:pt>
                <c:pt idx="13">
                  <c:v>156.1</c:v>
                </c:pt>
                <c:pt idx="14">
                  <c:v>173.10000000000002</c:v>
                </c:pt>
                <c:pt idx="15">
                  <c:v>188.9</c:v>
                </c:pt>
                <c:pt idx="16">
                  <c:v>194.9</c:v>
                </c:pt>
                <c:pt idx="17">
                  <c:v>190</c:v>
                </c:pt>
                <c:pt idx="18">
                  <c:v>173.3</c:v>
                </c:pt>
                <c:pt idx="19">
                  <c:v>155</c:v>
                </c:pt>
                <c:pt idx="20">
                  <c:v>132.4</c:v>
                </c:pt>
                <c:pt idx="21">
                  <c:v>110.80000000000001</c:v>
                </c:pt>
                <c:pt idx="22">
                  <c:v>96.899999999999991</c:v>
                </c:pt>
                <c:pt idx="23">
                  <c:v>99.1</c:v>
                </c:pt>
                <c:pt idx="24">
                  <c:v>113.79999999999998</c:v>
                </c:pt>
                <c:pt idx="25">
                  <c:v>143.9</c:v>
                </c:pt>
                <c:pt idx="26">
                  <c:v>184.7</c:v>
                </c:pt>
                <c:pt idx="27">
                  <c:v>222.29999999999998</c:v>
                </c:pt>
                <c:pt idx="28">
                  <c:v>249.10000000000002</c:v>
                </c:pt>
                <c:pt idx="29">
                  <c:v>258.10000000000002</c:v>
                </c:pt>
                <c:pt idx="30">
                  <c:v>251.9</c:v>
                </c:pt>
                <c:pt idx="31">
                  <c:v>232.6</c:v>
                </c:pt>
                <c:pt idx="32">
                  <c:v>202.4</c:v>
                </c:pt>
                <c:pt idx="33">
                  <c:v>171.9</c:v>
                </c:pt>
                <c:pt idx="34">
                  <c:v>144.1</c:v>
                </c:pt>
                <c:pt idx="35">
                  <c:v>125.29999999999998</c:v>
                </c:pt>
                <c:pt idx="36">
                  <c:v>123.2</c:v>
                </c:pt>
                <c:pt idx="37">
                  <c:v>133.20000000000002</c:v>
                </c:pt>
                <c:pt idx="38">
                  <c:v>150</c:v>
                </c:pt>
                <c:pt idx="39">
                  <c:v>169.3</c:v>
                </c:pt>
                <c:pt idx="40">
                  <c:v>183.29999999999998</c:v>
                </c:pt>
                <c:pt idx="41">
                  <c:v>184</c:v>
                </c:pt>
                <c:pt idx="42">
                  <c:v>174.2</c:v>
                </c:pt>
                <c:pt idx="43">
                  <c:v>158.29999999999998</c:v>
                </c:pt>
                <c:pt idx="44">
                  <c:v>133.20000000000002</c:v>
                </c:pt>
                <c:pt idx="45">
                  <c:v>106.69999999999999</c:v>
                </c:pt>
                <c:pt idx="46">
                  <c:v>81.3</c:v>
                </c:pt>
                <c:pt idx="47">
                  <c:v>75.400000000000006</c:v>
                </c:pt>
                <c:pt idx="48">
                  <c:v>90.600000000000009</c:v>
                </c:pt>
                <c:pt idx="49">
                  <c:v>123.10000000000001</c:v>
                </c:pt>
                <c:pt idx="50">
                  <c:v>162.69999999999999</c:v>
                </c:pt>
                <c:pt idx="51">
                  <c:v>205.50000000000003</c:v>
                </c:pt>
                <c:pt idx="52">
                  <c:v>245.6</c:v>
                </c:pt>
                <c:pt idx="53">
                  <c:v>271.39999999999998</c:v>
                </c:pt>
                <c:pt idx="54">
                  <c:v>272.8</c:v>
                </c:pt>
                <c:pt idx="55">
                  <c:v>255.20000000000002</c:v>
                </c:pt>
                <c:pt idx="56">
                  <c:v>222.8</c:v>
                </c:pt>
                <c:pt idx="57">
                  <c:v>182.8</c:v>
                </c:pt>
                <c:pt idx="58">
                  <c:v>148.5</c:v>
                </c:pt>
                <c:pt idx="59">
                  <c:v>122</c:v>
                </c:pt>
                <c:pt idx="60">
                  <c:v>113.6</c:v>
                </c:pt>
                <c:pt idx="61">
                  <c:v>123.4</c:v>
                </c:pt>
                <c:pt idx="62">
                  <c:v>143.4</c:v>
                </c:pt>
                <c:pt idx="63">
                  <c:v>164.1</c:v>
                </c:pt>
                <c:pt idx="64">
                  <c:v>177.8</c:v>
                </c:pt>
                <c:pt idx="65">
                  <c:v>182.1</c:v>
                </c:pt>
                <c:pt idx="66">
                  <c:v>178.7</c:v>
                </c:pt>
                <c:pt idx="67">
                  <c:v>162.60000000000002</c:v>
                </c:pt>
                <c:pt idx="68">
                  <c:v>139.9</c:v>
                </c:pt>
                <c:pt idx="69">
                  <c:v>114.6</c:v>
                </c:pt>
                <c:pt idx="70">
                  <c:v>88.5</c:v>
                </c:pt>
                <c:pt idx="71">
                  <c:v>70.199999999999989</c:v>
                </c:pt>
                <c:pt idx="72">
                  <c:v>74.3</c:v>
                </c:pt>
                <c:pt idx="73">
                  <c:v>100.89999999999999</c:v>
                </c:pt>
                <c:pt idx="74">
                  <c:v>139.5</c:v>
                </c:pt>
                <c:pt idx="75">
                  <c:v>188.39999999999998</c:v>
                </c:pt>
                <c:pt idx="76">
                  <c:v>235.2</c:v>
                </c:pt>
                <c:pt idx="77">
                  <c:v>269.60000000000002</c:v>
                </c:pt>
                <c:pt idx="78">
                  <c:v>281.5</c:v>
                </c:pt>
                <c:pt idx="79">
                  <c:v>273.8</c:v>
                </c:pt>
                <c:pt idx="80">
                  <c:v>246</c:v>
                </c:pt>
                <c:pt idx="81">
                  <c:v>202.8</c:v>
                </c:pt>
                <c:pt idx="82">
                  <c:v>165.3</c:v>
                </c:pt>
                <c:pt idx="83">
                  <c:v>134.5</c:v>
                </c:pt>
                <c:pt idx="84">
                  <c:v>118</c:v>
                </c:pt>
                <c:pt idx="85">
                  <c:v>115.19999999999999</c:v>
                </c:pt>
                <c:pt idx="86">
                  <c:v>126.1</c:v>
                </c:pt>
                <c:pt idx="87">
                  <c:v>147</c:v>
                </c:pt>
                <c:pt idx="88">
                  <c:v>166.79999999999998</c:v>
                </c:pt>
                <c:pt idx="89">
                  <c:v>177.1</c:v>
                </c:pt>
                <c:pt idx="90">
                  <c:v>176.5</c:v>
                </c:pt>
                <c:pt idx="91">
                  <c:v>165.3</c:v>
                </c:pt>
                <c:pt idx="92">
                  <c:v>144.4</c:v>
                </c:pt>
                <c:pt idx="93">
                  <c:v>122.6</c:v>
                </c:pt>
                <c:pt idx="94">
                  <c:v>95.6</c:v>
                </c:pt>
                <c:pt idx="95">
                  <c:v>73.8</c:v>
                </c:pt>
                <c:pt idx="96">
                  <c:v>68.7</c:v>
                </c:pt>
                <c:pt idx="97">
                  <c:v>86.4</c:v>
                </c:pt>
                <c:pt idx="98">
                  <c:v>124.6</c:v>
                </c:pt>
                <c:pt idx="99">
                  <c:v>170.1</c:v>
                </c:pt>
                <c:pt idx="100">
                  <c:v>219.3</c:v>
                </c:pt>
                <c:pt idx="101">
                  <c:v>259.5</c:v>
                </c:pt>
                <c:pt idx="102">
                  <c:v>281.8</c:v>
                </c:pt>
                <c:pt idx="103">
                  <c:v>284</c:v>
                </c:pt>
                <c:pt idx="104">
                  <c:v>265.7</c:v>
                </c:pt>
                <c:pt idx="105">
                  <c:v>228.79999999999998</c:v>
                </c:pt>
                <c:pt idx="106">
                  <c:v>188.2</c:v>
                </c:pt>
                <c:pt idx="107">
                  <c:v>151.5</c:v>
                </c:pt>
                <c:pt idx="108">
                  <c:v>127</c:v>
                </c:pt>
                <c:pt idx="109">
                  <c:v>116.9</c:v>
                </c:pt>
                <c:pt idx="110">
                  <c:v>122.50000000000001</c:v>
                </c:pt>
                <c:pt idx="111">
                  <c:v>137.5</c:v>
                </c:pt>
                <c:pt idx="112">
                  <c:v>159.4</c:v>
                </c:pt>
                <c:pt idx="113">
                  <c:v>178.4</c:v>
                </c:pt>
                <c:pt idx="114">
                  <c:v>183.9</c:v>
                </c:pt>
                <c:pt idx="115">
                  <c:v>174.5</c:v>
                </c:pt>
                <c:pt idx="116">
                  <c:v>155.4</c:v>
                </c:pt>
                <c:pt idx="117">
                  <c:v>129.5</c:v>
                </c:pt>
                <c:pt idx="118">
                  <c:v>96.3</c:v>
                </c:pt>
                <c:pt idx="119">
                  <c:v>76.2</c:v>
                </c:pt>
                <c:pt idx="120">
                  <c:v>65.8</c:v>
                </c:pt>
                <c:pt idx="121">
                  <c:v>75</c:v>
                </c:pt>
                <c:pt idx="122">
                  <c:v>106.1</c:v>
                </c:pt>
                <c:pt idx="123">
                  <c:v>149.30000000000001</c:v>
                </c:pt>
                <c:pt idx="124">
                  <c:v>199.9</c:v>
                </c:pt>
                <c:pt idx="125">
                  <c:v>243.5</c:v>
                </c:pt>
                <c:pt idx="126">
                  <c:v>274.5</c:v>
                </c:pt>
                <c:pt idx="127">
                  <c:v>284.60000000000002</c:v>
                </c:pt>
                <c:pt idx="128">
                  <c:v>275.8</c:v>
                </c:pt>
                <c:pt idx="129">
                  <c:v>250.59999999999997</c:v>
                </c:pt>
                <c:pt idx="130">
                  <c:v>212.3</c:v>
                </c:pt>
                <c:pt idx="131">
                  <c:v>174.9</c:v>
                </c:pt>
                <c:pt idx="132">
                  <c:v>142.9</c:v>
                </c:pt>
                <c:pt idx="133">
                  <c:v>126.1</c:v>
                </c:pt>
                <c:pt idx="134">
                  <c:v>123.10000000000001</c:v>
                </c:pt>
                <c:pt idx="135">
                  <c:v>137.20000000000002</c:v>
                </c:pt>
                <c:pt idx="136">
                  <c:v>158.80000000000001</c:v>
                </c:pt>
                <c:pt idx="137">
                  <c:v>176.89999999999998</c:v>
                </c:pt>
                <c:pt idx="138">
                  <c:v>181.29999999999998</c:v>
                </c:pt>
                <c:pt idx="139">
                  <c:v>177.7</c:v>
                </c:pt>
                <c:pt idx="140">
                  <c:v>164.1</c:v>
                </c:pt>
                <c:pt idx="141">
                  <c:v>140.79999999999998</c:v>
                </c:pt>
                <c:pt idx="142">
                  <c:v>115.10000000000001</c:v>
                </c:pt>
                <c:pt idx="143">
                  <c:v>90.4</c:v>
                </c:pt>
                <c:pt idx="144">
                  <c:v>74</c:v>
                </c:pt>
                <c:pt idx="145">
                  <c:v>75.400000000000006</c:v>
                </c:pt>
                <c:pt idx="146">
                  <c:v>94.699999999999989</c:v>
                </c:pt>
                <c:pt idx="147">
                  <c:v>130.5</c:v>
                </c:pt>
                <c:pt idx="148">
                  <c:v>175.4</c:v>
                </c:pt>
                <c:pt idx="149">
                  <c:v>218.5</c:v>
                </c:pt>
                <c:pt idx="150">
                  <c:v>254.70000000000002</c:v>
                </c:pt>
                <c:pt idx="151">
                  <c:v>275.8</c:v>
                </c:pt>
                <c:pt idx="152">
                  <c:v>277.3</c:v>
                </c:pt>
                <c:pt idx="153">
                  <c:v>259.8</c:v>
                </c:pt>
                <c:pt idx="154">
                  <c:v>227.8</c:v>
                </c:pt>
                <c:pt idx="155">
                  <c:v>188.7</c:v>
                </c:pt>
                <c:pt idx="156">
                  <c:v>156.20000000000002</c:v>
                </c:pt>
                <c:pt idx="157">
                  <c:v>134.9</c:v>
                </c:pt>
                <c:pt idx="158">
                  <c:v>128</c:v>
                </c:pt>
                <c:pt idx="159">
                  <c:v>135</c:v>
                </c:pt>
                <c:pt idx="160">
                  <c:v>152.69999999999999</c:v>
                </c:pt>
                <c:pt idx="161">
                  <c:v>168</c:v>
                </c:pt>
                <c:pt idx="162">
                  <c:v>177.89999999999998</c:v>
                </c:pt>
                <c:pt idx="163">
                  <c:v>176.6</c:v>
                </c:pt>
                <c:pt idx="164">
                  <c:v>168.3</c:v>
                </c:pt>
                <c:pt idx="165">
                  <c:v>147.5</c:v>
                </c:pt>
                <c:pt idx="166">
                  <c:v>126.29999999999998</c:v>
                </c:pt>
                <c:pt idx="167">
                  <c:v>102.3</c:v>
                </c:pt>
                <c:pt idx="168">
                  <c:v>79.7</c:v>
                </c:pt>
                <c:pt idx="169">
                  <c:v>73.400000000000006</c:v>
                </c:pt>
                <c:pt idx="170">
                  <c:v>85.7</c:v>
                </c:pt>
                <c:pt idx="171">
                  <c:v>115.99999999999999</c:v>
                </c:pt>
                <c:pt idx="172">
                  <c:v>154</c:v>
                </c:pt>
                <c:pt idx="173">
                  <c:v>198.9</c:v>
                </c:pt>
                <c:pt idx="174">
                  <c:v>235.6</c:v>
                </c:pt>
                <c:pt idx="175">
                  <c:v>259.5</c:v>
                </c:pt>
                <c:pt idx="176">
                  <c:v>268.89999999999998</c:v>
                </c:pt>
                <c:pt idx="177">
                  <c:v>258.59999999999997</c:v>
                </c:pt>
                <c:pt idx="178">
                  <c:v>233.9</c:v>
                </c:pt>
                <c:pt idx="179">
                  <c:v>199.10000000000002</c:v>
                </c:pt>
                <c:pt idx="180">
                  <c:v>169.79999999999998</c:v>
                </c:pt>
                <c:pt idx="181">
                  <c:v>143.55000000000001</c:v>
                </c:pt>
                <c:pt idx="182">
                  <c:v>131.9</c:v>
                </c:pt>
                <c:pt idx="183">
                  <c:v>130.4</c:v>
                </c:pt>
                <c:pt idx="184">
                  <c:v>142.1</c:v>
                </c:pt>
                <c:pt idx="185">
                  <c:v>159.4</c:v>
                </c:pt>
                <c:pt idx="186">
                  <c:v>174.8</c:v>
                </c:pt>
                <c:pt idx="187">
                  <c:v>182</c:v>
                </c:pt>
                <c:pt idx="188">
                  <c:v>177.1</c:v>
                </c:pt>
                <c:pt idx="189">
                  <c:v>158.80000000000001</c:v>
                </c:pt>
                <c:pt idx="190">
                  <c:v>136</c:v>
                </c:pt>
                <c:pt idx="191">
                  <c:v>112.4</c:v>
                </c:pt>
                <c:pt idx="192">
                  <c:v>90.5</c:v>
                </c:pt>
                <c:pt idx="193">
                  <c:v>78.600000000000009</c:v>
                </c:pt>
                <c:pt idx="194">
                  <c:v>84.5</c:v>
                </c:pt>
                <c:pt idx="195">
                  <c:v>107</c:v>
                </c:pt>
                <c:pt idx="196">
                  <c:v>141.30000000000001</c:v>
                </c:pt>
                <c:pt idx="197">
                  <c:v>179.20000000000002</c:v>
                </c:pt>
                <c:pt idx="198">
                  <c:v>217.89999999999998</c:v>
                </c:pt>
                <c:pt idx="199">
                  <c:v>244.20000000000002</c:v>
                </c:pt>
                <c:pt idx="200">
                  <c:v>256.3</c:v>
                </c:pt>
                <c:pt idx="201">
                  <c:v>255.20000000000002</c:v>
                </c:pt>
                <c:pt idx="202">
                  <c:v>240.60000000000002</c:v>
                </c:pt>
                <c:pt idx="203">
                  <c:v>211.50000000000003</c:v>
                </c:pt>
                <c:pt idx="204">
                  <c:v>180.5</c:v>
                </c:pt>
                <c:pt idx="205">
                  <c:v>156.4</c:v>
                </c:pt>
                <c:pt idx="206">
                  <c:v>143.9</c:v>
                </c:pt>
                <c:pt idx="207">
                  <c:v>140.79999999999998</c:v>
                </c:pt>
                <c:pt idx="208">
                  <c:v>147.9</c:v>
                </c:pt>
                <c:pt idx="209">
                  <c:v>159.30000000000001</c:v>
                </c:pt>
                <c:pt idx="210">
                  <c:v>172.10000000000002</c:v>
                </c:pt>
                <c:pt idx="211">
                  <c:v>180.8</c:v>
                </c:pt>
                <c:pt idx="212">
                  <c:v>180.5</c:v>
                </c:pt>
                <c:pt idx="213">
                  <c:v>166.70000000000002</c:v>
                </c:pt>
                <c:pt idx="214">
                  <c:v>146</c:v>
                </c:pt>
                <c:pt idx="215">
                  <c:v>125.4</c:v>
                </c:pt>
                <c:pt idx="216">
                  <c:v>104.69999999999999</c:v>
                </c:pt>
                <c:pt idx="217">
                  <c:v>90.600000000000009</c:v>
                </c:pt>
                <c:pt idx="218">
                  <c:v>87.1</c:v>
                </c:pt>
                <c:pt idx="219">
                  <c:v>102.4</c:v>
                </c:pt>
                <c:pt idx="220">
                  <c:v>131.4</c:v>
                </c:pt>
                <c:pt idx="221">
                  <c:v>166.79999999999998</c:v>
                </c:pt>
                <c:pt idx="222">
                  <c:v>199.3</c:v>
                </c:pt>
                <c:pt idx="223">
                  <c:v>225</c:v>
                </c:pt>
                <c:pt idx="224">
                  <c:v>240.20000000000002</c:v>
                </c:pt>
                <c:pt idx="225">
                  <c:v>242.20000000000002</c:v>
                </c:pt>
                <c:pt idx="226">
                  <c:v>235.70000000000002</c:v>
                </c:pt>
                <c:pt idx="227">
                  <c:v>218.29999999999998</c:v>
                </c:pt>
                <c:pt idx="228">
                  <c:v>192.3</c:v>
                </c:pt>
                <c:pt idx="229">
                  <c:v>170.5</c:v>
                </c:pt>
                <c:pt idx="230">
                  <c:v>155.6</c:v>
                </c:pt>
                <c:pt idx="231">
                  <c:v>147.30000000000001</c:v>
                </c:pt>
                <c:pt idx="232">
                  <c:v>147.9</c:v>
                </c:pt>
                <c:pt idx="233">
                  <c:v>157.29999999999998</c:v>
                </c:pt>
                <c:pt idx="234">
                  <c:v>167.3</c:v>
                </c:pt>
                <c:pt idx="235">
                  <c:v>178.9</c:v>
                </c:pt>
                <c:pt idx="236">
                  <c:v>183.20000000000002</c:v>
                </c:pt>
                <c:pt idx="237">
                  <c:v>175.5</c:v>
                </c:pt>
                <c:pt idx="238">
                  <c:v>155.6</c:v>
                </c:pt>
                <c:pt idx="239">
                  <c:v>137.5</c:v>
                </c:pt>
                <c:pt idx="240">
                  <c:v>119.7</c:v>
                </c:pt>
                <c:pt idx="241">
                  <c:v>105.80000000000001</c:v>
                </c:pt>
                <c:pt idx="242">
                  <c:v>102.8</c:v>
                </c:pt>
                <c:pt idx="243">
                  <c:v>110.00000000000001</c:v>
                </c:pt>
                <c:pt idx="244">
                  <c:v>130.69999999999999</c:v>
                </c:pt>
                <c:pt idx="245">
                  <c:v>159.30000000000001</c:v>
                </c:pt>
                <c:pt idx="246">
                  <c:v>188.6</c:v>
                </c:pt>
                <c:pt idx="247">
                  <c:v>209.60000000000002</c:v>
                </c:pt>
                <c:pt idx="248">
                  <c:v>224.10000000000002</c:v>
                </c:pt>
                <c:pt idx="249">
                  <c:v>230.29999999999998</c:v>
                </c:pt>
                <c:pt idx="250">
                  <c:v>224.7</c:v>
                </c:pt>
                <c:pt idx="251">
                  <c:v>212.4</c:v>
                </c:pt>
                <c:pt idx="252">
                  <c:v>198.6</c:v>
                </c:pt>
                <c:pt idx="253">
                  <c:v>180.8</c:v>
                </c:pt>
                <c:pt idx="254">
                  <c:v>162.9</c:v>
                </c:pt>
                <c:pt idx="255">
                  <c:v>153.5</c:v>
                </c:pt>
                <c:pt idx="256">
                  <c:v>150.19999999999999</c:v>
                </c:pt>
                <c:pt idx="257">
                  <c:v>151.10000000000002</c:v>
                </c:pt>
                <c:pt idx="258">
                  <c:v>159.5</c:v>
                </c:pt>
                <c:pt idx="259">
                  <c:v>172.4</c:v>
                </c:pt>
                <c:pt idx="260">
                  <c:v>179.6</c:v>
                </c:pt>
                <c:pt idx="261">
                  <c:v>176.6</c:v>
                </c:pt>
                <c:pt idx="262">
                  <c:v>164</c:v>
                </c:pt>
                <c:pt idx="263">
                  <c:v>149.5</c:v>
                </c:pt>
                <c:pt idx="264">
                  <c:v>137.30000000000001</c:v>
                </c:pt>
                <c:pt idx="265">
                  <c:v>127.1</c:v>
                </c:pt>
                <c:pt idx="266">
                  <c:v>123.4</c:v>
                </c:pt>
                <c:pt idx="267">
                  <c:v>127.3</c:v>
                </c:pt>
                <c:pt idx="268">
                  <c:v>135.20000000000002</c:v>
                </c:pt>
                <c:pt idx="269">
                  <c:v>152.6</c:v>
                </c:pt>
                <c:pt idx="270">
                  <c:v>173.9</c:v>
                </c:pt>
                <c:pt idx="271">
                  <c:v>190.5</c:v>
                </c:pt>
                <c:pt idx="272">
                  <c:v>203.9</c:v>
                </c:pt>
                <c:pt idx="273">
                  <c:v>208.70000000000002</c:v>
                </c:pt>
                <c:pt idx="274">
                  <c:v>207.7</c:v>
                </c:pt>
                <c:pt idx="275">
                  <c:v>203.6</c:v>
                </c:pt>
                <c:pt idx="276">
                  <c:v>197.6</c:v>
                </c:pt>
                <c:pt idx="277">
                  <c:v>187.3</c:v>
                </c:pt>
                <c:pt idx="278">
                  <c:v>176.5</c:v>
                </c:pt>
                <c:pt idx="279">
                  <c:v>163.19999999999999</c:v>
                </c:pt>
                <c:pt idx="280">
                  <c:v>157.80000000000001</c:v>
                </c:pt>
                <c:pt idx="281">
                  <c:v>153.80000000000001</c:v>
                </c:pt>
                <c:pt idx="282">
                  <c:v>154.4</c:v>
                </c:pt>
                <c:pt idx="283">
                  <c:v>162.1</c:v>
                </c:pt>
                <c:pt idx="284">
                  <c:v>170.4</c:v>
                </c:pt>
                <c:pt idx="285">
                  <c:v>172.10000000000002</c:v>
                </c:pt>
                <c:pt idx="286">
                  <c:v>169.3</c:v>
                </c:pt>
                <c:pt idx="287">
                  <c:v>161</c:v>
                </c:pt>
                <c:pt idx="288">
                  <c:v>149.6</c:v>
                </c:pt>
                <c:pt idx="289">
                  <c:v>143.70000000000002</c:v>
                </c:pt>
                <c:pt idx="290">
                  <c:v>143.1</c:v>
                </c:pt>
                <c:pt idx="291">
                  <c:v>146.6</c:v>
                </c:pt>
                <c:pt idx="292">
                  <c:v>153.9</c:v>
                </c:pt>
                <c:pt idx="293">
                  <c:v>163.6</c:v>
                </c:pt>
                <c:pt idx="294">
                  <c:v>170.70000000000002</c:v>
                </c:pt>
                <c:pt idx="295">
                  <c:v>179.7</c:v>
                </c:pt>
                <c:pt idx="296">
                  <c:v>184.3</c:v>
                </c:pt>
                <c:pt idx="297">
                  <c:v>187.4</c:v>
                </c:pt>
                <c:pt idx="298">
                  <c:v>189.9</c:v>
                </c:pt>
                <c:pt idx="299">
                  <c:v>192.4</c:v>
                </c:pt>
                <c:pt idx="300">
                  <c:v>189.39999999999998</c:v>
                </c:pt>
                <c:pt idx="301">
                  <c:v>183.5</c:v>
                </c:pt>
                <c:pt idx="302">
                  <c:v>178.9</c:v>
                </c:pt>
                <c:pt idx="303">
                  <c:v>167.4</c:v>
                </c:pt>
                <c:pt idx="304">
                  <c:v>157.6</c:v>
                </c:pt>
                <c:pt idx="305">
                  <c:v>150.89999999999998</c:v>
                </c:pt>
                <c:pt idx="306">
                  <c:v>146.80000000000001</c:v>
                </c:pt>
                <c:pt idx="307">
                  <c:v>148.4</c:v>
                </c:pt>
                <c:pt idx="308">
                  <c:v>152.69999999999999</c:v>
                </c:pt>
                <c:pt idx="309">
                  <c:v>154.4</c:v>
                </c:pt>
                <c:pt idx="310">
                  <c:v>158.4</c:v>
                </c:pt>
                <c:pt idx="311">
                  <c:v>156.9</c:v>
                </c:pt>
                <c:pt idx="312">
                  <c:v>162</c:v>
                </c:pt>
                <c:pt idx="313">
                  <c:v>167.6</c:v>
                </c:pt>
                <c:pt idx="314">
                  <c:v>166.9</c:v>
                </c:pt>
                <c:pt idx="315">
                  <c:v>169.9</c:v>
                </c:pt>
                <c:pt idx="316">
                  <c:v>171.4</c:v>
                </c:pt>
                <c:pt idx="317">
                  <c:v>171.4</c:v>
                </c:pt>
                <c:pt idx="318">
                  <c:v>171.2</c:v>
                </c:pt>
                <c:pt idx="319">
                  <c:v>173</c:v>
                </c:pt>
                <c:pt idx="320">
                  <c:v>175.2</c:v>
                </c:pt>
                <c:pt idx="321">
                  <c:v>172.3</c:v>
                </c:pt>
                <c:pt idx="322">
                  <c:v>171.5</c:v>
                </c:pt>
                <c:pt idx="323">
                  <c:v>173.9</c:v>
                </c:pt>
                <c:pt idx="324">
                  <c:v>178.5</c:v>
                </c:pt>
                <c:pt idx="325">
                  <c:v>182.20000000000002</c:v>
                </c:pt>
                <c:pt idx="326">
                  <c:v>182.29999999999998</c:v>
                </c:pt>
                <c:pt idx="327">
                  <c:v>176.6</c:v>
                </c:pt>
                <c:pt idx="328">
                  <c:v>168.4</c:v>
                </c:pt>
                <c:pt idx="329">
                  <c:v>154.80000000000001</c:v>
                </c:pt>
                <c:pt idx="330">
                  <c:v>142.19999999999999</c:v>
                </c:pt>
                <c:pt idx="331">
                  <c:v>136.5</c:v>
                </c:pt>
                <c:pt idx="332">
                  <c:v>137.30000000000001</c:v>
                </c:pt>
                <c:pt idx="333">
                  <c:v>139.30000000000001</c:v>
                </c:pt>
                <c:pt idx="334">
                  <c:v>145.79999999999998</c:v>
                </c:pt>
                <c:pt idx="335">
                  <c:v>156.1</c:v>
                </c:pt>
                <c:pt idx="336">
                  <c:v>169.6</c:v>
                </c:pt>
                <c:pt idx="337">
                  <c:v>181.6</c:v>
                </c:pt>
                <c:pt idx="338">
                  <c:v>190.3</c:v>
                </c:pt>
                <c:pt idx="339">
                  <c:v>196.8</c:v>
                </c:pt>
                <c:pt idx="340">
                  <c:v>201.2</c:v>
                </c:pt>
                <c:pt idx="341">
                  <c:v>200</c:v>
                </c:pt>
                <c:pt idx="342">
                  <c:v>191.3</c:v>
                </c:pt>
                <c:pt idx="343">
                  <c:v>182</c:v>
                </c:pt>
                <c:pt idx="344">
                  <c:v>172.2</c:v>
                </c:pt>
                <c:pt idx="345">
                  <c:v>164.79999999999998</c:v>
                </c:pt>
                <c:pt idx="346">
                  <c:v>160</c:v>
                </c:pt>
                <c:pt idx="347">
                  <c:v>158.1</c:v>
                </c:pt>
                <c:pt idx="348">
                  <c:v>160.80000000000001</c:v>
                </c:pt>
                <c:pt idx="349">
                  <c:v>166.4</c:v>
                </c:pt>
                <c:pt idx="350">
                  <c:v>174.3</c:v>
                </c:pt>
                <c:pt idx="351">
                  <c:v>178</c:v>
                </c:pt>
                <c:pt idx="352">
                  <c:v>171.8</c:v>
                </c:pt>
                <c:pt idx="353">
                  <c:v>161.69999999999999</c:v>
                </c:pt>
                <c:pt idx="354">
                  <c:v>149.30000000000001</c:v>
                </c:pt>
                <c:pt idx="355">
                  <c:v>136.80000000000001</c:v>
                </c:pt>
                <c:pt idx="356">
                  <c:v>124.30000000000001</c:v>
                </c:pt>
                <c:pt idx="357">
                  <c:v>119.8</c:v>
                </c:pt>
                <c:pt idx="358">
                  <c:v>123.8</c:v>
                </c:pt>
                <c:pt idx="359">
                  <c:v>138.79999999999998</c:v>
                </c:pt>
                <c:pt idx="360">
                  <c:v>159.20000000000002</c:v>
                </c:pt>
                <c:pt idx="361">
                  <c:v>181.9</c:v>
                </c:pt>
                <c:pt idx="362">
                  <c:v>204.8</c:v>
                </c:pt>
                <c:pt idx="363">
                  <c:v>223.8</c:v>
                </c:pt>
                <c:pt idx="364">
                  <c:v>234.79999999999998</c:v>
                </c:pt>
                <c:pt idx="365">
                  <c:v>230.9</c:v>
                </c:pt>
                <c:pt idx="366">
                  <c:v>220.00000000000003</c:v>
                </c:pt>
                <c:pt idx="367">
                  <c:v>200.89999999999998</c:v>
                </c:pt>
                <c:pt idx="368">
                  <c:v>179.7</c:v>
                </c:pt>
                <c:pt idx="369">
                  <c:v>161</c:v>
                </c:pt>
                <c:pt idx="370">
                  <c:v>148</c:v>
                </c:pt>
                <c:pt idx="371">
                  <c:v>140</c:v>
                </c:pt>
                <c:pt idx="372">
                  <c:v>145.4</c:v>
                </c:pt>
                <c:pt idx="373">
                  <c:v>151.6</c:v>
                </c:pt>
                <c:pt idx="374">
                  <c:v>160.69999999999999</c:v>
                </c:pt>
                <c:pt idx="375">
                  <c:v>169</c:v>
                </c:pt>
                <c:pt idx="376">
                  <c:v>169</c:v>
                </c:pt>
                <c:pt idx="377">
                  <c:v>161.9</c:v>
                </c:pt>
                <c:pt idx="378">
                  <c:v>147.19999999999999</c:v>
                </c:pt>
                <c:pt idx="379">
                  <c:v>130.1</c:v>
                </c:pt>
                <c:pt idx="380">
                  <c:v>112.6</c:v>
                </c:pt>
                <c:pt idx="381">
                  <c:v>102.49999999999999</c:v>
                </c:pt>
                <c:pt idx="382">
                  <c:v>102.8</c:v>
                </c:pt>
                <c:pt idx="383">
                  <c:v>115.3</c:v>
                </c:pt>
                <c:pt idx="384">
                  <c:v>140.9</c:v>
                </c:pt>
                <c:pt idx="385">
                  <c:v>171.4</c:v>
                </c:pt>
                <c:pt idx="386">
                  <c:v>202.59999999999997</c:v>
                </c:pt>
                <c:pt idx="387">
                  <c:v>231.5</c:v>
                </c:pt>
                <c:pt idx="388">
                  <c:v>252.1</c:v>
                </c:pt>
                <c:pt idx="389">
                  <c:v>259.7</c:v>
                </c:pt>
                <c:pt idx="390">
                  <c:v>254.5</c:v>
                </c:pt>
                <c:pt idx="391">
                  <c:v>233.8</c:v>
                </c:pt>
                <c:pt idx="392">
                  <c:v>206.1</c:v>
                </c:pt>
                <c:pt idx="393">
                  <c:v>175.6</c:v>
                </c:pt>
                <c:pt idx="394">
                  <c:v>152.6</c:v>
                </c:pt>
                <c:pt idx="395">
                  <c:v>137.5</c:v>
                </c:pt>
                <c:pt idx="396">
                  <c:v>133.69999999999999</c:v>
                </c:pt>
                <c:pt idx="397">
                  <c:v>140.9</c:v>
                </c:pt>
                <c:pt idx="398">
                  <c:v>151.89999999999998</c:v>
                </c:pt>
                <c:pt idx="399">
                  <c:v>161.30000000000001</c:v>
                </c:pt>
                <c:pt idx="400">
                  <c:v>165</c:v>
                </c:pt>
                <c:pt idx="401">
                  <c:v>159.60000000000002</c:v>
                </c:pt>
                <c:pt idx="402">
                  <c:v>147.19999999999999</c:v>
                </c:pt>
                <c:pt idx="403">
                  <c:v>130.80000000000001</c:v>
                </c:pt>
                <c:pt idx="404">
                  <c:v>112.6</c:v>
                </c:pt>
                <c:pt idx="405">
                  <c:v>94.399999999999991</c:v>
                </c:pt>
                <c:pt idx="406">
                  <c:v>88.4</c:v>
                </c:pt>
                <c:pt idx="407">
                  <c:v>93.600000000000009</c:v>
                </c:pt>
                <c:pt idx="408">
                  <c:v>115.9</c:v>
                </c:pt>
                <c:pt idx="409">
                  <c:v>149</c:v>
                </c:pt>
                <c:pt idx="410">
                  <c:v>187.1</c:v>
                </c:pt>
                <c:pt idx="411">
                  <c:v>225.70000000000002</c:v>
                </c:pt>
                <c:pt idx="412">
                  <c:v>255.39999999999998</c:v>
                </c:pt>
                <c:pt idx="413">
                  <c:v>273</c:v>
                </c:pt>
                <c:pt idx="414">
                  <c:v>274.7</c:v>
                </c:pt>
                <c:pt idx="415">
                  <c:v>259.8</c:v>
                </c:pt>
                <c:pt idx="416">
                  <c:v>231.9</c:v>
                </c:pt>
                <c:pt idx="417">
                  <c:v>199</c:v>
                </c:pt>
                <c:pt idx="418">
                  <c:v>169.2</c:v>
                </c:pt>
                <c:pt idx="419">
                  <c:v>142.19999999999999</c:v>
                </c:pt>
                <c:pt idx="420">
                  <c:v>129.69999999999999</c:v>
                </c:pt>
                <c:pt idx="421">
                  <c:v>129</c:v>
                </c:pt>
                <c:pt idx="422">
                  <c:v>138.6</c:v>
                </c:pt>
                <c:pt idx="423">
                  <c:v>149.70000000000002</c:v>
                </c:pt>
                <c:pt idx="424">
                  <c:v>157.80000000000001</c:v>
                </c:pt>
                <c:pt idx="425">
                  <c:v>157.5</c:v>
                </c:pt>
                <c:pt idx="426">
                  <c:v>146.9</c:v>
                </c:pt>
                <c:pt idx="427">
                  <c:v>131.9</c:v>
                </c:pt>
                <c:pt idx="428">
                  <c:v>113.39999999999999</c:v>
                </c:pt>
                <c:pt idx="429">
                  <c:v>94.699999999999989</c:v>
                </c:pt>
                <c:pt idx="430">
                  <c:v>78.100000000000009</c:v>
                </c:pt>
                <c:pt idx="431">
                  <c:v>74.8</c:v>
                </c:pt>
                <c:pt idx="432">
                  <c:v>88.9</c:v>
                </c:pt>
                <c:pt idx="433">
                  <c:v>119.39999999999999</c:v>
                </c:pt>
                <c:pt idx="434">
                  <c:v>161.4</c:v>
                </c:pt>
                <c:pt idx="435">
                  <c:v>208.9</c:v>
                </c:pt>
                <c:pt idx="436">
                  <c:v>247.40000000000003</c:v>
                </c:pt>
                <c:pt idx="437">
                  <c:v>276.90000000000003</c:v>
                </c:pt>
                <c:pt idx="438">
                  <c:v>288</c:v>
                </c:pt>
                <c:pt idx="439">
                  <c:v>281.2</c:v>
                </c:pt>
                <c:pt idx="440">
                  <c:v>256.8</c:v>
                </c:pt>
                <c:pt idx="441">
                  <c:v>222.5</c:v>
                </c:pt>
                <c:pt idx="442">
                  <c:v>190.39999999999998</c:v>
                </c:pt>
                <c:pt idx="443">
                  <c:v>158.5</c:v>
                </c:pt>
                <c:pt idx="444">
                  <c:v>138.1</c:v>
                </c:pt>
                <c:pt idx="445">
                  <c:v>128.1</c:v>
                </c:pt>
                <c:pt idx="446">
                  <c:v>129.5</c:v>
                </c:pt>
                <c:pt idx="447">
                  <c:v>142.5</c:v>
                </c:pt>
                <c:pt idx="448">
                  <c:v>149.19999999999999</c:v>
                </c:pt>
                <c:pt idx="449">
                  <c:v>155.9</c:v>
                </c:pt>
                <c:pt idx="450">
                  <c:v>151.1</c:v>
                </c:pt>
                <c:pt idx="451">
                  <c:v>136.80000000000001</c:v>
                </c:pt>
                <c:pt idx="452">
                  <c:v>119</c:v>
                </c:pt>
                <c:pt idx="453">
                  <c:v>100.1</c:v>
                </c:pt>
                <c:pt idx="454">
                  <c:v>83</c:v>
                </c:pt>
                <c:pt idx="455">
                  <c:v>65.3</c:v>
                </c:pt>
                <c:pt idx="456">
                  <c:v>65.2</c:v>
                </c:pt>
                <c:pt idx="457">
                  <c:v>86.8</c:v>
                </c:pt>
                <c:pt idx="458">
                  <c:v>125.2</c:v>
                </c:pt>
                <c:pt idx="459">
                  <c:v>174.8</c:v>
                </c:pt>
                <c:pt idx="460">
                  <c:v>225.89999999999998</c:v>
                </c:pt>
                <c:pt idx="461">
                  <c:v>264.5</c:v>
                </c:pt>
                <c:pt idx="462">
                  <c:v>287</c:v>
                </c:pt>
                <c:pt idx="463">
                  <c:v>288.89999999999998</c:v>
                </c:pt>
                <c:pt idx="464">
                  <c:v>271.09999999999997</c:v>
                </c:pt>
                <c:pt idx="465">
                  <c:v>242.20000000000002</c:v>
                </c:pt>
                <c:pt idx="466">
                  <c:v>210.8</c:v>
                </c:pt>
                <c:pt idx="467">
                  <c:v>178.5</c:v>
                </c:pt>
                <c:pt idx="468">
                  <c:v>155</c:v>
                </c:pt>
                <c:pt idx="469">
                  <c:v>138.19999999999999</c:v>
                </c:pt>
                <c:pt idx="470">
                  <c:v>132.5</c:v>
                </c:pt>
                <c:pt idx="471">
                  <c:v>138.5</c:v>
                </c:pt>
                <c:pt idx="472">
                  <c:v>149.80000000000001</c:v>
                </c:pt>
                <c:pt idx="473">
                  <c:v>157.69999999999999</c:v>
                </c:pt>
                <c:pt idx="474">
                  <c:v>158.4</c:v>
                </c:pt>
                <c:pt idx="475">
                  <c:v>147.5</c:v>
                </c:pt>
                <c:pt idx="476">
                  <c:v>129.5</c:v>
                </c:pt>
                <c:pt idx="477">
                  <c:v>105.4</c:v>
                </c:pt>
                <c:pt idx="478">
                  <c:v>80.800000000000011</c:v>
                </c:pt>
                <c:pt idx="479">
                  <c:v>62.6</c:v>
                </c:pt>
                <c:pt idx="480">
                  <c:v>56.000000000000007</c:v>
                </c:pt>
                <c:pt idx="481">
                  <c:v>68.5</c:v>
                </c:pt>
                <c:pt idx="482">
                  <c:v>95.8</c:v>
                </c:pt>
                <c:pt idx="483">
                  <c:v>142.6</c:v>
                </c:pt>
                <c:pt idx="484">
                  <c:v>192.1</c:v>
                </c:pt>
                <c:pt idx="485">
                  <c:v>237.5</c:v>
                </c:pt>
                <c:pt idx="486">
                  <c:v>272.5</c:v>
                </c:pt>
                <c:pt idx="487">
                  <c:v>286.2</c:v>
                </c:pt>
                <c:pt idx="488">
                  <c:v>281.5</c:v>
                </c:pt>
                <c:pt idx="489">
                  <c:v>261</c:v>
                </c:pt>
                <c:pt idx="490">
                  <c:v>227.3</c:v>
                </c:pt>
                <c:pt idx="491">
                  <c:v>195.79999999999998</c:v>
                </c:pt>
                <c:pt idx="492">
                  <c:v>171</c:v>
                </c:pt>
                <c:pt idx="493">
                  <c:v>152.4</c:v>
                </c:pt>
                <c:pt idx="494">
                  <c:v>141.9</c:v>
                </c:pt>
                <c:pt idx="495">
                  <c:v>139</c:v>
                </c:pt>
                <c:pt idx="496">
                  <c:v>150.5</c:v>
                </c:pt>
                <c:pt idx="497">
                  <c:v>161.4</c:v>
                </c:pt>
                <c:pt idx="498">
                  <c:v>168.70000000000002</c:v>
                </c:pt>
                <c:pt idx="499">
                  <c:v>162.1</c:v>
                </c:pt>
                <c:pt idx="500">
                  <c:v>150.5</c:v>
                </c:pt>
                <c:pt idx="501">
                  <c:v>125.4</c:v>
                </c:pt>
                <c:pt idx="502">
                  <c:v>101.2</c:v>
                </c:pt>
                <c:pt idx="503">
                  <c:v>81.5</c:v>
                </c:pt>
                <c:pt idx="504">
                  <c:v>68.8</c:v>
                </c:pt>
                <c:pt idx="505">
                  <c:v>61.5</c:v>
                </c:pt>
                <c:pt idx="506">
                  <c:v>77.8</c:v>
                </c:pt>
                <c:pt idx="507">
                  <c:v>111.00000000000001</c:v>
                </c:pt>
                <c:pt idx="508">
                  <c:v>159.69999999999999</c:v>
                </c:pt>
                <c:pt idx="509">
                  <c:v>208.5</c:v>
                </c:pt>
                <c:pt idx="510">
                  <c:v>246.60000000000002</c:v>
                </c:pt>
                <c:pt idx="511">
                  <c:v>268.5</c:v>
                </c:pt>
                <c:pt idx="512">
                  <c:v>270.40000000000003</c:v>
                </c:pt>
                <c:pt idx="513">
                  <c:v>264.8</c:v>
                </c:pt>
                <c:pt idx="514">
                  <c:v>242.70000000000002</c:v>
                </c:pt>
                <c:pt idx="515">
                  <c:v>208.1</c:v>
                </c:pt>
                <c:pt idx="516">
                  <c:v>178.9</c:v>
                </c:pt>
                <c:pt idx="517">
                  <c:v>162.79999999999998</c:v>
                </c:pt>
                <c:pt idx="518">
                  <c:v>146.69999999999999</c:v>
                </c:pt>
                <c:pt idx="519">
                  <c:v>144.5</c:v>
                </c:pt>
                <c:pt idx="520">
                  <c:v>151.5</c:v>
                </c:pt>
                <c:pt idx="521">
                  <c:v>162.20000000000002</c:v>
                </c:pt>
                <c:pt idx="522">
                  <c:v>171.2</c:v>
                </c:pt>
                <c:pt idx="523">
                  <c:v>173.4</c:v>
                </c:pt>
                <c:pt idx="524">
                  <c:v>165.79999999999998</c:v>
                </c:pt>
                <c:pt idx="525">
                  <c:v>150</c:v>
                </c:pt>
                <c:pt idx="526">
                  <c:v>129.1</c:v>
                </c:pt>
                <c:pt idx="527">
                  <c:v>105.80000000000001</c:v>
                </c:pt>
                <c:pt idx="528">
                  <c:v>83.399999999999991</c:v>
                </c:pt>
                <c:pt idx="529">
                  <c:v>71.2</c:v>
                </c:pt>
                <c:pt idx="530">
                  <c:v>72.8</c:v>
                </c:pt>
                <c:pt idx="531">
                  <c:v>91</c:v>
                </c:pt>
                <c:pt idx="532">
                  <c:v>126.8</c:v>
                </c:pt>
                <c:pt idx="533">
                  <c:v>176.5</c:v>
                </c:pt>
                <c:pt idx="534">
                  <c:v>219.70000000000002</c:v>
                </c:pt>
                <c:pt idx="535">
                  <c:v>253.2</c:v>
                </c:pt>
                <c:pt idx="536">
                  <c:v>264.2</c:v>
                </c:pt>
                <c:pt idx="537">
                  <c:v>258</c:v>
                </c:pt>
                <c:pt idx="538">
                  <c:v>244.3</c:v>
                </c:pt>
                <c:pt idx="539">
                  <c:v>217.1</c:v>
                </c:pt>
                <c:pt idx="540">
                  <c:v>189.7</c:v>
                </c:pt>
                <c:pt idx="541">
                  <c:v>165.6</c:v>
                </c:pt>
                <c:pt idx="542">
                  <c:v>147.9</c:v>
                </c:pt>
                <c:pt idx="543">
                  <c:v>140.5</c:v>
                </c:pt>
                <c:pt idx="544">
                  <c:v>146.70000000000002</c:v>
                </c:pt>
                <c:pt idx="545">
                  <c:v>160.80000000000001</c:v>
                </c:pt>
                <c:pt idx="546">
                  <c:v>174.70000000000002</c:v>
                </c:pt>
                <c:pt idx="547">
                  <c:v>182.4</c:v>
                </c:pt>
                <c:pt idx="548">
                  <c:v>182.1</c:v>
                </c:pt>
                <c:pt idx="549">
                  <c:v>168.3</c:v>
                </c:pt>
                <c:pt idx="550">
                  <c:v>148.5</c:v>
                </c:pt>
                <c:pt idx="551">
                  <c:v>128.69999999999999</c:v>
                </c:pt>
                <c:pt idx="552">
                  <c:v>111.80000000000001</c:v>
                </c:pt>
                <c:pt idx="553">
                  <c:v>93.899999999999991</c:v>
                </c:pt>
                <c:pt idx="554">
                  <c:v>89.2</c:v>
                </c:pt>
                <c:pt idx="555">
                  <c:v>97.3</c:v>
                </c:pt>
                <c:pt idx="556">
                  <c:v>118.6</c:v>
                </c:pt>
                <c:pt idx="557">
                  <c:v>152.4</c:v>
                </c:pt>
                <c:pt idx="558">
                  <c:v>195.9</c:v>
                </c:pt>
                <c:pt idx="559">
                  <c:v>232.10000000000002</c:v>
                </c:pt>
                <c:pt idx="560">
                  <c:v>250.4</c:v>
                </c:pt>
                <c:pt idx="561">
                  <c:v>250.1</c:v>
                </c:pt>
                <c:pt idx="562">
                  <c:v>241.1</c:v>
                </c:pt>
                <c:pt idx="563">
                  <c:v>223.8</c:v>
                </c:pt>
                <c:pt idx="564">
                  <c:v>199.8</c:v>
                </c:pt>
                <c:pt idx="565">
                  <c:v>176.6</c:v>
                </c:pt>
                <c:pt idx="566">
                  <c:v>155</c:v>
                </c:pt>
                <c:pt idx="567">
                  <c:v>140.69999999999999</c:v>
                </c:pt>
                <c:pt idx="568">
                  <c:v>141.4</c:v>
                </c:pt>
                <c:pt idx="569">
                  <c:v>154.5</c:v>
                </c:pt>
                <c:pt idx="570">
                  <c:v>170</c:v>
                </c:pt>
                <c:pt idx="571">
                  <c:v>181.7</c:v>
                </c:pt>
                <c:pt idx="572">
                  <c:v>188.1</c:v>
                </c:pt>
                <c:pt idx="573">
                  <c:v>184.4</c:v>
                </c:pt>
                <c:pt idx="574">
                  <c:v>171.9</c:v>
                </c:pt>
                <c:pt idx="575">
                  <c:v>153.69999999999999</c:v>
                </c:pt>
                <c:pt idx="576">
                  <c:v>134.9</c:v>
                </c:pt>
                <c:pt idx="577">
                  <c:v>121.9</c:v>
                </c:pt>
                <c:pt idx="578">
                  <c:v>111.60000000000001</c:v>
                </c:pt>
                <c:pt idx="579">
                  <c:v>113.9</c:v>
                </c:pt>
                <c:pt idx="580">
                  <c:v>122</c:v>
                </c:pt>
                <c:pt idx="581">
                  <c:v>143.5</c:v>
                </c:pt>
                <c:pt idx="582">
                  <c:v>176.8</c:v>
                </c:pt>
                <c:pt idx="583">
                  <c:v>208.8</c:v>
                </c:pt>
                <c:pt idx="584">
                  <c:v>230.29999999999998</c:v>
                </c:pt>
                <c:pt idx="585">
                  <c:v>237.9</c:v>
                </c:pt>
                <c:pt idx="586">
                  <c:v>233.8</c:v>
                </c:pt>
                <c:pt idx="587">
                  <c:v>222.10000000000002</c:v>
                </c:pt>
                <c:pt idx="588">
                  <c:v>204.2</c:v>
                </c:pt>
                <c:pt idx="589">
                  <c:v>184.9</c:v>
                </c:pt>
                <c:pt idx="590">
                  <c:v>161.4</c:v>
                </c:pt>
                <c:pt idx="591">
                  <c:v>142.5</c:v>
                </c:pt>
                <c:pt idx="592">
                  <c:v>137.9</c:v>
                </c:pt>
                <c:pt idx="593">
                  <c:v>143.1</c:v>
                </c:pt>
                <c:pt idx="594">
                  <c:v>152.4</c:v>
                </c:pt>
                <c:pt idx="595">
                  <c:v>167.6</c:v>
                </c:pt>
                <c:pt idx="596">
                  <c:v>178</c:v>
                </c:pt>
                <c:pt idx="597">
                  <c:v>183.1</c:v>
                </c:pt>
                <c:pt idx="598">
                  <c:v>181</c:v>
                </c:pt>
                <c:pt idx="599">
                  <c:v>167.9</c:v>
                </c:pt>
                <c:pt idx="600">
                  <c:v>156.9</c:v>
                </c:pt>
                <c:pt idx="601">
                  <c:v>143.30000000000001</c:v>
                </c:pt>
                <c:pt idx="602">
                  <c:v>133.80000000000001</c:v>
                </c:pt>
                <c:pt idx="603">
                  <c:v>134</c:v>
                </c:pt>
                <c:pt idx="604">
                  <c:v>138.1</c:v>
                </c:pt>
                <c:pt idx="605">
                  <c:v>146.70000000000002</c:v>
                </c:pt>
                <c:pt idx="606">
                  <c:v>165.7</c:v>
                </c:pt>
                <c:pt idx="607">
                  <c:v>191.2</c:v>
                </c:pt>
                <c:pt idx="608">
                  <c:v>208.70000000000002</c:v>
                </c:pt>
                <c:pt idx="609">
                  <c:v>218.5</c:v>
                </c:pt>
                <c:pt idx="610">
                  <c:v>221.89999999999998</c:v>
                </c:pt>
                <c:pt idx="611">
                  <c:v>217</c:v>
                </c:pt>
                <c:pt idx="612">
                  <c:v>205.7</c:v>
                </c:pt>
                <c:pt idx="613">
                  <c:v>185.5</c:v>
                </c:pt>
                <c:pt idx="614">
                  <c:v>165.3</c:v>
                </c:pt>
                <c:pt idx="615">
                  <c:v>146.4</c:v>
                </c:pt>
                <c:pt idx="616">
                  <c:v>133.4</c:v>
                </c:pt>
                <c:pt idx="617">
                  <c:v>127.89999999999999</c:v>
                </c:pt>
                <c:pt idx="618">
                  <c:v>133.69999999999999</c:v>
                </c:pt>
                <c:pt idx="619">
                  <c:v>142.9</c:v>
                </c:pt>
                <c:pt idx="620">
                  <c:v>154</c:v>
                </c:pt>
                <c:pt idx="621">
                  <c:v>164.39999999999998</c:v>
                </c:pt>
                <c:pt idx="622">
                  <c:v>176.1</c:v>
                </c:pt>
                <c:pt idx="623">
                  <c:v>179.6</c:v>
                </c:pt>
                <c:pt idx="624">
                  <c:v>179</c:v>
                </c:pt>
                <c:pt idx="625">
                  <c:v>172.4</c:v>
                </c:pt>
                <c:pt idx="626">
                  <c:v>161.69999999999999</c:v>
                </c:pt>
                <c:pt idx="627">
                  <c:v>156.6</c:v>
                </c:pt>
                <c:pt idx="628">
                  <c:v>153.19999999999999</c:v>
                </c:pt>
                <c:pt idx="629">
                  <c:v>156.80000000000001</c:v>
                </c:pt>
                <c:pt idx="630">
                  <c:v>166.5</c:v>
                </c:pt>
                <c:pt idx="631">
                  <c:v>178.4</c:v>
                </c:pt>
                <c:pt idx="632">
                  <c:v>193.79999999999998</c:v>
                </c:pt>
                <c:pt idx="633">
                  <c:v>197.3</c:v>
                </c:pt>
                <c:pt idx="634">
                  <c:v>197</c:v>
                </c:pt>
                <c:pt idx="635">
                  <c:v>194.4</c:v>
                </c:pt>
                <c:pt idx="636">
                  <c:v>182.4</c:v>
                </c:pt>
                <c:pt idx="637">
                  <c:v>173.5</c:v>
                </c:pt>
                <c:pt idx="638">
                  <c:v>163.69999999999999</c:v>
                </c:pt>
                <c:pt idx="639">
                  <c:v>148.10000000000002</c:v>
                </c:pt>
                <c:pt idx="640">
                  <c:v>133.20000000000002</c:v>
                </c:pt>
                <c:pt idx="641">
                  <c:v>124.70000000000002</c:v>
                </c:pt>
                <c:pt idx="642">
                  <c:v>119.6</c:v>
                </c:pt>
                <c:pt idx="643">
                  <c:v>121.39999999999999</c:v>
                </c:pt>
                <c:pt idx="644">
                  <c:v>131.80000000000001</c:v>
                </c:pt>
                <c:pt idx="645">
                  <c:v>146.6</c:v>
                </c:pt>
                <c:pt idx="646">
                  <c:v>160</c:v>
                </c:pt>
                <c:pt idx="647">
                  <c:v>169.9</c:v>
                </c:pt>
                <c:pt idx="648">
                  <c:v>177</c:v>
                </c:pt>
                <c:pt idx="649">
                  <c:v>180.5</c:v>
                </c:pt>
                <c:pt idx="650">
                  <c:v>182.9</c:v>
                </c:pt>
                <c:pt idx="651">
                  <c:v>182.6</c:v>
                </c:pt>
                <c:pt idx="652">
                  <c:v>178.8</c:v>
                </c:pt>
                <c:pt idx="653">
                  <c:v>173.70000000000002</c:v>
                </c:pt>
                <c:pt idx="654">
                  <c:v>169.70000000000002</c:v>
                </c:pt>
                <c:pt idx="655">
                  <c:v>172.8</c:v>
                </c:pt>
                <c:pt idx="656">
                  <c:v>175.6</c:v>
                </c:pt>
                <c:pt idx="657">
                  <c:v>180</c:v>
                </c:pt>
                <c:pt idx="658">
                  <c:v>183.1</c:v>
                </c:pt>
                <c:pt idx="659">
                  <c:v>180.9</c:v>
                </c:pt>
                <c:pt idx="660">
                  <c:v>176</c:v>
                </c:pt>
                <c:pt idx="661">
                  <c:v>170.9</c:v>
                </c:pt>
                <c:pt idx="662">
                  <c:v>161.69999999999999</c:v>
                </c:pt>
                <c:pt idx="663">
                  <c:v>152.4</c:v>
                </c:pt>
                <c:pt idx="664">
                  <c:v>141.9</c:v>
                </c:pt>
                <c:pt idx="665">
                  <c:v>131.4</c:v>
                </c:pt>
                <c:pt idx="666">
                  <c:v>122.10000000000001</c:v>
                </c:pt>
                <c:pt idx="667">
                  <c:v>117.10000000000001</c:v>
                </c:pt>
                <c:pt idx="668">
                  <c:v>114.9</c:v>
                </c:pt>
                <c:pt idx="669">
                  <c:v>124.4</c:v>
                </c:pt>
                <c:pt idx="670">
                  <c:v>138.5</c:v>
                </c:pt>
                <c:pt idx="671">
                  <c:v>156.69999999999999</c:v>
                </c:pt>
                <c:pt idx="672">
                  <c:v>171.9</c:v>
                </c:pt>
                <c:pt idx="673">
                  <c:v>188.7</c:v>
                </c:pt>
                <c:pt idx="674">
                  <c:v>200.70000000000002</c:v>
                </c:pt>
                <c:pt idx="675">
                  <c:v>205.29999999999998</c:v>
                </c:pt>
                <c:pt idx="676">
                  <c:v>203.79999999999998</c:v>
                </c:pt>
                <c:pt idx="677">
                  <c:v>197.2</c:v>
                </c:pt>
                <c:pt idx="678">
                  <c:v>192</c:v>
                </c:pt>
                <c:pt idx="679">
                  <c:v>184.7</c:v>
                </c:pt>
                <c:pt idx="680">
                  <c:v>175.7</c:v>
                </c:pt>
                <c:pt idx="681">
                  <c:v>168.4</c:v>
                </c:pt>
                <c:pt idx="682">
                  <c:v>163.5</c:v>
                </c:pt>
                <c:pt idx="683">
                  <c:v>165.39999999999998</c:v>
                </c:pt>
                <c:pt idx="684">
                  <c:v>166.79999999999998</c:v>
                </c:pt>
                <c:pt idx="685">
                  <c:v>167.2</c:v>
                </c:pt>
                <c:pt idx="686">
                  <c:v>166.79999999999998</c:v>
                </c:pt>
                <c:pt idx="687">
                  <c:v>158.80000000000001</c:v>
                </c:pt>
                <c:pt idx="688">
                  <c:v>149.5</c:v>
                </c:pt>
                <c:pt idx="689">
                  <c:v>139.9</c:v>
                </c:pt>
                <c:pt idx="690">
                  <c:v>126.2</c:v>
                </c:pt>
                <c:pt idx="691">
                  <c:v>114.39999999999999</c:v>
                </c:pt>
                <c:pt idx="692">
                  <c:v>111.4</c:v>
                </c:pt>
                <c:pt idx="693">
                  <c:v>112.99999999999999</c:v>
                </c:pt>
                <c:pt idx="694">
                  <c:v>120.39999999999999</c:v>
                </c:pt>
                <c:pt idx="695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8-4D49-BB36-1D521F2CD2EA}"/>
            </c:ext>
          </c:extLst>
        </c:ser>
        <c:ser>
          <c:idx val="1"/>
          <c:order val="1"/>
          <c:tx>
            <c:strRef>
              <c:f>ChartDatA!$M$9</c:f>
              <c:strCache>
                <c:ptCount val="1"/>
                <c:pt idx="0">
                  <c:v>HAT</c:v>
                </c:pt>
              </c:strCache>
            </c:strRef>
          </c:tx>
          <c:spPr>
            <a:ln w="28575">
              <a:solidFill>
                <a:srgbClr val="FF00FF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FF00FF"/>
              </a:solidFill>
              <a:ln w="28575">
                <a:solidFill>
                  <a:srgbClr val="FF00FF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ChartDatA!$M$10:$M$11</c:f>
              <c:numCache>
                <c:formatCode>General</c:formatCode>
                <c:ptCount val="2"/>
                <c:pt idx="0">
                  <c:v>335.38423382986963</c:v>
                </c:pt>
                <c:pt idx="1">
                  <c:v>335.38423382986963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8-4D49-BB36-1D521F2CD2EA}"/>
            </c:ext>
          </c:extLst>
        </c:ser>
        <c:ser>
          <c:idx val="2"/>
          <c:order val="2"/>
          <c:tx>
            <c:strRef>
              <c:f>ChartDatA!$N$9</c:f>
              <c:strCache>
                <c:ptCount val="1"/>
                <c:pt idx="0">
                  <c:v>HHWS</c:v>
                </c:pt>
              </c:strCache>
            </c:strRef>
          </c:tx>
          <c:spPr>
            <a:ln w="28575">
              <a:solidFill>
                <a:srgbClr val="FF660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00B050"/>
              </a:solidFill>
              <a:ln w="28575">
                <a:solidFill>
                  <a:srgbClr val="DFDFDF"/>
                </a:solidFill>
                <a:prstDash val="sysDash"/>
              </a:ln>
            </c:spPr>
          </c:marker>
          <c:dPt>
            <c:idx val="1"/>
            <c:bubble3D val="0"/>
            <c:spPr>
              <a:ln w="28575">
                <a:solidFill>
                  <a:srgbClr val="00B05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3-C868-4D49-BB36-1D521F2CD2EA}"/>
              </c:ext>
            </c:extLst>
          </c:dPt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ChartDatA!$N$10:$N$11</c:f>
              <c:numCache>
                <c:formatCode>General</c:formatCode>
                <c:ptCount val="2"/>
                <c:pt idx="0">
                  <c:v>292.75776980177898</c:v>
                </c:pt>
                <c:pt idx="1">
                  <c:v>292.75776980177898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68-4D49-BB36-1D521F2CD2EA}"/>
            </c:ext>
          </c:extLst>
        </c:ser>
        <c:ser>
          <c:idx val="3"/>
          <c:order val="3"/>
          <c:tx>
            <c:strRef>
              <c:f>ChartDatA!$O$9</c:f>
              <c:strCache>
                <c:ptCount val="1"/>
                <c:pt idx="0">
                  <c:v>MHWN</c:v>
                </c:pt>
              </c:strCache>
            </c:strRef>
          </c:tx>
          <c:spPr>
            <a:ln w="28575">
              <a:solidFill>
                <a:srgbClr val="0070C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0070C0"/>
              </a:solidFill>
              <a:ln w="28575">
                <a:solidFill>
                  <a:schemeClr val="tx1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ChartDatA!$O$10:$O$11</c:f>
              <c:numCache>
                <c:formatCode>General</c:formatCode>
                <c:ptCount val="2"/>
                <c:pt idx="0">
                  <c:v>230.30829491683608</c:v>
                </c:pt>
                <c:pt idx="1">
                  <c:v>230.30829491683608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68-4D49-BB36-1D521F2CD2EA}"/>
            </c:ext>
          </c:extLst>
        </c:ser>
        <c:ser>
          <c:idx val="4"/>
          <c:order val="4"/>
          <c:tx>
            <c:strRef>
              <c:f>ChartDatA!$P$9</c:f>
              <c:strCache>
                <c:ptCount val="1"/>
                <c:pt idx="0">
                  <c:v>MSL</c:v>
                </c:pt>
              </c:strCache>
            </c:strRef>
          </c:tx>
          <c:spPr>
            <a:ln w="28575">
              <a:solidFill>
                <a:schemeClr val="tx1"/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tx1"/>
              </a:solidFill>
              <a:ln w="28575">
                <a:solidFill>
                  <a:schemeClr val="tx1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ChartDatA!$P$10:$P$11</c:f>
              <c:numCache>
                <c:formatCode>General</c:formatCode>
                <c:ptCount val="2"/>
                <c:pt idx="0">
                  <c:v>166.16831896551724</c:v>
                </c:pt>
                <c:pt idx="1">
                  <c:v>166.16831896551724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68-4D49-BB36-1D521F2CD2EA}"/>
            </c:ext>
          </c:extLst>
        </c:ser>
        <c:ser>
          <c:idx val="5"/>
          <c:order val="5"/>
          <c:tx>
            <c:strRef>
              <c:f>ChartDatA!$Q$9</c:f>
              <c:strCache>
                <c:ptCount val="1"/>
                <c:pt idx="0">
                  <c:v>MLWN</c:v>
                </c:pt>
              </c:strCache>
            </c:strRef>
          </c:tx>
          <c:spPr>
            <a:ln w="28575">
              <a:solidFill>
                <a:schemeClr val="accent6"/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accent6"/>
              </a:solidFill>
              <a:ln w="28575">
                <a:solidFill>
                  <a:schemeClr val="accent6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ChartDatA!$Q$10:$Q$11</c:f>
              <c:numCache>
                <c:formatCode>General</c:formatCode>
                <c:ptCount val="2"/>
                <c:pt idx="0">
                  <c:v>87.140552568349534</c:v>
                </c:pt>
                <c:pt idx="1">
                  <c:v>87.140552568349534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68-4D49-BB36-1D521F2CD2EA}"/>
            </c:ext>
          </c:extLst>
        </c:ser>
        <c:ser>
          <c:idx val="6"/>
          <c:order val="6"/>
          <c:tx>
            <c:strRef>
              <c:f>ChartDatA!$R$9</c:f>
              <c:strCache>
                <c:ptCount val="1"/>
                <c:pt idx="0">
                  <c:v>LLWS</c:v>
                </c:pt>
              </c:strCache>
            </c:strRef>
          </c:tx>
          <c:spPr>
            <a:ln w="28575">
              <a:solidFill>
                <a:srgbClr val="7030A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7030A0"/>
              </a:solidFill>
              <a:ln w="28575">
                <a:solidFill>
                  <a:srgbClr val="7030A0"/>
                </a:solidFill>
                <a:prstDash val="sysDash"/>
              </a:ln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C868-4D49-BB36-1D521F2CD2EA}"/>
              </c:ext>
            </c:extLst>
          </c:dPt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ChartDatA!$R$10:$R$11</c:f>
              <c:numCache>
                <c:formatCode>General</c:formatCode>
                <c:ptCount val="2"/>
                <c:pt idx="0">
                  <c:v>55.888942901025047</c:v>
                </c:pt>
                <c:pt idx="1">
                  <c:v>55.888942901025047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868-4D49-BB36-1D521F2CD2EA}"/>
            </c:ext>
          </c:extLst>
        </c:ser>
        <c:ser>
          <c:idx val="7"/>
          <c:order val="7"/>
          <c:tx>
            <c:strRef>
              <c:f>ChartDatA!$S$9</c:f>
              <c:strCache>
                <c:ptCount val="1"/>
                <c:pt idx="0">
                  <c:v>LAT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ash"/>
            </a:ln>
          </c:spPr>
          <c:marker>
            <c:symbol val="circle"/>
            <c:size val="7"/>
            <c:spPr>
              <a:solidFill>
                <a:srgbClr val="FF0000"/>
              </a:solidFill>
              <a:ln w="28575">
                <a:solidFill>
                  <a:srgbClr val="FF0000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ChartDatA!$S$10:$S$11</c:f>
              <c:numCache>
                <c:formatCode>General</c:formatCode>
                <c:ptCount val="2"/>
                <c:pt idx="0">
                  <c:v>28.393760180578276</c:v>
                </c:pt>
                <c:pt idx="1">
                  <c:v>28.393760180578276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868-4D49-BB36-1D521F2C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594304"/>
        <c:axId val="282600960"/>
      </c:scatterChart>
      <c:valAx>
        <c:axId val="2825943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Tanggal/Bulan</a:t>
                </a:r>
              </a:p>
            </c:rich>
          </c:tx>
          <c:layout>
            <c:manualLayout>
              <c:xMode val="edge"/>
              <c:yMode val="edge"/>
              <c:x val="0.37225798677512784"/>
              <c:y val="0.88543188850505605"/>
            </c:manualLayout>
          </c:layout>
          <c:overlay val="0"/>
          <c:spPr>
            <a:noFill/>
            <a:ln w="25400">
              <a:noFill/>
            </a:ln>
          </c:spPr>
        </c:title>
        <c:numFmt formatCode="d/mm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600960"/>
        <c:crossesAt val="-50"/>
        <c:crossBetween val="midCat"/>
        <c:majorUnit val="0.99856317249314397"/>
      </c:valAx>
      <c:valAx>
        <c:axId val="282600960"/>
        <c:scaling>
          <c:orientation val="minMax"/>
          <c:max val="350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Elev. Muka Air (Cm) </a:t>
                </a:r>
              </a:p>
            </c:rich>
          </c:tx>
          <c:layout>
            <c:manualLayout>
              <c:xMode val="edge"/>
              <c:yMode val="edge"/>
              <c:x val="1.9309267013892174E-2"/>
              <c:y val="0.34452994995058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594304"/>
        <c:crosses val="autoZero"/>
        <c:crossBetween val="midCat"/>
        <c:majorUnit val="100"/>
        <c:minorUnit val="2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2806042557075126"/>
          <c:y val="0.92409501528703331"/>
          <c:w val="0.71092368607292067"/>
          <c:h val="4.620475076435166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paperSize="9" firstPageNumber="0" orientation="landscape" horizontalDpi="-3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Grafik Pengamatan Pasang Surut</a:t>
            </a:r>
            <a:endParaRPr lang="en-US" sz="15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Pantai Wolo - Kolaka,  29/12/2018 - 26/1/2019</a:t>
            </a:r>
          </a:p>
        </c:rich>
      </c:tx>
      <c:layout>
        <c:manualLayout>
          <c:xMode val="edge"/>
          <c:yMode val="edge"/>
          <c:x val="0.30046592935425059"/>
          <c:y val="3.01837270341207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167737183275756E-2"/>
          <c:y val="0.14246077139740534"/>
          <c:w val="0.87489592755209111"/>
          <c:h val="0.72054506780834382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'data asli x100'!$B$8:$B$703</c:f>
              <c:numCache>
                <c:formatCode>m/d/yyyy\ h:mm</c:formatCode>
                <c:ptCount val="696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</c:numCache>
            </c:numRef>
          </c:xVal>
          <c:yVal>
            <c:numRef>
              <c:f>'data asli x100'!$C$8:$C$703</c:f>
              <c:numCache>
                <c:formatCode>0.00</c:formatCode>
                <c:ptCount val="696"/>
                <c:pt idx="0">
                  <c:v>136</c:v>
                </c:pt>
                <c:pt idx="1">
                  <c:v>165.5</c:v>
                </c:pt>
                <c:pt idx="2">
                  <c:v>198.3</c:v>
                </c:pt>
                <c:pt idx="3">
                  <c:v>224.7</c:v>
                </c:pt>
                <c:pt idx="4">
                  <c:v>239</c:v>
                </c:pt>
                <c:pt idx="5">
                  <c:v>243.00000000000003</c:v>
                </c:pt>
                <c:pt idx="6">
                  <c:v>231.70000000000002</c:v>
                </c:pt>
                <c:pt idx="7">
                  <c:v>212.1</c:v>
                </c:pt>
                <c:pt idx="8">
                  <c:v>188.39999999999998</c:v>
                </c:pt>
                <c:pt idx="9">
                  <c:v>163.69999999999999</c:v>
                </c:pt>
                <c:pt idx="10">
                  <c:v>145.4</c:v>
                </c:pt>
                <c:pt idx="11">
                  <c:v>135.4</c:v>
                </c:pt>
                <c:pt idx="12">
                  <c:v>142</c:v>
                </c:pt>
                <c:pt idx="13">
                  <c:v>156.1</c:v>
                </c:pt>
                <c:pt idx="14">
                  <c:v>173.10000000000002</c:v>
                </c:pt>
                <c:pt idx="15">
                  <c:v>188.9</c:v>
                </c:pt>
                <c:pt idx="16">
                  <c:v>194.9</c:v>
                </c:pt>
                <c:pt idx="17">
                  <c:v>190</c:v>
                </c:pt>
                <c:pt idx="18">
                  <c:v>173.3</c:v>
                </c:pt>
                <c:pt idx="19">
                  <c:v>155</c:v>
                </c:pt>
                <c:pt idx="20">
                  <c:v>132.4</c:v>
                </c:pt>
                <c:pt idx="21">
                  <c:v>110.80000000000001</c:v>
                </c:pt>
                <c:pt idx="22">
                  <c:v>96.899999999999991</c:v>
                </c:pt>
                <c:pt idx="23">
                  <c:v>99.1</c:v>
                </c:pt>
                <c:pt idx="24">
                  <c:v>113.79999999999998</c:v>
                </c:pt>
                <c:pt idx="25">
                  <c:v>143.9</c:v>
                </c:pt>
                <c:pt idx="26">
                  <c:v>184.7</c:v>
                </c:pt>
                <c:pt idx="27">
                  <c:v>222.29999999999998</c:v>
                </c:pt>
                <c:pt idx="28">
                  <c:v>249.10000000000002</c:v>
                </c:pt>
                <c:pt idx="29">
                  <c:v>258.10000000000002</c:v>
                </c:pt>
                <c:pt idx="30">
                  <c:v>251.9</c:v>
                </c:pt>
                <c:pt idx="31">
                  <c:v>232.6</c:v>
                </c:pt>
                <c:pt idx="32">
                  <c:v>202.4</c:v>
                </c:pt>
                <c:pt idx="33">
                  <c:v>171.9</c:v>
                </c:pt>
                <c:pt idx="34">
                  <c:v>144.1</c:v>
                </c:pt>
                <c:pt idx="35">
                  <c:v>125.29999999999998</c:v>
                </c:pt>
                <c:pt idx="36">
                  <c:v>123.2</c:v>
                </c:pt>
                <c:pt idx="37">
                  <c:v>133.20000000000002</c:v>
                </c:pt>
                <c:pt idx="38">
                  <c:v>150</c:v>
                </c:pt>
                <c:pt idx="39">
                  <c:v>169.3</c:v>
                </c:pt>
                <c:pt idx="40">
                  <c:v>183.29999999999998</c:v>
                </c:pt>
                <c:pt idx="41">
                  <c:v>184</c:v>
                </c:pt>
                <c:pt idx="42">
                  <c:v>174.2</c:v>
                </c:pt>
                <c:pt idx="43">
                  <c:v>158.29999999999998</c:v>
                </c:pt>
                <c:pt idx="44">
                  <c:v>133.20000000000002</c:v>
                </c:pt>
                <c:pt idx="45">
                  <c:v>106.69999999999999</c:v>
                </c:pt>
                <c:pt idx="46">
                  <c:v>81.3</c:v>
                </c:pt>
                <c:pt idx="47">
                  <c:v>75.400000000000006</c:v>
                </c:pt>
                <c:pt idx="48">
                  <c:v>90.600000000000009</c:v>
                </c:pt>
                <c:pt idx="49">
                  <c:v>123.10000000000001</c:v>
                </c:pt>
                <c:pt idx="50">
                  <c:v>162.69999999999999</c:v>
                </c:pt>
                <c:pt idx="51">
                  <c:v>205.50000000000003</c:v>
                </c:pt>
                <c:pt idx="52">
                  <c:v>245.6</c:v>
                </c:pt>
                <c:pt idx="53">
                  <c:v>271.39999999999998</c:v>
                </c:pt>
                <c:pt idx="54">
                  <c:v>272.8</c:v>
                </c:pt>
                <c:pt idx="55">
                  <c:v>255.20000000000002</c:v>
                </c:pt>
                <c:pt idx="56">
                  <c:v>222.8</c:v>
                </c:pt>
                <c:pt idx="57">
                  <c:v>182.8</c:v>
                </c:pt>
                <c:pt idx="58">
                  <c:v>148.5</c:v>
                </c:pt>
                <c:pt idx="59">
                  <c:v>122</c:v>
                </c:pt>
                <c:pt idx="60">
                  <c:v>113.6</c:v>
                </c:pt>
                <c:pt idx="61">
                  <c:v>123.4</c:v>
                </c:pt>
                <c:pt idx="62">
                  <c:v>143.4</c:v>
                </c:pt>
                <c:pt idx="63">
                  <c:v>164.1</c:v>
                </c:pt>
                <c:pt idx="64">
                  <c:v>177.8</c:v>
                </c:pt>
                <c:pt idx="65">
                  <c:v>182.1</c:v>
                </c:pt>
                <c:pt idx="66">
                  <c:v>178.7</c:v>
                </c:pt>
                <c:pt idx="67">
                  <c:v>162.60000000000002</c:v>
                </c:pt>
                <c:pt idx="68">
                  <c:v>139.9</c:v>
                </c:pt>
                <c:pt idx="69">
                  <c:v>114.6</c:v>
                </c:pt>
                <c:pt idx="70">
                  <c:v>88.5</c:v>
                </c:pt>
                <c:pt idx="71">
                  <c:v>70.199999999999989</c:v>
                </c:pt>
                <c:pt idx="72">
                  <c:v>74.3</c:v>
                </c:pt>
                <c:pt idx="73">
                  <c:v>100.89999999999999</c:v>
                </c:pt>
                <c:pt idx="74">
                  <c:v>139.5</c:v>
                </c:pt>
                <c:pt idx="75">
                  <c:v>188.39999999999998</c:v>
                </c:pt>
                <c:pt idx="76">
                  <c:v>235.2</c:v>
                </c:pt>
                <c:pt idx="77">
                  <c:v>269.60000000000002</c:v>
                </c:pt>
                <c:pt idx="78">
                  <c:v>281.5</c:v>
                </c:pt>
                <c:pt idx="79">
                  <c:v>273.8</c:v>
                </c:pt>
                <c:pt idx="80">
                  <c:v>246</c:v>
                </c:pt>
                <c:pt idx="81">
                  <c:v>202.8</c:v>
                </c:pt>
                <c:pt idx="82">
                  <c:v>165.3</c:v>
                </c:pt>
                <c:pt idx="83">
                  <c:v>134.5</c:v>
                </c:pt>
                <c:pt idx="84">
                  <c:v>118</c:v>
                </c:pt>
                <c:pt idx="85">
                  <c:v>115.19999999999999</c:v>
                </c:pt>
                <c:pt idx="86">
                  <c:v>126.1</c:v>
                </c:pt>
                <c:pt idx="87">
                  <c:v>147</c:v>
                </c:pt>
                <c:pt idx="88">
                  <c:v>166.79999999999998</c:v>
                </c:pt>
                <c:pt idx="89">
                  <c:v>177.1</c:v>
                </c:pt>
                <c:pt idx="90">
                  <c:v>176.5</c:v>
                </c:pt>
                <c:pt idx="91">
                  <c:v>165.3</c:v>
                </c:pt>
                <c:pt idx="92">
                  <c:v>144.4</c:v>
                </c:pt>
                <c:pt idx="93">
                  <c:v>122.6</c:v>
                </c:pt>
                <c:pt idx="94">
                  <c:v>95.6</c:v>
                </c:pt>
                <c:pt idx="95">
                  <c:v>73.8</c:v>
                </c:pt>
                <c:pt idx="96">
                  <c:v>68.7</c:v>
                </c:pt>
                <c:pt idx="97">
                  <c:v>86.4</c:v>
                </c:pt>
                <c:pt idx="98">
                  <c:v>124.6</c:v>
                </c:pt>
                <c:pt idx="99">
                  <c:v>170.1</c:v>
                </c:pt>
                <c:pt idx="100">
                  <c:v>219.3</c:v>
                </c:pt>
                <c:pt idx="101">
                  <c:v>259.5</c:v>
                </c:pt>
                <c:pt idx="102">
                  <c:v>281.8</c:v>
                </c:pt>
                <c:pt idx="103">
                  <c:v>284</c:v>
                </c:pt>
                <c:pt idx="104">
                  <c:v>265.7</c:v>
                </c:pt>
                <c:pt idx="105">
                  <c:v>228.79999999999998</c:v>
                </c:pt>
                <c:pt idx="106">
                  <c:v>188.2</c:v>
                </c:pt>
                <c:pt idx="107">
                  <c:v>151.5</c:v>
                </c:pt>
                <c:pt idx="108">
                  <c:v>127</c:v>
                </c:pt>
                <c:pt idx="109">
                  <c:v>116.9</c:v>
                </c:pt>
                <c:pt idx="110">
                  <c:v>122.50000000000001</c:v>
                </c:pt>
                <c:pt idx="111">
                  <c:v>137.5</c:v>
                </c:pt>
                <c:pt idx="112">
                  <c:v>159.4</c:v>
                </c:pt>
                <c:pt idx="113">
                  <c:v>178.4</c:v>
                </c:pt>
                <c:pt idx="114">
                  <c:v>183.9</c:v>
                </c:pt>
                <c:pt idx="115">
                  <c:v>174.5</c:v>
                </c:pt>
                <c:pt idx="116">
                  <c:v>155.4</c:v>
                </c:pt>
                <c:pt idx="117">
                  <c:v>129.5</c:v>
                </c:pt>
                <c:pt idx="118">
                  <c:v>96.3</c:v>
                </c:pt>
                <c:pt idx="119">
                  <c:v>76.2</c:v>
                </c:pt>
                <c:pt idx="120">
                  <c:v>65.8</c:v>
                </c:pt>
                <c:pt idx="121">
                  <c:v>75</c:v>
                </c:pt>
                <c:pt idx="122">
                  <c:v>106.1</c:v>
                </c:pt>
                <c:pt idx="123">
                  <c:v>149.30000000000001</c:v>
                </c:pt>
                <c:pt idx="124">
                  <c:v>199.9</c:v>
                </c:pt>
                <c:pt idx="125">
                  <c:v>243.5</c:v>
                </c:pt>
                <c:pt idx="126">
                  <c:v>274.5</c:v>
                </c:pt>
                <c:pt idx="127">
                  <c:v>284.60000000000002</c:v>
                </c:pt>
                <c:pt idx="128">
                  <c:v>275.8</c:v>
                </c:pt>
                <c:pt idx="129">
                  <c:v>250.59999999999997</c:v>
                </c:pt>
                <c:pt idx="130">
                  <c:v>212.3</c:v>
                </c:pt>
                <c:pt idx="131">
                  <c:v>174.9</c:v>
                </c:pt>
                <c:pt idx="132">
                  <c:v>142.9</c:v>
                </c:pt>
                <c:pt idx="133">
                  <c:v>126.1</c:v>
                </c:pt>
                <c:pt idx="134">
                  <c:v>123.10000000000001</c:v>
                </c:pt>
                <c:pt idx="135">
                  <c:v>137.20000000000002</c:v>
                </c:pt>
                <c:pt idx="136">
                  <c:v>158.80000000000001</c:v>
                </c:pt>
                <c:pt idx="137">
                  <c:v>176.89999999999998</c:v>
                </c:pt>
                <c:pt idx="138">
                  <c:v>181.29999999999998</c:v>
                </c:pt>
                <c:pt idx="139">
                  <c:v>177.7</c:v>
                </c:pt>
                <c:pt idx="140">
                  <c:v>164.1</c:v>
                </c:pt>
                <c:pt idx="141">
                  <c:v>140.79999999999998</c:v>
                </c:pt>
                <c:pt idx="142">
                  <c:v>115.10000000000001</c:v>
                </c:pt>
                <c:pt idx="143">
                  <c:v>90.4</c:v>
                </c:pt>
                <c:pt idx="144">
                  <c:v>74</c:v>
                </c:pt>
                <c:pt idx="145">
                  <c:v>75.400000000000006</c:v>
                </c:pt>
                <c:pt idx="146">
                  <c:v>94.699999999999989</c:v>
                </c:pt>
                <c:pt idx="147">
                  <c:v>130.5</c:v>
                </c:pt>
                <c:pt idx="148">
                  <c:v>175.4</c:v>
                </c:pt>
                <c:pt idx="149">
                  <c:v>218.5</c:v>
                </c:pt>
                <c:pt idx="150">
                  <c:v>254.70000000000002</c:v>
                </c:pt>
                <c:pt idx="151">
                  <c:v>275.8</c:v>
                </c:pt>
                <c:pt idx="152">
                  <c:v>277.3</c:v>
                </c:pt>
                <c:pt idx="153">
                  <c:v>259.8</c:v>
                </c:pt>
                <c:pt idx="154">
                  <c:v>227.8</c:v>
                </c:pt>
                <c:pt idx="155">
                  <c:v>188.7</c:v>
                </c:pt>
                <c:pt idx="156">
                  <c:v>156.20000000000002</c:v>
                </c:pt>
                <c:pt idx="157">
                  <c:v>134.9</c:v>
                </c:pt>
                <c:pt idx="158">
                  <c:v>128</c:v>
                </c:pt>
                <c:pt idx="159">
                  <c:v>135</c:v>
                </c:pt>
                <c:pt idx="160">
                  <c:v>152.69999999999999</c:v>
                </c:pt>
                <c:pt idx="161">
                  <c:v>168</c:v>
                </c:pt>
                <c:pt idx="162">
                  <c:v>177.89999999999998</c:v>
                </c:pt>
                <c:pt idx="163">
                  <c:v>176.6</c:v>
                </c:pt>
                <c:pt idx="164">
                  <c:v>168.3</c:v>
                </c:pt>
                <c:pt idx="165">
                  <c:v>147.5</c:v>
                </c:pt>
                <c:pt idx="166">
                  <c:v>126.29999999999998</c:v>
                </c:pt>
                <c:pt idx="167">
                  <c:v>102.3</c:v>
                </c:pt>
                <c:pt idx="168">
                  <c:v>79.7</c:v>
                </c:pt>
                <c:pt idx="169">
                  <c:v>73.400000000000006</c:v>
                </c:pt>
                <c:pt idx="170">
                  <c:v>85.7</c:v>
                </c:pt>
                <c:pt idx="171">
                  <c:v>115.99999999999999</c:v>
                </c:pt>
                <c:pt idx="172">
                  <c:v>154</c:v>
                </c:pt>
                <c:pt idx="173">
                  <c:v>198.9</c:v>
                </c:pt>
                <c:pt idx="174">
                  <c:v>235.6</c:v>
                </c:pt>
                <c:pt idx="175">
                  <c:v>259.5</c:v>
                </c:pt>
                <c:pt idx="176">
                  <c:v>268.89999999999998</c:v>
                </c:pt>
                <c:pt idx="177">
                  <c:v>258.59999999999997</c:v>
                </c:pt>
                <c:pt idx="178">
                  <c:v>233.9</c:v>
                </c:pt>
                <c:pt idx="179">
                  <c:v>199.10000000000002</c:v>
                </c:pt>
                <c:pt idx="180">
                  <c:v>169.79999999999998</c:v>
                </c:pt>
                <c:pt idx="181">
                  <c:v>143.55000000000001</c:v>
                </c:pt>
                <c:pt idx="182">
                  <c:v>131.9</c:v>
                </c:pt>
                <c:pt idx="183">
                  <c:v>130.4</c:v>
                </c:pt>
                <c:pt idx="184">
                  <c:v>142.1</c:v>
                </c:pt>
                <c:pt idx="185">
                  <c:v>159.4</c:v>
                </c:pt>
                <c:pt idx="186">
                  <c:v>174.8</c:v>
                </c:pt>
                <c:pt idx="187">
                  <c:v>182</c:v>
                </c:pt>
                <c:pt idx="188">
                  <c:v>177.1</c:v>
                </c:pt>
                <c:pt idx="189">
                  <c:v>158.80000000000001</c:v>
                </c:pt>
                <c:pt idx="190">
                  <c:v>136</c:v>
                </c:pt>
                <c:pt idx="191">
                  <c:v>112.4</c:v>
                </c:pt>
                <c:pt idx="192">
                  <c:v>90.5</c:v>
                </c:pt>
                <c:pt idx="193">
                  <c:v>78.600000000000009</c:v>
                </c:pt>
                <c:pt idx="194">
                  <c:v>84.5</c:v>
                </c:pt>
                <c:pt idx="195">
                  <c:v>107</c:v>
                </c:pt>
                <c:pt idx="196">
                  <c:v>141.30000000000001</c:v>
                </c:pt>
                <c:pt idx="197">
                  <c:v>179.20000000000002</c:v>
                </c:pt>
                <c:pt idx="198">
                  <c:v>217.89999999999998</c:v>
                </c:pt>
                <c:pt idx="199">
                  <c:v>244.20000000000002</c:v>
                </c:pt>
                <c:pt idx="200">
                  <c:v>256.3</c:v>
                </c:pt>
                <c:pt idx="201">
                  <c:v>255.20000000000002</c:v>
                </c:pt>
                <c:pt idx="202">
                  <c:v>240.60000000000002</c:v>
                </c:pt>
                <c:pt idx="203">
                  <c:v>211.50000000000003</c:v>
                </c:pt>
                <c:pt idx="204">
                  <c:v>180.5</c:v>
                </c:pt>
                <c:pt idx="205">
                  <c:v>156.4</c:v>
                </c:pt>
                <c:pt idx="206">
                  <c:v>143.9</c:v>
                </c:pt>
                <c:pt idx="207">
                  <c:v>140.79999999999998</c:v>
                </c:pt>
                <c:pt idx="208">
                  <c:v>147.9</c:v>
                </c:pt>
                <c:pt idx="209">
                  <c:v>159.30000000000001</c:v>
                </c:pt>
                <c:pt idx="210">
                  <c:v>172.10000000000002</c:v>
                </c:pt>
                <c:pt idx="211">
                  <c:v>180.8</c:v>
                </c:pt>
                <c:pt idx="212">
                  <c:v>180.5</c:v>
                </c:pt>
                <c:pt idx="213">
                  <c:v>166.70000000000002</c:v>
                </c:pt>
                <c:pt idx="214">
                  <c:v>146</c:v>
                </c:pt>
                <c:pt idx="215">
                  <c:v>125.4</c:v>
                </c:pt>
                <c:pt idx="216">
                  <c:v>104.69999999999999</c:v>
                </c:pt>
                <c:pt idx="217">
                  <c:v>90.600000000000009</c:v>
                </c:pt>
                <c:pt idx="218">
                  <c:v>87.1</c:v>
                </c:pt>
                <c:pt idx="219">
                  <c:v>102.4</c:v>
                </c:pt>
                <c:pt idx="220">
                  <c:v>131.4</c:v>
                </c:pt>
                <c:pt idx="221">
                  <c:v>166.79999999999998</c:v>
                </c:pt>
                <c:pt idx="222">
                  <c:v>199.3</c:v>
                </c:pt>
                <c:pt idx="223">
                  <c:v>225</c:v>
                </c:pt>
                <c:pt idx="224">
                  <c:v>240.20000000000002</c:v>
                </c:pt>
                <c:pt idx="225">
                  <c:v>242.20000000000002</c:v>
                </c:pt>
                <c:pt idx="226">
                  <c:v>235.70000000000002</c:v>
                </c:pt>
                <c:pt idx="227">
                  <c:v>218.29999999999998</c:v>
                </c:pt>
                <c:pt idx="228">
                  <c:v>192.3</c:v>
                </c:pt>
                <c:pt idx="229">
                  <c:v>170.5</c:v>
                </c:pt>
                <c:pt idx="230">
                  <c:v>155.6</c:v>
                </c:pt>
                <c:pt idx="231">
                  <c:v>147.30000000000001</c:v>
                </c:pt>
                <c:pt idx="232">
                  <c:v>147.9</c:v>
                </c:pt>
                <c:pt idx="233">
                  <c:v>157.29999999999998</c:v>
                </c:pt>
                <c:pt idx="234">
                  <c:v>167.3</c:v>
                </c:pt>
                <c:pt idx="235">
                  <c:v>178.9</c:v>
                </c:pt>
                <c:pt idx="236">
                  <c:v>183.20000000000002</c:v>
                </c:pt>
                <c:pt idx="237">
                  <c:v>175.5</c:v>
                </c:pt>
                <c:pt idx="238">
                  <c:v>155.6</c:v>
                </c:pt>
                <c:pt idx="239">
                  <c:v>137.5</c:v>
                </c:pt>
                <c:pt idx="240">
                  <c:v>119.7</c:v>
                </c:pt>
                <c:pt idx="241">
                  <c:v>105.80000000000001</c:v>
                </c:pt>
                <c:pt idx="242">
                  <c:v>102.8</c:v>
                </c:pt>
                <c:pt idx="243">
                  <c:v>110.00000000000001</c:v>
                </c:pt>
                <c:pt idx="244">
                  <c:v>130.69999999999999</c:v>
                </c:pt>
                <c:pt idx="245">
                  <c:v>159.30000000000001</c:v>
                </c:pt>
                <c:pt idx="246">
                  <c:v>188.6</c:v>
                </c:pt>
                <c:pt idx="247">
                  <c:v>209.60000000000002</c:v>
                </c:pt>
                <c:pt idx="248">
                  <c:v>224.10000000000002</c:v>
                </c:pt>
                <c:pt idx="249">
                  <c:v>230.29999999999998</c:v>
                </c:pt>
                <c:pt idx="250">
                  <c:v>224.7</c:v>
                </c:pt>
                <c:pt idx="251">
                  <c:v>212.4</c:v>
                </c:pt>
                <c:pt idx="252">
                  <c:v>198.6</c:v>
                </c:pt>
                <c:pt idx="253">
                  <c:v>180.8</c:v>
                </c:pt>
                <c:pt idx="254">
                  <c:v>162.9</c:v>
                </c:pt>
                <c:pt idx="255">
                  <c:v>153.5</c:v>
                </c:pt>
                <c:pt idx="256">
                  <c:v>150.19999999999999</c:v>
                </c:pt>
                <c:pt idx="257">
                  <c:v>151.10000000000002</c:v>
                </c:pt>
                <c:pt idx="258">
                  <c:v>159.5</c:v>
                </c:pt>
                <c:pt idx="259">
                  <c:v>172.4</c:v>
                </c:pt>
                <c:pt idx="260">
                  <c:v>179.6</c:v>
                </c:pt>
                <c:pt idx="261">
                  <c:v>176.6</c:v>
                </c:pt>
                <c:pt idx="262">
                  <c:v>164</c:v>
                </c:pt>
                <c:pt idx="263">
                  <c:v>149.5</c:v>
                </c:pt>
                <c:pt idx="264">
                  <c:v>137.30000000000001</c:v>
                </c:pt>
                <c:pt idx="265">
                  <c:v>127.1</c:v>
                </c:pt>
                <c:pt idx="266">
                  <c:v>123.4</c:v>
                </c:pt>
                <c:pt idx="267">
                  <c:v>127.3</c:v>
                </c:pt>
                <c:pt idx="268">
                  <c:v>135.20000000000002</c:v>
                </c:pt>
                <c:pt idx="269">
                  <c:v>152.6</c:v>
                </c:pt>
                <c:pt idx="270">
                  <c:v>173.9</c:v>
                </c:pt>
                <c:pt idx="271">
                  <c:v>190.5</c:v>
                </c:pt>
                <c:pt idx="272">
                  <c:v>203.9</c:v>
                </c:pt>
                <c:pt idx="273">
                  <c:v>208.70000000000002</c:v>
                </c:pt>
                <c:pt idx="274">
                  <c:v>207.7</c:v>
                </c:pt>
                <c:pt idx="275">
                  <c:v>203.6</c:v>
                </c:pt>
                <c:pt idx="276">
                  <c:v>197.6</c:v>
                </c:pt>
                <c:pt idx="277">
                  <c:v>187.3</c:v>
                </c:pt>
                <c:pt idx="278">
                  <c:v>176.5</c:v>
                </c:pt>
                <c:pt idx="279">
                  <c:v>163.19999999999999</c:v>
                </c:pt>
                <c:pt idx="280">
                  <c:v>157.80000000000001</c:v>
                </c:pt>
                <c:pt idx="281">
                  <c:v>153.80000000000001</c:v>
                </c:pt>
                <c:pt idx="282">
                  <c:v>154.4</c:v>
                </c:pt>
                <c:pt idx="283">
                  <c:v>162.1</c:v>
                </c:pt>
                <c:pt idx="284">
                  <c:v>170.4</c:v>
                </c:pt>
                <c:pt idx="285">
                  <c:v>172.10000000000002</c:v>
                </c:pt>
                <c:pt idx="286">
                  <c:v>169.3</c:v>
                </c:pt>
                <c:pt idx="287">
                  <c:v>161</c:v>
                </c:pt>
                <c:pt idx="288">
                  <c:v>149.6</c:v>
                </c:pt>
                <c:pt idx="289">
                  <c:v>143.70000000000002</c:v>
                </c:pt>
                <c:pt idx="290">
                  <c:v>143.1</c:v>
                </c:pt>
                <c:pt idx="291">
                  <c:v>146.6</c:v>
                </c:pt>
                <c:pt idx="292">
                  <c:v>153.9</c:v>
                </c:pt>
                <c:pt idx="293">
                  <c:v>163.6</c:v>
                </c:pt>
                <c:pt idx="294">
                  <c:v>170.70000000000002</c:v>
                </c:pt>
                <c:pt idx="295">
                  <c:v>179.7</c:v>
                </c:pt>
                <c:pt idx="296">
                  <c:v>184.3</c:v>
                </c:pt>
                <c:pt idx="297">
                  <c:v>187.4</c:v>
                </c:pt>
                <c:pt idx="298">
                  <c:v>189.9</c:v>
                </c:pt>
                <c:pt idx="299">
                  <c:v>192.4</c:v>
                </c:pt>
                <c:pt idx="300">
                  <c:v>189.39999999999998</c:v>
                </c:pt>
                <c:pt idx="301">
                  <c:v>183.5</c:v>
                </c:pt>
                <c:pt idx="302">
                  <c:v>178.9</c:v>
                </c:pt>
                <c:pt idx="303">
                  <c:v>167.4</c:v>
                </c:pt>
                <c:pt idx="304">
                  <c:v>157.6</c:v>
                </c:pt>
                <c:pt idx="305">
                  <c:v>150.89999999999998</c:v>
                </c:pt>
                <c:pt idx="306">
                  <c:v>146.80000000000001</c:v>
                </c:pt>
                <c:pt idx="307">
                  <c:v>148.4</c:v>
                </c:pt>
                <c:pt idx="308">
                  <c:v>152.69999999999999</c:v>
                </c:pt>
                <c:pt idx="309">
                  <c:v>154.4</c:v>
                </c:pt>
                <c:pt idx="310">
                  <c:v>158.4</c:v>
                </c:pt>
                <c:pt idx="311">
                  <c:v>156.9</c:v>
                </c:pt>
                <c:pt idx="312">
                  <c:v>162</c:v>
                </c:pt>
                <c:pt idx="313">
                  <c:v>167.6</c:v>
                </c:pt>
                <c:pt idx="314">
                  <c:v>166.9</c:v>
                </c:pt>
                <c:pt idx="315">
                  <c:v>169.9</c:v>
                </c:pt>
                <c:pt idx="316">
                  <c:v>171.4</c:v>
                </c:pt>
                <c:pt idx="317">
                  <c:v>171.4</c:v>
                </c:pt>
                <c:pt idx="318">
                  <c:v>171.2</c:v>
                </c:pt>
                <c:pt idx="319">
                  <c:v>173</c:v>
                </c:pt>
                <c:pt idx="320">
                  <c:v>175.2</c:v>
                </c:pt>
                <c:pt idx="321">
                  <c:v>172.3</c:v>
                </c:pt>
                <c:pt idx="322">
                  <c:v>171.5</c:v>
                </c:pt>
                <c:pt idx="323">
                  <c:v>173.9</c:v>
                </c:pt>
                <c:pt idx="324">
                  <c:v>178.5</c:v>
                </c:pt>
                <c:pt idx="325">
                  <c:v>182.20000000000002</c:v>
                </c:pt>
                <c:pt idx="326">
                  <c:v>182.29999999999998</c:v>
                </c:pt>
                <c:pt idx="327">
                  <c:v>176.6</c:v>
                </c:pt>
                <c:pt idx="328">
                  <c:v>168.4</c:v>
                </c:pt>
                <c:pt idx="329">
                  <c:v>154.80000000000001</c:v>
                </c:pt>
                <c:pt idx="330">
                  <c:v>142.19999999999999</c:v>
                </c:pt>
                <c:pt idx="331">
                  <c:v>136.5</c:v>
                </c:pt>
                <c:pt idx="332">
                  <c:v>137.30000000000001</c:v>
                </c:pt>
                <c:pt idx="333">
                  <c:v>139.30000000000001</c:v>
                </c:pt>
                <c:pt idx="334">
                  <c:v>145.79999999999998</c:v>
                </c:pt>
                <c:pt idx="335">
                  <c:v>156.1</c:v>
                </c:pt>
                <c:pt idx="336">
                  <c:v>169.6</c:v>
                </c:pt>
                <c:pt idx="337">
                  <c:v>181.6</c:v>
                </c:pt>
                <c:pt idx="338">
                  <c:v>190.3</c:v>
                </c:pt>
                <c:pt idx="339">
                  <c:v>196.8</c:v>
                </c:pt>
                <c:pt idx="340">
                  <c:v>201.2</c:v>
                </c:pt>
                <c:pt idx="341">
                  <c:v>200</c:v>
                </c:pt>
                <c:pt idx="342">
                  <c:v>191.3</c:v>
                </c:pt>
                <c:pt idx="343">
                  <c:v>182</c:v>
                </c:pt>
                <c:pt idx="344">
                  <c:v>172.2</c:v>
                </c:pt>
                <c:pt idx="345">
                  <c:v>164.79999999999998</c:v>
                </c:pt>
                <c:pt idx="346">
                  <c:v>160</c:v>
                </c:pt>
                <c:pt idx="347">
                  <c:v>158.1</c:v>
                </c:pt>
                <c:pt idx="348">
                  <c:v>160.80000000000001</c:v>
                </c:pt>
                <c:pt idx="349">
                  <c:v>166.4</c:v>
                </c:pt>
                <c:pt idx="350">
                  <c:v>174.3</c:v>
                </c:pt>
                <c:pt idx="351">
                  <c:v>178</c:v>
                </c:pt>
                <c:pt idx="352">
                  <c:v>171.8</c:v>
                </c:pt>
                <c:pt idx="353">
                  <c:v>161.69999999999999</c:v>
                </c:pt>
                <c:pt idx="354">
                  <c:v>149.30000000000001</c:v>
                </c:pt>
                <c:pt idx="355">
                  <c:v>136.80000000000001</c:v>
                </c:pt>
                <c:pt idx="356">
                  <c:v>124.30000000000001</c:v>
                </c:pt>
                <c:pt idx="357">
                  <c:v>119.8</c:v>
                </c:pt>
                <c:pt idx="358">
                  <c:v>123.8</c:v>
                </c:pt>
                <c:pt idx="359">
                  <c:v>138.79999999999998</c:v>
                </c:pt>
                <c:pt idx="360">
                  <c:v>159.20000000000002</c:v>
                </c:pt>
                <c:pt idx="361">
                  <c:v>181.9</c:v>
                </c:pt>
                <c:pt idx="362">
                  <c:v>204.8</c:v>
                </c:pt>
                <c:pt idx="363">
                  <c:v>223.8</c:v>
                </c:pt>
                <c:pt idx="364">
                  <c:v>234.79999999999998</c:v>
                </c:pt>
                <c:pt idx="365">
                  <c:v>230.9</c:v>
                </c:pt>
                <c:pt idx="366">
                  <c:v>220.00000000000003</c:v>
                </c:pt>
                <c:pt idx="367">
                  <c:v>200.89999999999998</c:v>
                </c:pt>
                <c:pt idx="368">
                  <c:v>179.7</c:v>
                </c:pt>
                <c:pt idx="369">
                  <c:v>161</c:v>
                </c:pt>
                <c:pt idx="370">
                  <c:v>148</c:v>
                </c:pt>
                <c:pt idx="371">
                  <c:v>140</c:v>
                </c:pt>
                <c:pt idx="372">
                  <c:v>145.4</c:v>
                </c:pt>
                <c:pt idx="373">
                  <c:v>151.6</c:v>
                </c:pt>
                <c:pt idx="374">
                  <c:v>160.69999999999999</c:v>
                </c:pt>
                <c:pt idx="375">
                  <c:v>169</c:v>
                </c:pt>
                <c:pt idx="376">
                  <c:v>169</c:v>
                </c:pt>
                <c:pt idx="377">
                  <c:v>161.9</c:v>
                </c:pt>
                <c:pt idx="378">
                  <c:v>147.19999999999999</c:v>
                </c:pt>
                <c:pt idx="379">
                  <c:v>130.1</c:v>
                </c:pt>
                <c:pt idx="380">
                  <c:v>112.6</c:v>
                </c:pt>
                <c:pt idx="381">
                  <c:v>102.49999999999999</c:v>
                </c:pt>
                <c:pt idx="382">
                  <c:v>102.8</c:v>
                </c:pt>
                <c:pt idx="383">
                  <c:v>115.3</c:v>
                </c:pt>
                <c:pt idx="384">
                  <c:v>140.9</c:v>
                </c:pt>
                <c:pt idx="385">
                  <c:v>171.4</c:v>
                </c:pt>
                <c:pt idx="386">
                  <c:v>202.59999999999997</c:v>
                </c:pt>
                <c:pt idx="387">
                  <c:v>231.5</c:v>
                </c:pt>
                <c:pt idx="388">
                  <c:v>252.1</c:v>
                </c:pt>
                <c:pt idx="389">
                  <c:v>259.7</c:v>
                </c:pt>
                <c:pt idx="390">
                  <c:v>254.5</c:v>
                </c:pt>
                <c:pt idx="391">
                  <c:v>233.8</c:v>
                </c:pt>
                <c:pt idx="392">
                  <c:v>206.1</c:v>
                </c:pt>
                <c:pt idx="393">
                  <c:v>175.6</c:v>
                </c:pt>
                <c:pt idx="394">
                  <c:v>152.6</c:v>
                </c:pt>
                <c:pt idx="395">
                  <c:v>137.5</c:v>
                </c:pt>
                <c:pt idx="396">
                  <c:v>133.69999999999999</c:v>
                </c:pt>
                <c:pt idx="397">
                  <c:v>140.9</c:v>
                </c:pt>
                <c:pt idx="398">
                  <c:v>151.89999999999998</c:v>
                </c:pt>
                <c:pt idx="399">
                  <c:v>161.30000000000001</c:v>
                </c:pt>
                <c:pt idx="400">
                  <c:v>165</c:v>
                </c:pt>
                <c:pt idx="401">
                  <c:v>159.60000000000002</c:v>
                </c:pt>
                <c:pt idx="402">
                  <c:v>147.19999999999999</c:v>
                </c:pt>
                <c:pt idx="403">
                  <c:v>130.80000000000001</c:v>
                </c:pt>
                <c:pt idx="404">
                  <c:v>112.6</c:v>
                </c:pt>
                <c:pt idx="405">
                  <c:v>94.399999999999991</c:v>
                </c:pt>
                <c:pt idx="406">
                  <c:v>88.4</c:v>
                </c:pt>
                <c:pt idx="407">
                  <c:v>93.600000000000009</c:v>
                </c:pt>
                <c:pt idx="408">
                  <c:v>115.9</c:v>
                </c:pt>
                <c:pt idx="409">
                  <c:v>149</c:v>
                </c:pt>
                <c:pt idx="410">
                  <c:v>187.1</c:v>
                </c:pt>
                <c:pt idx="411">
                  <c:v>225.70000000000002</c:v>
                </c:pt>
                <c:pt idx="412">
                  <c:v>255.39999999999998</c:v>
                </c:pt>
                <c:pt idx="413">
                  <c:v>273</c:v>
                </c:pt>
                <c:pt idx="414">
                  <c:v>274.7</c:v>
                </c:pt>
                <c:pt idx="415">
                  <c:v>259.8</c:v>
                </c:pt>
                <c:pt idx="416">
                  <c:v>231.9</c:v>
                </c:pt>
                <c:pt idx="417">
                  <c:v>199</c:v>
                </c:pt>
                <c:pt idx="418">
                  <c:v>169.2</c:v>
                </c:pt>
                <c:pt idx="419">
                  <c:v>142.19999999999999</c:v>
                </c:pt>
                <c:pt idx="420">
                  <c:v>129.69999999999999</c:v>
                </c:pt>
                <c:pt idx="421">
                  <c:v>129</c:v>
                </c:pt>
                <c:pt idx="422">
                  <c:v>138.6</c:v>
                </c:pt>
                <c:pt idx="423">
                  <c:v>149.70000000000002</c:v>
                </c:pt>
                <c:pt idx="424">
                  <c:v>157.80000000000001</c:v>
                </c:pt>
                <c:pt idx="425">
                  <c:v>157.5</c:v>
                </c:pt>
                <c:pt idx="426">
                  <c:v>146.9</c:v>
                </c:pt>
                <c:pt idx="427">
                  <c:v>131.9</c:v>
                </c:pt>
                <c:pt idx="428">
                  <c:v>113.39999999999999</c:v>
                </c:pt>
                <c:pt idx="429">
                  <c:v>94.699999999999989</c:v>
                </c:pt>
                <c:pt idx="430">
                  <c:v>78.100000000000009</c:v>
                </c:pt>
                <c:pt idx="431">
                  <c:v>74.8</c:v>
                </c:pt>
                <c:pt idx="432">
                  <c:v>88.9</c:v>
                </c:pt>
                <c:pt idx="433">
                  <c:v>119.39999999999999</c:v>
                </c:pt>
                <c:pt idx="434">
                  <c:v>161.4</c:v>
                </c:pt>
                <c:pt idx="435">
                  <c:v>208.9</c:v>
                </c:pt>
                <c:pt idx="436">
                  <c:v>247.40000000000003</c:v>
                </c:pt>
                <c:pt idx="437">
                  <c:v>276.90000000000003</c:v>
                </c:pt>
                <c:pt idx="438">
                  <c:v>288</c:v>
                </c:pt>
                <c:pt idx="439">
                  <c:v>281.2</c:v>
                </c:pt>
                <c:pt idx="440">
                  <c:v>256.8</c:v>
                </c:pt>
                <c:pt idx="441">
                  <c:v>222.5</c:v>
                </c:pt>
                <c:pt idx="442">
                  <c:v>190.39999999999998</c:v>
                </c:pt>
                <c:pt idx="443">
                  <c:v>158.5</c:v>
                </c:pt>
                <c:pt idx="444">
                  <c:v>138.1</c:v>
                </c:pt>
                <c:pt idx="445">
                  <c:v>128.1</c:v>
                </c:pt>
                <c:pt idx="446">
                  <c:v>129.5</c:v>
                </c:pt>
                <c:pt idx="447">
                  <c:v>142.5</c:v>
                </c:pt>
                <c:pt idx="448">
                  <c:v>149.19999999999999</c:v>
                </c:pt>
                <c:pt idx="449">
                  <c:v>155.9</c:v>
                </c:pt>
                <c:pt idx="450">
                  <c:v>151.1</c:v>
                </c:pt>
                <c:pt idx="451">
                  <c:v>136.80000000000001</c:v>
                </c:pt>
                <c:pt idx="452">
                  <c:v>119</c:v>
                </c:pt>
                <c:pt idx="453">
                  <c:v>100.1</c:v>
                </c:pt>
                <c:pt idx="454">
                  <c:v>83</c:v>
                </c:pt>
                <c:pt idx="455">
                  <c:v>65.3</c:v>
                </c:pt>
                <c:pt idx="456">
                  <c:v>65.2</c:v>
                </c:pt>
                <c:pt idx="457">
                  <c:v>86.8</c:v>
                </c:pt>
                <c:pt idx="458">
                  <c:v>125.2</c:v>
                </c:pt>
                <c:pt idx="459">
                  <c:v>174.8</c:v>
                </c:pt>
                <c:pt idx="460">
                  <c:v>225.89999999999998</c:v>
                </c:pt>
                <c:pt idx="461">
                  <c:v>264.5</c:v>
                </c:pt>
                <c:pt idx="462">
                  <c:v>287</c:v>
                </c:pt>
                <c:pt idx="463">
                  <c:v>288.89999999999998</c:v>
                </c:pt>
                <c:pt idx="464">
                  <c:v>271.09999999999997</c:v>
                </c:pt>
                <c:pt idx="465">
                  <c:v>242.20000000000002</c:v>
                </c:pt>
                <c:pt idx="466">
                  <c:v>210.8</c:v>
                </c:pt>
                <c:pt idx="467">
                  <c:v>178.5</c:v>
                </c:pt>
                <c:pt idx="468">
                  <c:v>155</c:v>
                </c:pt>
                <c:pt idx="469">
                  <c:v>138.19999999999999</c:v>
                </c:pt>
                <c:pt idx="470">
                  <c:v>132.5</c:v>
                </c:pt>
                <c:pt idx="471">
                  <c:v>138.5</c:v>
                </c:pt>
                <c:pt idx="472">
                  <c:v>149.80000000000001</c:v>
                </c:pt>
                <c:pt idx="473">
                  <c:v>157.69999999999999</c:v>
                </c:pt>
                <c:pt idx="474">
                  <c:v>158.4</c:v>
                </c:pt>
                <c:pt idx="475">
                  <c:v>147.5</c:v>
                </c:pt>
                <c:pt idx="476">
                  <c:v>129.5</c:v>
                </c:pt>
                <c:pt idx="477">
                  <c:v>105.4</c:v>
                </c:pt>
                <c:pt idx="478">
                  <c:v>80.800000000000011</c:v>
                </c:pt>
                <c:pt idx="479">
                  <c:v>62.6</c:v>
                </c:pt>
                <c:pt idx="480">
                  <c:v>56.000000000000007</c:v>
                </c:pt>
                <c:pt idx="481">
                  <c:v>68.5</c:v>
                </c:pt>
                <c:pt idx="482">
                  <c:v>95.8</c:v>
                </c:pt>
                <c:pt idx="483">
                  <c:v>142.6</c:v>
                </c:pt>
                <c:pt idx="484">
                  <c:v>192.1</c:v>
                </c:pt>
                <c:pt idx="485">
                  <c:v>237.5</c:v>
                </c:pt>
                <c:pt idx="486">
                  <c:v>272.5</c:v>
                </c:pt>
                <c:pt idx="487">
                  <c:v>286.2</c:v>
                </c:pt>
                <c:pt idx="488">
                  <c:v>281.5</c:v>
                </c:pt>
                <c:pt idx="489">
                  <c:v>261</c:v>
                </c:pt>
                <c:pt idx="490">
                  <c:v>227.3</c:v>
                </c:pt>
                <c:pt idx="491">
                  <c:v>195.79999999999998</c:v>
                </c:pt>
                <c:pt idx="492">
                  <c:v>171</c:v>
                </c:pt>
                <c:pt idx="493">
                  <c:v>152.4</c:v>
                </c:pt>
                <c:pt idx="494">
                  <c:v>141.9</c:v>
                </c:pt>
                <c:pt idx="495">
                  <c:v>139</c:v>
                </c:pt>
                <c:pt idx="496">
                  <c:v>150.5</c:v>
                </c:pt>
                <c:pt idx="497">
                  <c:v>161.4</c:v>
                </c:pt>
                <c:pt idx="498">
                  <c:v>168.70000000000002</c:v>
                </c:pt>
                <c:pt idx="499">
                  <c:v>162.1</c:v>
                </c:pt>
                <c:pt idx="500">
                  <c:v>150.5</c:v>
                </c:pt>
                <c:pt idx="501">
                  <c:v>125.4</c:v>
                </c:pt>
                <c:pt idx="502">
                  <c:v>101.2</c:v>
                </c:pt>
                <c:pt idx="503">
                  <c:v>81.5</c:v>
                </c:pt>
                <c:pt idx="504">
                  <c:v>68.8</c:v>
                </c:pt>
                <c:pt idx="505">
                  <c:v>61.5</c:v>
                </c:pt>
                <c:pt idx="506">
                  <c:v>77.8</c:v>
                </c:pt>
                <c:pt idx="507">
                  <c:v>111.00000000000001</c:v>
                </c:pt>
                <c:pt idx="508">
                  <c:v>159.69999999999999</c:v>
                </c:pt>
                <c:pt idx="509">
                  <c:v>208.5</c:v>
                </c:pt>
                <c:pt idx="510">
                  <c:v>246.60000000000002</c:v>
                </c:pt>
                <c:pt idx="511">
                  <c:v>268.5</c:v>
                </c:pt>
                <c:pt idx="512">
                  <c:v>270.40000000000003</c:v>
                </c:pt>
                <c:pt idx="513">
                  <c:v>264.8</c:v>
                </c:pt>
                <c:pt idx="514">
                  <c:v>242.70000000000002</c:v>
                </c:pt>
                <c:pt idx="515">
                  <c:v>208.1</c:v>
                </c:pt>
                <c:pt idx="516">
                  <c:v>178.9</c:v>
                </c:pt>
                <c:pt idx="517">
                  <c:v>162.79999999999998</c:v>
                </c:pt>
                <c:pt idx="518">
                  <c:v>146.69999999999999</c:v>
                </c:pt>
                <c:pt idx="519">
                  <c:v>144.5</c:v>
                </c:pt>
                <c:pt idx="520">
                  <c:v>151.5</c:v>
                </c:pt>
                <c:pt idx="521">
                  <c:v>162.20000000000002</c:v>
                </c:pt>
                <c:pt idx="522">
                  <c:v>171.2</c:v>
                </c:pt>
                <c:pt idx="523">
                  <c:v>173.4</c:v>
                </c:pt>
                <c:pt idx="524">
                  <c:v>165.79999999999998</c:v>
                </c:pt>
                <c:pt idx="525">
                  <c:v>150</c:v>
                </c:pt>
                <c:pt idx="526">
                  <c:v>129.1</c:v>
                </c:pt>
                <c:pt idx="527">
                  <c:v>105.80000000000001</c:v>
                </c:pt>
                <c:pt idx="528">
                  <c:v>83.399999999999991</c:v>
                </c:pt>
                <c:pt idx="529">
                  <c:v>71.2</c:v>
                </c:pt>
                <c:pt idx="530">
                  <c:v>72.8</c:v>
                </c:pt>
                <c:pt idx="531">
                  <c:v>91</c:v>
                </c:pt>
                <c:pt idx="532">
                  <c:v>126.8</c:v>
                </c:pt>
                <c:pt idx="533">
                  <c:v>176.5</c:v>
                </c:pt>
                <c:pt idx="534">
                  <c:v>219.70000000000002</c:v>
                </c:pt>
                <c:pt idx="535">
                  <c:v>253.2</c:v>
                </c:pt>
                <c:pt idx="536">
                  <c:v>264.2</c:v>
                </c:pt>
                <c:pt idx="537">
                  <c:v>258</c:v>
                </c:pt>
                <c:pt idx="538">
                  <c:v>244.3</c:v>
                </c:pt>
                <c:pt idx="539">
                  <c:v>217.1</c:v>
                </c:pt>
                <c:pt idx="540">
                  <c:v>189.7</c:v>
                </c:pt>
                <c:pt idx="541">
                  <c:v>165.6</c:v>
                </c:pt>
                <c:pt idx="542">
                  <c:v>147.9</c:v>
                </c:pt>
                <c:pt idx="543">
                  <c:v>140.5</c:v>
                </c:pt>
                <c:pt idx="544">
                  <c:v>146.70000000000002</c:v>
                </c:pt>
                <c:pt idx="545">
                  <c:v>160.80000000000001</c:v>
                </c:pt>
                <c:pt idx="546">
                  <c:v>174.70000000000002</c:v>
                </c:pt>
                <c:pt idx="547">
                  <c:v>182.4</c:v>
                </c:pt>
                <c:pt idx="548">
                  <c:v>182.1</c:v>
                </c:pt>
                <c:pt idx="549">
                  <c:v>168.3</c:v>
                </c:pt>
                <c:pt idx="550">
                  <c:v>148.5</c:v>
                </c:pt>
                <c:pt idx="551">
                  <c:v>128.69999999999999</c:v>
                </c:pt>
                <c:pt idx="552">
                  <c:v>111.80000000000001</c:v>
                </c:pt>
                <c:pt idx="553">
                  <c:v>93.899999999999991</c:v>
                </c:pt>
                <c:pt idx="554">
                  <c:v>89.2</c:v>
                </c:pt>
                <c:pt idx="555">
                  <c:v>97.3</c:v>
                </c:pt>
                <c:pt idx="556">
                  <c:v>118.6</c:v>
                </c:pt>
                <c:pt idx="557">
                  <c:v>152.4</c:v>
                </c:pt>
                <c:pt idx="558">
                  <c:v>195.9</c:v>
                </c:pt>
                <c:pt idx="559">
                  <c:v>232.10000000000002</c:v>
                </c:pt>
                <c:pt idx="560">
                  <c:v>250.4</c:v>
                </c:pt>
                <c:pt idx="561">
                  <c:v>250.1</c:v>
                </c:pt>
                <c:pt idx="562">
                  <c:v>241.1</c:v>
                </c:pt>
                <c:pt idx="563">
                  <c:v>223.8</c:v>
                </c:pt>
                <c:pt idx="564">
                  <c:v>199.8</c:v>
                </c:pt>
                <c:pt idx="565">
                  <c:v>176.6</c:v>
                </c:pt>
                <c:pt idx="566">
                  <c:v>155</c:v>
                </c:pt>
                <c:pt idx="567">
                  <c:v>140.69999999999999</c:v>
                </c:pt>
                <c:pt idx="568">
                  <c:v>141.4</c:v>
                </c:pt>
                <c:pt idx="569">
                  <c:v>154.5</c:v>
                </c:pt>
                <c:pt idx="570">
                  <c:v>170</c:v>
                </c:pt>
                <c:pt idx="571">
                  <c:v>181.7</c:v>
                </c:pt>
                <c:pt idx="572">
                  <c:v>188.1</c:v>
                </c:pt>
                <c:pt idx="573">
                  <c:v>184.4</c:v>
                </c:pt>
                <c:pt idx="574">
                  <c:v>171.9</c:v>
                </c:pt>
                <c:pt idx="575">
                  <c:v>153.69999999999999</c:v>
                </c:pt>
                <c:pt idx="576">
                  <c:v>134.9</c:v>
                </c:pt>
                <c:pt idx="577">
                  <c:v>121.9</c:v>
                </c:pt>
                <c:pt idx="578">
                  <c:v>111.60000000000001</c:v>
                </c:pt>
                <c:pt idx="579">
                  <c:v>113.9</c:v>
                </c:pt>
                <c:pt idx="580">
                  <c:v>122</c:v>
                </c:pt>
                <c:pt idx="581">
                  <c:v>143.5</c:v>
                </c:pt>
                <c:pt idx="582">
                  <c:v>176.8</c:v>
                </c:pt>
                <c:pt idx="583">
                  <c:v>208.8</c:v>
                </c:pt>
                <c:pt idx="584">
                  <c:v>230.29999999999998</c:v>
                </c:pt>
                <c:pt idx="585">
                  <c:v>237.9</c:v>
                </c:pt>
                <c:pt idx="586">
                  <c:v>233.8</c:v>
                </c:pt>
                <c:pt idx="587">
                  <c:v>222.10000000000002</c:v>
                </c:pt>
                <c:pt idx="588">
                  <c:v>204.2</c:v>
                </c:pt>
                <c:pt idx="589">
                  <c:v>184.9</c:v>
                </c:pt>
                <c:pt idx="590">
                  <c:v>161.4</c:v>
                </c:pt>
                <c:pt idx="591">
                  <c:v>142.5</c:v>
                </c:pt>
                <c:pt idx="592">
                  <c:v>137.9</c:v>
                </c:pt>
                <c:pt idx="593">
                  <c:v>143.1</c:v>
                </c:pt>
                <c:pt idx="594">
                  <c:v>152.4</c:v>
                </c:pt>
                <c:pt idx="595">
                  <c:v>167.6</c:v>
                </c:pt>
                <c:pt idx="596">
                  <c:v>178</c:v>
                </c:pt>
                <c:pt idx="597">
                  <c:v>183.1</c:v>
                </c:pt>
                <c:pt idx="598">
                  <c:v>181</c:v>
                </c:pt>
                <c:pt idx="599">
                  <c:v>167.9</c:v>
                </c:pt>
                <c:pt idx="600">
                  <c:v>156.9</c:v>
                </c:pt>
                <c:pt idx="601">
                  <c:v>143.30000000000001</c:v>
                </c:pt>
                <c:pt idx="602">
                  <c:v>133.80000000000001</c:v>
                </c:pt>
                <c:pt idx="603">
                  <c:v>134</c:v>
                </c:pt>
                <c:pt idx="604">
                  <c:v>138.1</c:v>
                </c:pt>
                <c:pt idx="605">
                  <c:v>146.70000000000002</c:v>
                </c:pt>
                <c:pt idx="606">
                  <c:v>165.7</c:v>
                </c:pt>
                <c:pt idx="607">
                  <c:v>191.2</c:v>
                </c:pt>
                <c:pt idx="608">
                  <c:v>208.70000000000002</c:v>
                </c:pt>
                <c:pt idx="609">
                  <c:v>218.5</c:v>
                </c:pt>
                <c:pt idx="610">
                  <c:v>221.89999999999998</c:v>
                </c:pt>
                <c:pt idx="611">
                  <c:v>217</c:v>
                </c:pt>
                <c:pt idx="612">
                  <c:v>205.7</c:v>
                </c:pt>
                <c:pt idx="613">
                  <c:v>185.5</c:v>
                </c:pt>
                <c:pt idx="614">
                  <c:v>165.3</c:v>
                </c:pt>
                <c:pt idx="615">
                  <c:v>146.4</c:v>
                </c:pt>
                <c:pt idx="616">
                  <c:v>133.4</c:v>
                </c:pt>
                <c:pt idx="617">
                  <c:v>127.89999999999999</c:v>
                </c:pt>
                <c:pt idx="618">
                  <c:v>133.69999999999999</c:v>
                </c:pt>
                <c:pt idx="619">
                  <c:v>142.9</c:v>
                </c:pt>
                <c:pt idx="620">
                  <c:v>154</c:v>
                </c:pt>
                <c:pt idx="621">
                  <c:v>164.39999999999998</c:v>
                </c:pt>
                <c:pt idx="622">
                  <c:v>176.1</c:v>
                </c:pt>
                <c:pt idx="623">
                  <c:v>179.6</c:v>
                </c:pt>
                <c:pt idx="624">
                  <c:v>179</c:v>
                </c:pt>
                <c:pt idx="625">
                  <c:v>172.4</c:v>
                </c:pt>
                <c:pt idx="626">
                  <c:v>161.69999999999999</c:v>
                </c:pt>
                <c:pt idx="627">
                  <c:v>156.6</c:v>
                </c:pt>
                <c:pt idx="628">
                  <c:v>153.19999999999999</c:v>
                </c:pt>
                <c:pt idx="629">
                  <c:v>156.80000000000001</c:v>
                </c:pt>
                <c:pt idx="630">
                  <c:v>166.5</c:v>
                </c:pt>
                <c:pt idx="631">
                  <c:v>178.4</c:v>
                </c:pt>
                <c:pt idx="632">
                  <c:v>193.79999999999998</c:v>
                </c:pt>
                <c:pt idx="633">
                  <c:v>197.3</c:v>
                </c:pt>
                <c:pt idx="634">
                  <c:v>197</c:v>
                </c:pt>
                <c:pt idx="635">
                  <c:v>194.4</c:v>
                </c:pt>
                <c:pt idx="636">
                  <c:v>182.4</c:v>
                </c:pt>
                <c:pt idx="637">
                  <c:v>173.5</c:v>
                </c:pt>
                <c:pt idx="638">
                  <c:v>163.69999999999999</c:v>
                </c:pt>
                <c:pt idx="639">
                  <c:v>148.10000000000002</c:v>
                </c:pt>
                <c:pt idx="640">
                  <c:v>133.20000000000002</c:v>
                </c:pt>
                <c:pt idx="641">
                  <c:v>124.70000000000002</c:v>
                </c:pt>
                <c:pt idx="642">
                  <c:v>119.6</c:v>
                </c:pt>
                <c:pt idx="643">
                  <c:v>121.39999999999999</c:v>
                </c:pt>
                <c:pt idx="644">
                  <c:v>131.80000000000001</c:v>
                </c:pt>
                <c:pt idx="645">
                  <c:v>146.6</c:v>
                </c:pt>
                <c:pt idx="646">
                  <c:v>160</c:v>
                </c:pt>
                <c:pt idx="647">
                  <c:v>169.9</c:v>
                </c:pt>
                <c:pt idx="648">
                  <c:v>177</c:v>
                </c:pt>
                <c:pt idx="649">
                  <c:v>180.5</c:v>
                </c:pt>
                <c:pt idx="650">
                  <c:v>182.9</c:v>
                </c:pt>
                <c:pt idx="651">
                  <c:v>182.6</c:v>
                </c:pt>
                <c:pt idx="652">
                  <c:v>178.8</c:v>
                </c:pt>
                <c:pt idx="653">
                  <c:v>173.70000000000002</c:v>
                </c:pt>
                <c:pt idx="654">
                  <c:v>169.70000000000002</c:v>
                </c:pt>
                <c:pt idx="655">
                  <c:v>172.8</c:v>
                </c:pt>
                <c:pt idx="656">
                  <c:v>175.6</c:v>
                </c:pt>
                <c:pt idx="657">
                  <c:v>180</c:v>
                </c:pt>
                <c:pt idx="658">
                  <c:v>183.1</c:v>
                </c:pt>
                <c:pt idx="659">
                  <c:v>180.9</c:v>
                </c:pt>
                <c:pt idx="660">
                  <c:v>176</c:v>
                </c:pt>
                <c:pt idx="661">
                  <c:v>170.9</c:v>
                </c:pt>
                <c:pt idx="662">
                  <c:v>161.69999999999999</c:v>
                </c:pt>
                <c:pt idx="663">
                  <c:v>152.4</c:v>
                </c:pt>
                <c:pt idx="664">
                  <c:v>141.9</c:v>
                </c:pt>
                <c:pt idx="665">
                  <c:v>131.4</c:v>
                </c:pt>
                <c:pt idx="666">
                  <c:v>122.10000000000001</c:v>
                </c:pt>
                <c:pt idx="667">
                  <c:v>117.10000000000001</c:v>
                </c:pt>
                <c:pt idx="668">
                  <c:v>114.9</c:v>
                </c:pt>
                <c:pt idx="669">
                  <c:v>124.4</c:v>
                </c:pt>
                <c:pt idx="670">
                  <c:v>138.5</c:v>
                </c:pt>
                <c:pt idx="671">
                  <c:v>156.69999999999999</c:v>
                </c:pt>
                <c:pt idx="672">
                  <c:v>171.9</c:v>
                </c:pt>
                <c:pt idx="673">
                  <c:v>188.7</c:v>
                </c:pt>
                <c:pt idx="674">
                  <c:v>200.70000000000002</c:v>
                </c:pt>
                <c:pt idx="675">
                  <c:v>205.29999999999998</c:v>
                </c:pt>
                <c:pt idx="676">
                  <c:v>203.79999999999998</c:v>
                </c:pt>
                <c:pt idx="677">
                  <c:v>197.2</c:v>
                </c:pt>
                <c:pt idx="678">
                  <c:v>192</c:v>
                </c:pt>
                <c:pt idx="679">
                  <c:v>184.7</c:v>
                </c:pt>
                <c:pt idx="680">
                  <c:v>175.7</c:v>
                </c:pt>
                <c:pt idx="681">
                  <c:v>168.4</c:v>
                </c:pt>
                <c:pt idx="682">
                  <c:v>163.5</c:v>
                </c:pt>
                <c:pt idx="683">
                  <c:v>165.39999999999998</c:v>
                </c:pt>
                <c:pt idx="684">
                  <c:v>166.79999999999998</c:v>
                </c:pt>
                <c:pt idx="685">
                  <c:v>167.2</c:v>
                </c:pt>
                <c:pt idx="686">
                  <c:v>166.79999999999998</c:v>
                </c:pt>
                <c:pt idx="687">
                  <c:v>158.80000000000001</c:v>
                </c:pt>
                <c:pt idx="688">
                  <c:v>149.5</c:v>
                </c:pt>
                <c:pt idx="689">
                  <c:v>139.9</c:v>
                </c:pt>
                <c:pt idx="690">
                  <c:v>126.2</c:v>
                </c:pt>
                <c:pt idx="691">
                  <c:v>114.39999999999999</c:v>
                </c:pt>
                <c:pt idx="692">
                  <c:v>111.4</c:v>
                </c:pt>
                <c:pt idx="693">
                  <c:v>112.99999999999999</c:v>
                </c:pt>
                <c:pt idx="694">
                  <c:v>120.39999999999999</c:v>
                </c:pt>
                <c:pt idx="695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16-4A30-85DF-61DE40300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638208"/>
        <c:axId val="282653056"/>
      </c:scatterChart>
      <c:valAx>
        <c:axId val="2826382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Tanggal </a:t>
                </a:r>
              </a:p>
            </c:rich>
          </c:tx>
          <c:layout>
            <c:manualLayout>
              <c:xMode val="edge"/>
              <c:yMode val="edge"/>
              <c:x val="0.47851024824187055"/>
              <c:y val="0.92471633353523108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653056"/>
        <c:crosses val="autoZero"/>
        <c:crossBetween val="midCat"/>
        <c:majorUnit val="0.99856317249314397"/>
      </c:valAx>
      <c:valAx>
        <c:axId val="282653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Elevasi</a:t>
                </a:r>
                <a:r>
                  <a:rPr lang="en-US" baseline="0"/>
                  <a:t> Muka Air</a:t>
                </a:r>
                <a:r>
                  <a:rPr lang="en-US"/>
                  <a:t> (Cm) PheilSchaal</a:t>
                </a:r>
              </a:p>
            </c:rich>
          </c:tx>
          <c:layout>
            <c:manualLayout>
              <c:xMode val="edge"/>
              <c:yMode val="edge"/>
              <c:x val="1.9309170323175251E-2"/>
              <c:y val="0.34452994995058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638208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2705539916108988"/>
          <c:y val="0.92244484561687778"/>
          <c:w val="0.71001546590020814"/>
          <c:h val="4.620475076435166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paperSize="9" firstPageNumber="0" orientation="landscape" horizontalDpi="-3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70C0"/>
                </a:solidFill>
              </a:rPr>
              <a:t>Grafik Pengamatan &amp; Elevasi Pasang Surut 29 Piantan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Perairan Tj. Lita - Pulau Sebuku, 25 Mei 27 Juni 2022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652640877517436E-2"/>
          <c:y val="0.14396745604539546"/>
          <c:w val="0.81918187359281502"/>
          <c:h val="0.63290343684915495"/>
        </c:manualLayout>
      </c:layout>
      <c:scatterChart>
        <c:scatterStyle val="smoothMarker"/>
        <c:varyColors val="0"/>
        <c:ser>
          <c:idx val="0"/>
          <c:order val="0"/>
          <c:tx>
            <c:v>Pasut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ln>
                <a:solidFill>
                  <a:schemeClr val="tx1"/>
                </a:solidFill>
              </a:ln>
            </c:spPr>
          </c:marker>
          <c:xVal>
            <c:numRef>
              <c:f>'data asli x100'!$B$8:$B$752</c:f>
              <c:numCache>
                <c:formatCode>m/d/yyyy\ h:mm</c:formatCode>
                <c:ptCount val="745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  <c:pt idx="696">
                  <c:v>44738.000022453707</c:v>
                </c:pt>
                <c:pt idx="697">
                  <c:v>44738.041689178244</c:v>
                </c:pt>
                <c:pt idx="698">
                  <c:v>44738.083355902774</c:v>
                </c:pt>
                <c:pt idx="699">
                  <c:v>44738.125022627311</c:v>
                </c:pt>
                <c:pt idx="700">
                  <c:v>44738.166689351849</c:v>
                </c:pt>
                <c:pt idx="701">
                  <c:v>44738.208356076386</c:v>
                </c:pt>
                <c:pt idx="702">
                  <c:v>44738.250022800923</c:v>
                </c:pt>
                <c:pt idx="703">
                  <c:v>44738.29168952546</c:v>
                </c:pt>
                <c:pt idx="704">
                  <c:v>44738.333356249997</c:v>
                </c:pt>
                <c:pt idx="705">
                  <c:v>44738.375022974535</c:v>
                </c:pt>
                <c:pt idx="706">
                  <c:v>44738.416689699072</c:v>
                </c:pt>
                <c:pt idx="707">
                  <c:v>44738.458356423609</c:v>
                </c:pt>
                <c:pt idx="708">
                  <c:v>44738.500023148146</c:v>
                </c:pt>
                <c:pt idx="709">
                  <c:v>44738.541689872683</c:v>
                </c:pt>
                <c:pt idx="710">
                  <c:v>44738.583356539355</c:v>
                </c:pt>
                <c:pt idx="711">
                  <c:v>44738.625023263892</c:v>
                </c:pt>
                <c:pt idx="712">
                  <c:v>44738.666689988429</c:v>
                </c:pt>
                <c:pt idx="713">
                  <c:v>44738.708356712959</c:v>
                </c:pt>
                <c:pt idx="714">
                  <c:v>44738.750023437497</c:v>
                </c:pt>
                <c:pt idx="715">
                  <c:v>44738.791690162034</c:v>
                </c:pt>
                <c:pt idx="716">
                  <c:v>44738.833356886571</c:v>
                </c:pt>
                <c:pt idx="717">
                  <c:v>44738.875023611108</c:v>
                </c:pt>
                <c:pt idx="718">
                  <c:v>44738.916690335645</c:v>
                </c:pt>
                <c:pt idx="719">
                  <c:v>44738.958357060183</c:v>
                </c:pt>
                <c:pt idx="720">
                  <c:v>44739.00002378472</c:v>
                </c:pt>
                <c:pt idx="721">
                  <c:v>44739.041690509257</c:v>
                </c:pt>
                <c:pt idx="722">
                  <c:v>44739.083357233794</c:v>
                </c:pt>
                <c:pt idx="723">
                  <c:v>44739.125023958331</c:v>
                </c:pt>
                <c:pt idx="724">
                  <c:v>44739.166690682869</c:v>
                </c:pt>
                <c:pt idx="725">
                  <c:v>44739.208357407406</c:v>
                </c:pt>
                <c:pt idx="726">
                  <c:v>44739.250024131943</c:v>
                </c:pt>
                <c:pt idx="727">
                  <c:v>44739.29169085648</c:v>
                </c:pt>
                <c:pt idx="728">
                  <c:v>44739.333357581017</c:v>
                </c:pt>
                <c:pt idx="729">
                  <c:v>44739.375024305555</c:v>
                </c:pt>
              </c:numCache>
            </c:numRef>
          </c:xVal>
          <c:yVal>
            <c:numRef>
              <c:f>'data asli x100'!$D$8:$D$727</c:f>
              <c:numCache>
                <c:formatCode>0.00</c:formatCode>
                <c:ptCount val="720"/>
                <c:pt idx="0">
                  <c:v>1.36</c:v>
                </c:pt>
                <c:pt idx="1">
                  <c:v>1.655</c:v>
                </c:pt>
                <c:pt idx="2">
                  <c:v>1.9830000000000001</c:v>
                </c:pt>
                <c:pt idx="3">
                  <c:v>2.2469999999999999</c:v>
                </c:pt>
                <c:pt idx="4">
                  <c:v>2.39</c:v>
                </c:pt>
                <c:pt idx="5">
                  <c:v>2.4300000000000002</c:v>
                </c:pt>
                <c:pt idx="6">
                  <c:v>2.3170000000000002</c:v>
                </c:pt>
                <c:pt idx="7">
                  <c:v>2.121</c:v>
                </c:pt>
                <c:pt idx="8">
                  <c:v>1.8839999999999999</c:v>
                </c:pt>
                <c:pt idx="9">
                  <c:v>1.637</c:v>
                </c:pt>
                <c:pt idx="10">
                  <c:v>1.454</c:v>
                </c:pt>
                <c:pt idx="11">
                  <c:v>1.3540000000000001</c:v>
                </c:pt>
                <c:pt idx="12">
                  <c:v>1.42</c:v>
                </c:pt>
                <c:pt idx="13">
                  <c:v>1.5609999999999999</c:v>
                </c:pt>
                <c:pt idx="14">
                  <c:v>1.7310000000000001</c:v>
                </c:pt>
                <c:pt idx="15">
                  <c:v>1.889</c:v>
                </c:pt>
                <c:pt idx="16">
                  <c:v>1.9490000000000001</c:v>
                </c:pt>
                <c:pt idx="17">
                  <c:v>1.9</c:v>
                </c:pt>
                <c:pt idx="18">
                  <c:v>1.7330000000000001</c:v>
                </c:pt>
                <c:pt idx="19">
                  <c:v>1.55</c:v>
                </c:pt>
                <c:pt idx="20">
                  <c:v>1.3240000000000001</c:v>
                </c:pt>
                <c:pt idx="21">
                  <c:v>1.1080000000000001</c:v>
                </c:pt>
                <c:pt idx="22">
                  <c:v>0.96899999999999997</c:v>
                </c:pt>
                <c:pt idx="23">
                  <c:v>0.99099999999999999</c:v>
                </c:pt>
                <c:pt idx="24">
                  <c:v>1.1379999999999999</c:v>
                </c:pt>
                <c:pt idx="25">
                  <c:v>1.4390000000000001</c:v>
                </c:pt>
                <c:pt idx="26">
                  <c:v>1.847</c:v>
                </c:pt>
                <c:pt idx="27">
                  <c:v>2.2229999999999999</c:v>
                </c:pt>
                <c:pt idx="28">
                  <c:v>2.4910000000000001</c:v>
                </c:pt>
                <c:pt idx="29">
                  <c:v>2.581</c:v>
                </c:pt>
                <c:pt idx="30">
                  <c:v>2.5190000000000001</c:v>
                </c:pt>
                <c:pt idx="31">
                  <c:v>2.3260000000000001</c:v>
                </c:pt>
                <c:pt idx="32">
                  <c:v>2.024</c:v>
                </c:pt>
                <c:pt idx="33">
                  <c:v>1.7190000000000001</c:v>
                </c:pt>
                <c:pt idx="34">
                  <c:v>1.4410000000000001</c:v>
                </c:pt>
                <c:pt idx="35">
                  <c:v>1.2529999999999999</c:v>
                </c:pt>
                <c:pt idx="36">
                  <c:v>1.232</c:v>
                </c:pt>
                <c:pt idx="37">
                  <c:v>1.3320000000000001</c:v>
                </c:pt>
                <c:pt idx="38">
                  <c:v>1.5</c:v>
                </c:pt>
                <c:pt idx="39">
                  <c:v>1.6930000000000001</c:v>
                </c:pt>
                <c:pt idx="40">
                  <c:v>1.833</c:v>
                </c:pt>
                <c:pt idx="41">
                  <c:v>1.84</c:v>
                </c:pt>
                <c:pt idx="42">
                  <c:v>1.742</c:v>
                </c:pt>
                <c:pt idx="43">
                  <c:v>1.583</c:v>
                </c:pt>
                <c:pt idx="44">
                  <c:v>1.3320000000000001</c:v>
                </c:pt>
                <c:pt idx="45">
                  <c:v>1.0669999999999999</c:v>
                </c:pt>
                <c:pt idx="46">
                  <c:v>0.81299999999999994</c:v>
                </c:pt>
                <c:pt idx="47">
                  <c:v>0.754</c:v>
                </c:pt>
                <c:pt idx="48">
                  <c:v>0.90600000000000003</c:v>
                </c:pt>
                <c:pt idx="49">
                  <c:v>1.2310000000000001</c:v>
                </c:pt>
                <c:pt idx="50">
                  <c:v>1.627</c:v>
                </c:pt>
                <c:pt idx="51">
                  <c:v>2.0550000000000002</c:v>
                </c:pt>
                <c:pt idx="52">
                  <c:v>2.456</c:v>
                </c:pt>
                <c:pt idx="53">
                  <c:v>2.714</c:v>
                </c:pt>
                <c:pt idx="54">
                  <c:v>2.7280000000000002</c:v>
                </c:pt>
                <c:pt idx="55">
                  <c:v>2.552</c:v>
                </c:pt>
                <c:pt idx="56">
                  <c:v>2.2280000000000002</c:v>
                </c:pt>
                <c:pt idx="57">
                  <c:v>1.8280000000000001</c:v>
                </c:pt>
                <c:pt idx="58">
                  <c:v>1.4850000000000001</c:v>
                </c:pt>
                <c:pt idx="59">
                  <c:v>1.22</c:v>
                </c:pt>
                <c:pt idx="60">
                  <c:v>1.1359999999999999</c:v>
                </c:pt>
                <c:pt idx="61">
                  <c:v>1.234</c:v>
                </c:pt>
                <c:pt idx="62">
                  <c:v>1.4339999999999999</c:v>
                </c:pt>
                <c:pt idx="63">
                  <c:v>1.641</c:v>
                </c:pt>
                <c:pt idx="64">
                  <c:v>1.778</c:v>
                </c:pt>
                <c:pt idx="65">
                  <c:v>1.821</c:v>
                </c:pt>
                <c:pt idx="66">
                  <c:v>1.7869999999999999</c:v>
                </c:pt>
                <c:pt idx="67">
                  <c:v>1.6260000000000001</c:v>
                </c:pt>
                <c:pt idx="68">
                  <c:v>1.399</c:v>
                </c:pt>
                <c:pt idx="69">
                  <c:v>1.1459999999999999</c:v>
                </c:pt>
                <c:pt idx="70">
                  <c:v>0.88500000000000001</c:v>
                </c:pt>
                <c:pt idx="71">
                  <c:v>0.70199999999999996</c:v>
                </c:pt>
                <c:pt idx="72">
                  <c:v>0.74299999999999999</c:v>
                </c:pt>
                <c:pt idx="73">
                  <c:v>1.0089999999999999</c:v>
                </c:pt>
                <c:pt idx="74">
                  <c:v>1.395</c:v>
                </c:pt>
                <c:pt idx="75">
                  <c:v>1.8839999999999999</c:v>
                </c:pt>
                <c:pt idx="76">
                  <c:v>2.3519999999999999</c:v>
                </c:pt>
                <c:pt idx="77">
                  <c:v>2.6960000000000002</c:v>
                </c:pt>
                <c:pt idx="78">
                  <c:v>2.8149999999999999</c:v>
                </c:pt>
                <c:pt idx="79">
                  <c:v>2.738</c:v>
                </c:pt>
                <c:pt idx="80">
                  <c:v>2.46</c:v>
                </c:pt>
                <c:pt idx="81">
                  <c:v>2.028</c:v>
                </c:pt>
                <c:pt idx="82">
                  <c:v>1.653</c:v>
                </c:pt>
                <c:pt idx="83">
                  <c:v>1.345</c:v>
                </c:pt>
                <c:pt idx="84">
                  <c:v>1.18</c:v>
                </c:pt>
                <c:pt idx="85">
                  <c:v>1.1519999999999999</c:v>
                </c:pt>
                <c:pt idx="86">
                  <c:v>1.2609999999999999</c:v>
                </c:pt>
                <c:pt idx="87">
                  <c:v>1.47</c:v>
                </c:pt>
                <c:pt idx="88">
                  <c:v>1.6679999999999999</c:v>
                </c:pt>
                <c:pt idx="89">
                  <c:v>1.7709999999999999</c:v>
                </c:pt>
                <c:pt idx="90">
                  <c:v>1.7649999999999999</c:v>
                </c:pt>
                <c:pt idx="91">
                  <c:v>1.653</c:v>
                </c:pt>
                <c:pt idx="92">
                  <c:v>1.444</c:v>
                </c:pt>
                <c:pt idx="93">
                  <c:v>1.226</c:v>
                </c:pt>
                <c:pt idx="94">
                  <c:v>0.95599999999999996</c:v>
                </c:pt>
                <c:pt idx="95">
                  <c:v>0.73799999999999999</c:v>
                </c:pt>
                <c:pt idx="96">
                  <c:v>0.68700000000000006</c:v>
                </c:pt>
                <c:pt idx="97">
                  <c:v>0.86399999999999999</c:v>
                </c:pt>
                <c:pt idx="98">
                  <c:v>1.246</c:v>
                </c:pt>
                <c:pt idx="99">
                  <c:v>1.7010000000000001</c:v>
                </c:pt>
                <c:pt idx="100">
                  <c:v>2.1930000000000001</c:v>
                </c:pt>
                <c:pt idx="101">
                  <c:v>2.5950000000000002</c:v>
                </c:pt>
                <c:pt idx="102">
                  <c:v>2.8180000000000001</c:v>
                </c:pt>
                <c:pt idx="103">
                  <c:v>2.84</c:v>
                </c:pt>
                <c:pt idx="104">
                  <c:v>2.657</c:v>
                </c:pt>
                <c:pt idx="105">
                  <c:v>2.2879999999999998</c:v>
                </c:pt>
                <c:pt idx="106">
                  <c:v>1.8819999999999999</c:v>
                </c:pt>
                <c:pt idx="107">
                  <c:v>1.5149999999999999</c:v>
                </c:pt>
                <c:pt idx="108">
                  <c:v>1.27</c:v>
                </c:pt>
                <c:pt idx="109">
                  <c:v>1.169</c:v>
                </c:pt>
                <c:pt idx="110">
                  <c:v>1.2250000000000001</c:v>
                </c:pt>
                <c:pt idx="111">
                  <c:v>1.375</c:v>
                </c:pt>
                <c:pt idx="112">
                  <c:v>1.5940000000000001</c:v>
                </c:pt>
                <c:pt idx="113">
                  <c:v>1.784</c:v>
                </c:pt>
                <c:pt idx="114">
                  <c:v>1.839</c:v>
                </c:pt>
                <c:pt idx="115">
                  <c:v>1.7450000000000001</c:v>
                </c:pt>
                <c:pt idx="116">
                  <c:v>1.554</c:v>
                </c:pt>
                <c:pt idx="117">
                  <c:v>1.2949999999999999</c:v>
                </c:pt>
                <c:pt idx="118">
                  <c:v>0.96299999999999997</c:v>
                </c:pt>
                <c:pt idx="119">
                  <c:v>0.76200000000000001</c:v>
                </c:pt>
                <c:pt idx="120">
                  <c:v>0.65800000000000003</c:v>
                </c:pt>
                <c:pt idx="121">
                  <c:v>0.75</c:v>
                </c:pt>
                <c:pt idx="122">
                  <c:v>1.0609999999999999</c:v>
                </c:pt>
                <c:pt idx="123">
                  <c:v>1.4930000000000001</c:v>
                </c:pt>
                <c:pt idx="124">
                  <c:v>1.9990000000000001</c:v>
                </c:pt>
                <c:pt idx="125">
                  <c:v>2.4350000000000001</c:v>
                </c:pt>
                <c:pt idx="126">
                  <c:v>2.7450000000000001</c:v>
                </c:pt>
                <c:pt idx="127">
                  <c:v>2.8460000000000001</c:v>
                </c:pt>
                <c:pt idx="128">
                  <c:v>2.758</c:v>
                </c:pt>
                <c:pt idx="129">
                  <c:v>2.5059999999999998</c:v>
                </c:pt>
                <c:pt idx="130">
                  <c:v>2.1230000000000002</c:v>
                </c:pt>
                <c:pt idx="131">
                  <c:v>1.7490000000000001</c:v>
                </c:pt>
                <c:pt idx="132">
                  <c:v>1.429</c:v>
                </c:pt>
                <c:pt idx="133">
                  <c:v>1.2609999999999999</c:v>
                </c:pt>
                <c:pt idx="134">
                  <c:v>1.2310000000000001</c:v>
                </c:pt>
                <c:pt idx="135">
                  <c:v>1.3720000000000001</c:v>
                </c:pt>
                <c:pt idx="136">
                  <c:v>1.5880000000000001</c:v>
                </c:pt>
                <c:pt idx="137">
                  <c:v>1.7689999999999999</c:v>
                </c:pt>
                <c:pt idx="138">
                  <c:v>1.8129999999999999</c:v>
                </c:pt>
                <c:pt idx="139">
                  <c:v>1.7769999999999999</c:v>
                </c:pt>
                <c:pt idx="140">
                  <c:v>1.641</c:v>
                </c:pt>
                <c:pt idx="141">
                  <c:v>1.4079999999999999</c:v>
                </c:pt>
                <c:pt idx="142">
                  <c:v>1.151</c:v>
                </c:pt>
                <c:pt idx="143">
                  <c:v>0.90400000000000003</c:v>
                </c:pt>
                <c:pt idx="144">
                  <c:v>0.74</c:v>
                </c:pt>
                <c:pt idx="145">
                  <c:v>0.754</c:v>
                </c:pt>
                <c:pt idx="146">
                  <c:v>0.94699999999999995</c:v>
                </c:pt>
                <c:pt idx="147">
                  <c:v>1.3049999999999999</c:v>
                </c:pt>
                <c:pt idx="148">
                  <c:v>1.754</c:v>
                </c:pt>
                <c:pt idx="149">
                  <c:v>2.1850000000000001</c:v>
                </c:pt>
                <c:pt idx="150">
                  <c:v>2.5470000000000002</c:v>
                </c:pt>
                <c:pt idx="151">
                  <c:v>2.758</c:v>
                </c:pt>
                <c:pt idx="152">
                  <c:v>2.7730000000000001</c:v>
                </c:pt>
                <c:pt idx="153">
                  <c:v>2.5979999999999999</c:v>
                </c:pt>
                <c:pt idx="154">
                  <c:v>2.278</c:v>
                </c:pt>
                <c:pt idx="155">
                  <c:v>1.887</c:v>
                </c:pt>
                <c:pt idx="156">
                  <c:v>1.5620000000000001</c:v>
                </c:pt>
                <c:pt idx="157">
                  <c:v>1.349</c:v>
                </c:pt>
                <c:pt idx="158">
                  <c:v>1.28</c:v>
                </c:pt>
                <c:pt idx="159">
                  <c:v>1.35</c:v>
                </c:pt>
                <c:pt idx="160">
                  <c:v>1.5269999999999999</c:v>
                </c:pt>
                <c:pt idx="161">
                  <c:v>1.68</c:v>
                </c:pt>
                <c:pt idx="162">
                  <c:v>1.7789999999999999</c:v>
                </c:pt>
                <c:pt idx="163">
                  <c:v>1.766</c:v>
                </c:pt>
                <c:pt idx="164">
                  <c:v>1.6830000000000001</c:v>
                </c:pt>
                <c:pt idx="165">
                  <c:v>1.4750000000000001</c:v>
                </c:pt>
                <c:pt idx="166">
                  <c:v>1.2629999999999999</c:v>
                </c:pt>
                <c:pt idx="167">
                  <c:v>1.0229999999999999</c:v>
                </c:pt>
                <c:pt idx="168">
                  <c:v>0.79700000000000004</c:v>
                </c:pt>
                <c:pt idx="169">
                  <c:v>0.73399999999999999</c:v>
                </c:pt>
                <c:pt idx="170">
                  <c:v>0.85699999999999998</c:v>
                </c:pt>
                <c:pt idx="171">
                  <c:v>1.1599999999999999</c:v>
                </c:pt>
                <c:pt idx="172">
                  <c:v>1.54</c:v>
                </c:pt>
                <c:pt idx="173">
                  <c:v>1.9890000000000001</c:v>
                </c:pt>
                <c:pt idx="174">
                  <c:v>2.3559999999999999</c:v>
                </c:pt>
                <c:pt idx="175">
                  <c:v>2.5950000000000002</c:v>
                </c:pt>
                <c:pt idx="176">
                  <c:v>2.6890000000000001</c:v>
                </c:pt>
                <c:pt idx="177">
                  <c:v>2.5859999999999999</c:v>
                </c:pt>
                <c:pt idx="178">
                  <c:v>2.339</c:v>
                </c:pt>
                <c:pt idx="179">
                  <c:v>1.9910000000000001</c:v>
                </c:pt>
                <c:pt idx="180">
                  <c:v>1.698</c:v>
                </c:pt>
                <c:pt idx="181">
                  <c:v>1.4355</c:v>
                </c:pt>
                <c:pt idx="182">
                  <c:v>1.319</c:v>
                </c:pt>
                <c:pt idx="183">
                  <c:v>1.304</c:v>
                </c:pt>
                <c:pt idx="184">
                  <c:v>1.421</c:v>
                </c:pt>
                <c:pt idx="185">
                  <c:v>1.5940000000000001</c:v>
                </c:pt>
                <c:pt idx="186">
                  <c:v>1.748</c:v>
                </c:pt>
                <c:pt idx="187">
                  <c:v>1.82</c:v>
                </c:pt>
                <c:pt idx="188">
                  <c:v>1.7709999999999999</c:v>
                </c:pt>
                <c:pt idx="189">
                  <c:v>1.5880000000000001</c:v>
                </c:pt>
                <c:pt idx="190">
                  <c:v>1.36</c:v>
                </c:pt>
                <c:pt idx="191">
                  <c:v>1.1240000000000001</c:v>
                </c:pt>
                <c:pt idx="192">
                  <c:v>0.90500000000000003</c:v>
                </c:pt>
                <c:pt idx="193">
                  <c:v>0.78600000000000003</c:v>
                </c:pt>
                <c:pt idx="194">
                  <c:v>0.84499999999999997</c:v>
                </c:pt>
                <c:pt idx="195">
                  <c:v>1.07</c:v>
                </c:pt>
                <c:pt idx="196">
                  <c:v>1.413</c:v>
                </c:pt>
                <c:pt idx="197">
                  <c:v>1.792</c:v>
                </c:pt>
                <c:pt idx="198">
                  <c:v>2.1789999999999998</c:v>
                </c:pt>
                <c:pt idx="199">
                  <c:v>2.4420000000000002</c:v>
                </c:pt>
                <c:pt idx="200">
                  <c:v>2.5630000000000002</c:v>
                </c:pt>
                <c:pt idx="201">
                  <c:v>2.552</c:v>
                </c:pt>
                <c:pt idx="202">
                  <c:v>2.4060000000000001</c:v>
                </c:pt>
                <c:pt idx="203">
                  <c:v>2.1150000000000002</c:v>
                </c:pt>
                <c:pt idx="204">
                  <c:v>1.8049999999999999</c:v>
                </c:pt>
                <c:pt idx="205">
                  <c:v>1.5640000000000001</c:v>
                </c:pt>
                <c:pt idx="206">
                  <c:v>1.4390000000000001</c:v>
                </c:pt>
                <c:pt idx="207">
                  <c:v>1.4079999999999999</c:v>
                </c:pt>
                <c:pt idx="208">
                  <c:v>1.4790000000000001</c:v>
                </c:pt>
                <c:pt idx="209">
                  <c:v>1.593</c:v>
                </c:pt>
                <c:pt idx="210">
                  <c:v>1.7210000000000001</c:v>
                </c:pt>
                <c:pt idx="211">
                  <c:v>1.8080000000000001</c:v>
                </c:pt>
                <c:pt idx="212">
                  <c:v>1.8049999999999999</c:v>
                </c:pt>
                <c:pt idx="213">
                  <c:v>1.667</c:v>
                </c:pt>
                <c:pt idx="214">
                  <c:v>1.46</c:v>
                </c:pt>
                <c:pt idx="215">
                  <c:v>1.254</c:v>
                </c:pt>
                <c:pt idx="216">
                  <c:v>1.0469999999999999</c:v>
                </c:pt>
                <c:pt idx="217">
                  <c:v>0.90600000000000003</c:v>
                </c:pt>
                <c:pt idx="218">
                  <c:v>0.871</c:v>
                </c:pt>
                <c:pt idx="219">
                  <c:v>1.024</c:v>
                </c:pt>
                <c:pt idx="220">
                  <c:v>1.3140000000000001</c:v>
                </c:pt>
                <c:pt idx="221">
                  <c:v>1.6679999999999999</c:v>
                </c:pt>
                <c:pt idx="222">
                  <c:v>1.9930000000000001</c:v>
                </c:pt>
                <c:pt idx="223">
                  <c:v>2.25</c:v>
                </c:pt>
                <c:pt idx="224">
                  <c:v>2.4020000000000001</c:v>
                </c:pt>
                <c:pt idx="225">
                  <c:v>2.4220000000000002</c:v>
                </c:pt>
                <c:pt idx="226">
                  <c:v>2.3570000000000002</c:v>
                </c:pt>
                <c:pt idx="227">
                  <c:v>2.1829999999999998</c:v>
                </c:pt>
                <c:pt idx="228">
                  <c:v>1.923</c:v>
                </c:pt>
                <c:pt idx="229">
                  <c:v>1.7050000000000001</c:v>
                </c:pt>
                <c:pt idx="230">
                  <c:v>1.556</c:v>
                </c:pt>
                <c:pt idx="231">
                  <c:v>1.4730000000000001</c:v>
                </c:pt>
                <c:pt idx="232">
                  <c:v>1.4790000000000001</c:v>
                </c:pt>
                <c:pt idx="233">
                  <c:v>1.573</c:v>
                </c:pt>
                <c:pt idx="234">
                  <c:v>1.673</c:v>
                </c:pt>
                <c:pt idx="235">
                  <c:v>1.7889999999999999</c:v>
                </c:pt>
                <c:pt idx="236">
                  <c:v>1.8320000000000001</c:v>
                </c:pt>
                <c:pt idx="237">
                  <c:v>1.7549999999999999</c:v>
                </c:pt>
                <c:pt idx="238">
                  <c:v>1.556</c:v>
                </c:pt>
                <c:pt idx="239">
                  <c:v>1.375</c:v>
                </c:pt>
                <c:pt idx="240">
                  <c:v>1.1970000000000001</c:v>
                </c:pt>
                <c:pt idx="241">
                  <c:v>1.0580000000000001</c:v>
                </c:pt>
                <c:pt idx="242">
                  <c:v>1.028</c:v>
                </c:pt>
                <c:pt idx="243">
                  <c:v>1.1000000000000001</c:v>
                </c:pt>
                <c:pt idx="244">
                  <c:v>1.3069999999999999</c:v>
                </c:pt>
                <c:pt idx="245">
                  <c:v>1.593</c:v>
                </c:pt>
                <c:pt idx="246">
                  <c:v>1.8859999999999999</c:v>
                </c:pt>
                <c:pt idx="247">
                  <c:v>2.0960000000000001</c:v>
                </c:pt>
                <c:pt idx="248">
                  <c:v>2.2410000000000001</c:v>
                </c:pt>
                <c:pt idx="249">
                  <c:v>2.3029999999999999</c:v>
                </c:pt>
                <c:pt idx="250">
                  <c:v>2.2469999999999999</c:v>
                </c:pt>
                <c:pt idx="251">
                  <c:v>2.1240000000000001</c:v>
                </c:pt>
                <c:pt idx="252">
                  <c:v>1.986</c:v>
                </c:pt>
                <c:pt idx="253">
                  <c:v>1.8080000000000001</c:v>
                </c:pt>
                <c:pt idx="254">
                  <c:v>1.629</c:v>
                </c:pt>
                <c:pt idx="255">
                  <c:v>1.5349999999999999</c:v>
                </c:pt>
                <c:pt idx="256">
                  <c:v>1.502</c:v>
                </c:pt>
                <c:pt idx="257">
                  <c:v>1.5110000000000001</c:v>
                </c:pt>
                <c:pt idx="258">
                  <c:v>1.595</c:v>
                </c:pt>
                <c:pt idx="259">
                  <c:v>1.724</c:v>
                </c:pt>
                <c:pt idx="260">
                  <c:v>1.796</c:v>
                </c:pt>
                <c:pt idx="261">
                  <c:v>1.766</c:v>
                </c:pt>
                <c:pt idx="262">
                  <c:v>1.64</c:v>
                </c:pt>
                <c:pt idx="263">
                  <c:v>1.4950000000000001</c:v>
                </c:pt>
                <c:pt idx="264">
                  <c:v>1.373</c:v>
                </c:pt>
                <c:pt idx="265">
                  <c:v>1.2709999999999999</c:v>
                </c:pt>
                <c:pt idx="266">
                  <c:v>1.234</c:v>
                </c:pt>
                <c:pt idx="267">
                  <c:v>1.2729999999999999</c:v>
                </c:pt>
                <c:pt idx="268">
                  <c:v>1.3520000000000001</c:v>
                </c:pt>
                <c:pt idx="269">
                  <c:v>1.526</c:v>
                </c:pt>
                <c:pt idx="270">
                  <c:v>1.7390000000000001</c:v>
                </c:pt>
                <c:pt idx="271">
                  <c:v>1.905</c:v>
                </c:pt>
                <c:pt idx="272">
                  <c:v>2.0390000000000001</c:v>
                </c:pt>
                <c:pt idx="273">
                  <c:v>2.0870000000000002</c:v>
                </c:pt>
                <c:pt idx="274">
                  <c:v>2.077</c:v>
                </c:pt>
                <c:pt idx="275">
                  <c:v>2.036</c:v>
                </c:pt>
                <c:pt idx="276">
                  <c:v>1.976</c:v>
                </c:pt>
                <c:pt idx="277">
                  <c:v>1.873</c:v>
                </c:pt>
                <c:pt idx="278">
                  <c:v>1.7649999999999999</c:v>
                </c:pt>
                <c:pt idx="279">
                  <c:v>1.6319999999999999</c:v>
                </c:pt>
                <c:pt idx="280">
                  <c:v>1.5780000000000001</c:v>
                </c:pt>
                <c:pt idx="281">
                  <c:v>1.538</c:v>
                </c:pt>
                <c:pt idx="282">
                  <c:v>1.544</c:v>
                </c:pt>
                <c:pt idx="283">
                  <c:v>1.621</c:v>
                </c:pt>
                <c:pt idx="284">
                  <c:v>1.704</c:v>
                </c:pt>
                <c:pt idx="285">
                  <c:v>1.7210000000000001</c:v>
                </c:pt>
                <c:pt idx="286">
                  <c:v>1.6930000000000001</c:v>
                </c:pt>
                <c:pt idx="287">
                  <c:v>1.61</c:v>
                </c:pt>
                <c:pt idx="288">
                  <c:v>1.496</c:v>
                </c:pt>
                <c:pt idx="289">
                  <c:v>1.4370000000000001</c:v>
                </c:pt>
                <c:pt idx="290">
                  <c:v>1.431</c:v>
                </c:pt>
                <c:pt idx="291">
                  <c:v>1.466</c:v>
                </c:pt>
                <c:pt idx="292">
                  <c:v>1.5389999999999999</c:v>
                </c:pt>
                <c:pt idx="293">
                  <c:v>1.6359999999999999</c:v>
                </c:pt>
                <c:pt idx="294">
                  <c:v>1.7070000000000001</c:v>
                </c:pt>
                <c:pt idx="295">
                  <c:v>1.7969999999999999</c:v>
                </c:pt>
                <c:pt idx="296">
                  <c:v>1.843</c:v>
                </c:pt>
                <c:pt idx="297">
                  <c:v>1.8740000000000001</c:v>
                </c:pt>
                <c:pt idx="298">
                  <c:v>1.899</c:v>
                </c:pt>
                <c:pt idx="299">
                  <c:v>1.9239999999999999</c:v>
                </c:pt>
                <c:pt idx="300">
                  <c:v>1.8939999999999999</c:v>
                </c:pt>
                <c:pt idx="301">
                  <c:v>1.835</c:v>
                </c:pt>
                <c:pt idx="302">
                  <c:v>1.7889999999999999</c:v>
                </c:pt>
                <c:pt idx="303">
                  <c:v>1.6739999999999999</c:v>
                </c:pt>
                <c:pt idx="304">
                  <c:v>1.5760000000000001</c:v>
                </c:pt>
                <c:pt idx="305">
                  <c:v>1.5089999999999999</c:v>
                </c:pt>
                <c:pt idx="306">
                  <c:v>1.468</c:v>
                </c:pt>
                <c:pt idx="307">
                  <c:v>1.484</c:v>
                </c:pt>
                <c:pt idx="308">
                  <c:v>1.5269999999999999</c:v>
                </c:pt>
                <c:pt idx="309">
                  <c:v>1.544</c:v>
                </c:pt>
                <c:pt idx="310">
                  <c:v>1.5840000000000001</c:v>
                </c:pt>
                <c:pt idx="311">
                  <c:v>1.569</c:v>
                </c:pt>
                <c:pt idx="312">
                  <c:v>1.62</c:v>
                </c:pt>
                <c:pt idx="313">
                  <c:v>1.6759999999999999</c:v>
                </c:pt>
                <c:pt idx="314">
                  <c:v>1.669</c:v>
                </c:pt>
                <c:pt idx="315">
                  <c:v>1.6990000000000001</c:v>
                </c:pt>
                <c:pt idx="316">
                  <c:v>1.714</c:v>
                </c:pt>
                <c:pt idx="317">
                  <c:v>1.714</c:v>
                </c:pt>
                <c:pt idx="318">
                  <c:v>1.712</c:v>
                </c:pt>
                <c:pt idx="319">
                  <c:v>1.73</c:v>
                </c:pt>
                <c:pt idx="320">
                  <c:v>1.752</c:v>
                </c:pt>
                <c:pt idx="321">
                  <c:v>1.7230000000000001</c:v>
                </c:pt>
                <c:pt idx="322">
                  <c:v>1.7150000000000001</c:v>
                </c:pt>
                <c:pt idx="323">
                  <c:v>1.7390000000000001</c:v>
                </c:pt>
                <c:pt idx="324">
                  <c:v>1.7849999999999999</c:v>
                </c:pt>
                <c:pt idx="325">
                  <c:v>1.8220000000000001</c:v>
                </c:pt>
                <c:pt idx="326">
                  <c:v>1.823</c:v>
                </c:pt>
                <c:pt idx="327">
                  <c:v>1.766</c:v>
                </c:pt>
                <c:pt idx="328">
                  <c:v>1.6839999999999999</c:v>
                </c:pt>
                <c:pt idx="329">
                  <c:v>1.548</c:v>
                </c:pt>
                <c:pt idx="330">
                  <c:v>1.4219999999999999</c:v>
                </c:pt>
                <c:pt idx="331">
                  <c:v>1.365</c:v>
                </c:pt>
                <c:pt idx="332">
                  <c:v>1.373</c:v>
                </c:pt>
                <c:pt idx="333">
                  <c:v>1.393</c:v>
                </c:pt>
                <c:pt idx="334">
                  <c:v>1.458</c:v>
                </c:pt>
                <c:pt idx="335">
                  <c:v>1.5609999999999999</c:v>
                </c:pt>
                <c:pt idx="336">
                  <c:v>1.696</c:v>
                </c:pt>
                <c:pt idx="337">
                  <c:v>1.8160000000000001</c:v>
                </c:pt>
                <c:pt idx="338">
                  <c:v>1.903</c:v>
                </c:pt>
                <c:pt idx="339">
                  <c:v>1.968</c:v>
                </c:pt>
                <c:pt idx="340">
                  <c:v>2.012</c:v>
                </c:pt>
                <c:pt idx="341">
                  <c:v>2</c:v>
                </c:pt>
                <c:pt idx="342">
                  <c:v>1.913</c:v>
                </c:pt>
                <c:pt idx="343">
                  <c:v>1.82</c:v>
                </c:pt>
                <c:pt idx="344">
                  <c:v>1.722</c:v>
                </c:pt>
                <c:pt idx="345">
                  <c:v>1.6479999999999999</c:v>
                </c:pt>
                <c:pt idx="346">
                  <c:v>1.6</c:v>
                </c:pt>
                <c:pt idx="347">
                  <c:v>1.581</c:v>
                </c:pt>
                <c:pt idx="348">
                  <c:v>1.6080000000000001</c:v>
                </c:pt>
                <c:pt idx="349">
                  <c:v>1.6639999999999999</c:v>
                </c:pt>
                <c:pt idx="350">
                  <c:v>1.7430000000000001</c:v>
                </c:pt>
                <c:pt idx="351">
                  <c:v>1.78</c:v>
                </c:pt>
                <c:pt idx="352">
                  <c:v>1.718</c:v>
                </c:pt>
                <c:pt idx="353">
                  <c:v>1.617</c:v>
                </c:pt>
                <c:pt idx="354">
                  <c:v>1.4930000000000001</c:v>
                </c:pt>
                <c:pt idx="355">
                  <c:v>1.3680000000000001</c:v>
                </c:pt>
                <c:pt idx="356">
                  <c:v>1.2430000000000001</c:v>
                </c:pt>
                <c:pt idx="357">
                  <c:v>1.198</c:v>
                </c:pt>
                <c:pt idx="358">
                  <c:v>1.238</c:v>
                </c:pt>
                <c:pt idx="359">
                  <c:v>1.3879999999999999</c:v>
                </c:pt>
                <c:pt idx="360">
                  <c:v>1.5920000000000001</c:v>
                </c:pt>
                <c:pt idx="361">
                  <c:v>1.819</c:v>
                </c:pt>
                <c:pt idx="362">
                  <c:v>2.048</c:v>
                </c:pt>
                <c:pt idx="363">
                  <c:v>2.238</c:v>
                </c:pt>
                <c:pt idx="364">
                  <c:v>2.3479999999999999</c:v>
                </c:pt>
                <c:pt idx="365">
                  <c:v>2.3090000000000002</c:v>
                </c:pt>
                <c:pt idx="366">
                  <c:v>2.2000000000000002</c:v>
                </c:pt>
                <c:pt idx="367">
                  <c:v>2.0089999999999999</c:v>
                </c:pt>
                <c:pt idx="368">
                  <c:v>1.7969999999999999</c:v>
                </c:pt>
                <c:pt idx="369">
                  <c:v>1.61</c:v>
                </c:pt>
                <c:pt idx="370">
                  <c:v>1.48</c:v>
                </c:pt>
                <c:pt idx="371">
                  <c:v>1.4</c:v>
                </c:pt>
                <c:pt idx="372">
                  <c:v>1.454</c:v>
                </c:pt>
                <c:pt idx="373">
                  <c:v>1.516</c:v>
                </c:pt>
                <c:pt idx="374">
                  <c:v>1.607</c:v>
                </c:pt>
                <c:pt idx="375">
                  <c:v>1.69</c:v>
                </c:pt>
                <c:pt idx="376">
                  <c:v>1.69</c:v>
                </c:pt>
                <c:pt idx="377">
                  <c:v>1.619</c:v>
                </c:pt>
                <c:pt idx="378">
                  <c:v>1.472</c:v>
                </c:pt>
                <c:pt idx="379">
                  <c:v>1.3009999999999999</c:v>
                </c:pt>
                <c:pt idx="380">
                  <c:v>1.1259999999999999</c:v>
                </c:pt>
                <c:pt idx="381">
                  <c:v>1.0249999999999999</c:v>
                </c:pt>
                <c:pt idx="382">
                  <c:v>1.028</c:v>
                </c:pt>
                <c:pt idx="383">
                  <c:v>1.153</c:v>
                </c:pt>
                <c:pt idx="384">
                  <c:v>1.409</c:v>
                </c:pt>
                <c:pt idx="385">
                  <c:v>1.714</c:v>
                </c:pt>
                <c:pt idx="386">
                  <c:v>2.0259999999999998</c:v>
                </c:pt>
                <c:pt idx="387">
                  <c:v>2.3149999999999999</c:v>
                </c:pt>
                <c:pt idx="388">
                  <c:v>2.5209999999999999</c:v>
                </c:pt>
                <c:pt idx="389">
                  <c:v>2.597</c:v>
                </c:pt>
                <c:pt idx="390">
                  <c:v>2.5449999999999999</c:v>
                </c:pt>
                <c:pt idx="391">
                  <c:v>2.3380000000000001</c:v>
                </c:pt>
                <c:pt idx="392">
                  <c:v>2.0609999999999999</c:v>
                </c:pt>
                <c:pt idx="393">
                  <c:v>1.756</c:v>
                </c:pt>
                <c:pt idx="394">
                  <c:v>1.526</c:v>
                </c:pt>
                <c:pt idx="395">
                  <c:v>1.375</c:v>
                </c:pt>
                <c:pt idx="396">
                  <c:v>1.337</c:v>
                </c:pt>
                <c:pt idx="397">
                  <c:v>1.409</c:v>
                </c:pt>
                <c:pt idx="398">
                  <c:v>1.5189999999999999</c:v>
                </c:pt>
                <c:pt idx="399">
                  <c:v>1.613</c:v>
                </c:pt>
                <c:pt idx="400">
                  <c:v>1.65</c:v>
                </c:pt>
                <c:pt idx="401">
                  <c:v>1.5960000000000001</c:v>
                </c:pt>
                <c:pt idx="402">
                  <c:v>1.472</c:v>
                </c:pt>
                <c:pt idx="403">
                  <c:v>1.3080000000000001</c:v>
                </c:pt>
                <c:pt idx="404">
                  <c:v>1.1259999999999999</c:v>
                </c:pt>
                <c:pt idx="405">
                  <c:v>0.94399999999999995</c:v>
                </c:pt>
                <c:pt idx="406">
                  <c:v>0.88400000000000001</c:v>
                </c:pt>
                <c:pt idx="407">
                  <c:v>0.93600000000000005</c:v>
                </c:pt>
                <c:pt idx="408">
                  <c:v>1.159</c:v>
                </c:pt>
                <c:pt idx="409">
                  <c:v>1.49</c:v>
                </c:pt>
                <c:pt idx="410">
                  <c:v>1.871</c:v>
                </c:pt>
                <c:pt idx="411">
                  <c:v>2.2570000000000001</c:v>
                </c:pt>
                <c:pt idx="412">
                  <c:v>2.5539999999999998</c:v>
                </c:pt>
                <c:pt idx="413">
                  <c:v>2.73</c:v>
                </c:pt>
                <c:pt idx="414">
                  <c:v>2.7469999999999999</c:v>
                </c:pt>
                <c:pt idx="415">
                  <c:v>2.5979999999999999</c:v>
                </c:pt>
                <c:pt idx="416">
                  <c:v>2.319</c:v>
                </c:pt>
                <c:pt idx="417">
                  <c:v>1.99</c:v>
                </c:pt>
                <c:pt idx="418">
                  <c:v>1.6919999999999999</c:v>
                </c:pt>
                <c:pt idx="419">
                  <c:v>1.4219999999999999</c:v>
                </c:pt>
                <c:pt idx="420">
                  <c:v>1.2969999999999999</c:v>
                </c:pt>
                <c:pt idx="421">
                  <c:v>1.29</c:v>
                </c:pt>
                <c:pt idx="422">
                  <c:v>1.3859999999999999</c:v>
                </c:pt>
                <c:pt idx="423">
                  <c:v>1.4970000000000001</c:v>
                </c:pt>
                <c:pt idx="424">
                  <c:v>1.5780000000000001</c:v>
                </c:pt>
                <c:pt idx="425">
                  <c:v>1.575</c:v>
                </c:pt>
                <c:pt idx="426">
                  <c:v>1.4690000000000001</c:v>
                </c:pt>
                <c:pt idx="427">
                  <c:v>1.319</c:v>
                </c:pt>
                <c:pt idx="428">
                  <c:v>1.1339999999999999</c:v>
                </c:pt>
                <c:pt idx="429">
                  <c:v>0.94699999999999995</c:v>
                </c:pt>
                <c:pt idx="430">
                  <c:v>0.78100000000000003</c:v>
                </c:pt>
                <c:pt idx="431">
                  <c:v>0.748</c:v>
                </c:pt>
                <c:pt idx="432">
                  <c:v>0.88900000000000001</c:v>
                </c:pt>
                <c:pt idx="433">
                  <c:v>1.194</c:v>
                </c:pt>
                <c:pt idx="434">
                  <c:v>1.6140000000000001</c:v>
                </c:pt>
                <c:pt idx="435">
                  <c:v>2.089</c:v>
                </c:pt>
                <c:pt idx="436">
                  <c:v>2.4740000000000002</c:v>
                </c:pt>
                <c:pt idx="437">
                  <c:v>2.7690000000000001</c:v>
                </c:pt>
                <c:pt idx="438">
                  <c:v>2.88</c:v>
                </c:pt>
                <c:pt idx="439">
                  <c:v>2.8119999999999998</c:v>
                </c:pt>
                <c:pt idx="440">
                  <c:v>2.5680000000000001</c:v>
                </c:pt>
                <c:pt idx="441">
                  <c:v>2.2250000000000001</c:v>
                </c:pt>
                <c:pt idx="442">
                  <c:v>1.9039999999999999</c:v>
                </c:pt>
                <c:pt idx="443">
                  <c:v>1.585</c:v>
                </c:pt>
                <c:pt idx="444">
                  <c:v>1.381</c:v>
                </c:pt>
                <c:pt idx="445">
                  <c:v>1.2809999999999999</c:v>
                </c:pt>
                <c:pt idx="446">
                  <c:v>1.2949999999999999</c:v>
                </c:pt>
                <c:pt idx="447">
                  <c:v>1.425</c:v>
                </c:pt>
                <c:pt idx="448">
                  <c:v>1.492</c:v>
                </c:pt>
                <c:pt idx="449">
                  <c:v>1.5589999999999999</c:v>
                </c:pt>
                <c:pt idx="450">
                  <c:v>1.5109999999999999</c:v>
                </c:pt>
                <c:pt idx="451">
                  <c:v>1.3680000000000001</c:v>
                </c:pt>
                <c:pt idx="452">
                  <c:v>1.19</c:v>
                </c:pt>
                <c:pt idx="453">
                  <c:v>1.0009999999999999</c:v>
                </c:pt>
                <c:pt idx="454">
                  <c:v>0.83</c:v>
                </c:pt>
                <c:pt idx="455">
                  <c:v>0.65300000000000002</c:v>
                </c:pt>
                <c:pt idx="456">
                  <c:v>0.65200000000000002</c:v>
                </c:pt>
                <c:pt idx="457">
                  <c:v>0.86799999999999999</c:v>
                </c:pt>
                <c:pt idx="458">
                  <c:v>1.252</c:v>
                </c:pt>
                <c:pt idx="459">
                  <c:v>1.748</c:v>
                </c:pt>
                <c:pt idx="460">
                  <c:v>2.2589999999999999</c:v>
                </c:pt>
                <c:pt idx="461">
                  <c:v>2.645</c:v>
                </c:pt>
                <c:pt idx="462">
                  <c:v>2.87</c:v>
                </c:pt>
                <c:pt idx="463">
                  <c:v>2.8889999999999998</c:v>
                </c:pt>
                <c:pt idx="464">
                  <c:v>2.7109999999999999</c:v>
                </c:pt>
                <c:pt idx="465">
                  <c:v>2.4220000000000002</c:v>
                </c:pt>
                <c:pt idx="466">
                  <c:v>2.1080000000000001</c:v>
                </c:pt>
                <c:pt idx="467">
                  <c:v>1.7849999999999999</c:v>
                </c:pt>
                <c:pt idx="468">
                  <c:v>1.55</c:v>
                </c:pt>
                <c:pt idx="469">
                  <c:v>1.3819999999999999</c:v>
                </c:pt>
                <c:pt idx="470">
                  <c:v>1.325</c:v>
                </c:pt>
                <c:pt idx="471">
                  <c:v>1.385</c:v>
                </c:pt>
                <c:pt idx="472">
                  <c:v>1.498</c:v>
                </c:pt>
                <c:pt idx="473">
                  <c:v>1.577</c:v>
                </c:pt>
                <c:pt idx="474">
                  <c:v>1.5840000000000001</c:v>
                </c:pt>
                <c:pt idx="475">
                  <c:v>1.4750000000000001</c:v>
                </c:pt>
                <c:pt idx="476">
                  <c:v>1.2949999999999999</c:v>
                </c:pt>
                <c:pt idx="477">
                  <c:v>1.054</c:v>
                </c:pt>
                <c:pt idx="478">
                  <c:v>0.80800000000000005</c:v>
                </c:pt>
                <c:pt idx="479">
                  <c:v>0.626</c:v>
                </c:pt>
                <c:pt idx="480">
                  <c:v>0.56000000000000005</c:v>
                </c:pt>
                <c:pt idx="481">
                  <c:v>0.68500000000000005</c:v>
                </c:pt>
                <c:pt idx="482">
                  <c:v>0.95799999999999996</c:v>
                </c:pt>
                <c:pt idx="483">
                  <c:v>1.4259999999999999</c:v>
                </c:pt>
                <c:pt idx="484">
                  <c:v>1.921</c:v>
                </c:pt>
                <c:pt idx="485">
                  <c:v>2.375</c:v>
                </c:pt>
                <c:pt idx="486">
                  <c:v>2.7250000000000001</c:v>
                </c:pt>
                <c:pt idx="487">
                  <c:v>2.8620000000000001</c:v>
                </c:pt>
                <c:pt idx="488">
                  <c:v>2.8149999999999999</c:v>
                </c:pt>
                <c:pt idx="489">
                  <c:v>2.61</c:v>
                </c:pt>
                <c:pt idx="490">
                  <c:v>2.2730000000000001</c:v>
                </c:pt>
                <c:pt idx="491">
                  <c:v>1.958</c:v>
                </c:pt>
                <c:pt idx="492">
                  <c:v>1.71</c:v>
                </c:pt>
                <c:pt idx="493">
                  <c:v>1.524</c:v>
                </c:pt>
                <c:pt idx="494">
                  <c:v>1.419</c:v>
                </c:pt>
                <c:pt idx="495">
                  <c:v>1.39</c:v>
                </c:pt>
                <c:pt idx="496">
                  <c:v>1.5049999999999999</c:v>
                </c:pt>
                <c:pt idx="497">
                  <c:v>1.6140000000000001</c:v>
                </c:pt>
                <c:pt idx="498">
                  <c:v>1.6870000000000001</c:v>
                </c:pt>
                <c:pt idx="499">
                  <c:v>1.621</c:v>
                </c:pt>
                <c:pt idx="500">
                  <c:v>1.5049999999999999</c:v>
                </c:pt>
                <c:pt idx="501">
                  <c:v>1.254</c:v>
                </c:pt>
                <c:pt idx="502">
                  <c:v>1.012</c:v>
                </c:pt>
                <c:pt idx="503">
                  <c:v>0.81499999999999995</c:v>
                </c:pt>
                <c:pt idx="504">
                  <c:v>0.68799999999999994</c:v>
                </c:pt>
                <c:pt idx="505">
                  <c:v>0.61499999999999999</c:v>
                </c:pt>
                <c:pt idx="506">
                  <c:v>0.77800000000000002</c:v>
                </c:pt>
                <c:pt idx="507">
                  <c:v>1.1100000000000001</c:v>
                </c:pt>
                <c:pt idx="508">
                  <c:v>1.597</c:v>
                </c:pt>
                <c:pt idx="509">
                  <c:v>2.085</c:v>
                </c:pt>
                <c:pt idx="510">
                  <c:v>2.4660000000000002</c:v>
                </c:pt>
                <c:pt idx="511">
                  <c:v>2.6850000000000001</c:v>
                </c:pt>
                <c:pt idx="512">
                  <c:v>2.7040000000000002</c:v>
                </c:pt>
                <c:pt idx="513">
                  <c:v>2.6480000000000001</c:v>
                </c:pt>
                <c:pt idx="514">
                  <c:v>2.427</c:v>
                </c:pt>
                <c:pt idx="515">
                  <c:v>2.081</c:v>
                </c:pt>
                <c:pt idx="516">
                  <c:v>1.7889999999999999</c:v>
                </c:pt>
                <c:pt idx="517">
                  <c:v>1.6279999999999999</c:v>
                </c:pt>
                <c:pt idx="518">
                  <c:v>1.4669999999999999</c:v>
                </c:pt>
                <c:pt idx="519">
                  <c:v>1.4450000000000001</c:v>
                </c:pt>
                <c:pt idx="520">
                  <c:v>1.5149999999999999</c:v>
                </c:pt>
                <c:pt idx="521">
                  <c:v>1.6220000000000001</c:v>
                </c:pt>
                <c:pt idx="522">
                  <c:v>1.712</c:v>
                </c:pt>
                <c:pt idx="523">
                  <c:v>1.734</c:v>
                </c:pt>
                <c:pt idx="524">
                  <c:v>1.6579999999999999</c:v>
                </c:pt>
                <c:pt idx="525">
                  <c:v>1.5</c:v>
                </c:pt>
                <c:pt idx="526">
                  <c:v>1.2909999999999999</c:v>
                </c:pt>
                <c:pt idx="527">
                  <c:v>1.0580000000000001</c:v>
                </c:pt>
                <c:pt idx="528">
                  <c:v>0.83399999999999996</c:v>
                </c:pt>
                <c:pt idx="529">
                  <c:v>0.71199999999999997</c:v>
                </c:pt>
                <c:pt idx="530">
                  <c:v>0.72799999999999998</c:v>
                </c:pt>
                <c:pt idx="531">
                  <c:v>0.91</c:v>
                </c:pt>
                <c:pt idx="532">
                  <c:v>1.268</c:v>
                </c:pt>
                <c:pt idx="533">
                  <c:v>1.7649999999999999</c:v>
                </c:pt>
                <c:pt idx="534">
                  <c:v>2.1970000000000001</c:v>
                </c:pt>
                <c:pt idx="535">
                  <c:v>2.532</c:v>
                </c:pt>
                <c:pt idx="536">
                  <c:v>2.6419999999999999</c:v>
                </c:pt>
                <c:pt idx="537">
                  <c:v>2.58</c:v>
                </c:pt>
                <c:pt idx="538">
                  <c:v>2.4430000000000001</c:v>
                </c:pt>
                <c:pt idx="539">
                  <c:v>2.1709999999999998</c:v>
                </c:pt>
                <c:pt idx="540">
                  <c:v>1.897</c:v>
                </c:pt>
                <c:pt idx="541">
                  <c:v>1.6559999999999999</c:v>
                </c:pt>
                <c:pt idx="542">
                  <c:v>1.4790000000000001</c:v>
                </c:pt>
                <c:pt idx="543">
                  <c:v>1.405</c:v>
                </c:pt>
                <c:pt idx="544">
                  <c:v>1.4670000000000001</c:v>
                </c:pt>
                <c:pt idx="545">
                  <c:v>1.6080000000000001</c:v>
                </c:pt>
                <c:pt idx="546">
                  <c:v>1.7470000000000001</c:v>
                </c:pt>
                <c:pt idx="547">
                  <c:v>1.8240000000000001</c:v>
                </c:pt>
                <c:pt idx="548">
                  <c:v>1.821</c:v>
                </c:pt>
                <c:pt idx="549">
                  <c:v>1.6830000000000001</c:v>
                </c:pt>
                <c:pt idx="550">
                  <c:v>1.4850000000000001</c:v>
                </c:pt>
                <c:pt idx="551">
                  <c:v>1.2869999999999999</c:v>
                </c:pt>
                <c:pt idx="552">
                  <c:v>1.1180000000000001</c:v>
                </c:pt>
                <c:pt idx="553">
                  <c:v>0.93899999999999995</c:v>
                </c:pt>
                <c:pt idx="554">
                  <c:v>0.89200000000000002</c:v>
                </c:pt>
                <c:pt idx="555">
                  <c:v>0.97299999999999998</c:v>
                </c:pt>
                <c:pt idx="556">
                  <c:v>1.1859999999999999</c:v>
                </c:pt>
                <c:pt idx="557">
                  <c:v>1.524</c:v>
                </c:pt>
                <c:pt idx="558">
                  <c:v>1.9590000000000001</c:v>
                </c:pt>
                <c:pt idx="559">
                  <c:v>2.3210000000000002</c:v>
                </c:pt>
                <c:pt idx="560">
                  <c:v>2.504</c:v>
                </c:pt>
                <c:pt idx="561">
                  <c:v>2.5009999999999999</c:v>
                </c:pt>
                <c:pt idx="562">
                  <c:v>2.411</c:v>
                </c:pt>
                <c:pt idx="563">
                  <c:v>2.238</c:v>
                </c:pt>
                <c:pt idx="564">
                  <c:v>1.998</c:v>
                </c:pt>
                <c:pt idx="565">
                  <c:v>1.766</c:v>
                </c:pt>
                <c:pt idx="566">
                  <c:v>1.55</c:v>
                </c:pt>
                <c:pt idx="567">
                  <c:v>1.407</c:v>
                </c:pt>
                <c:pt idx="568">
                  <c:v>1.4139999999999999</c:v>
                </c:pt>
                <c:pt idx="569">
                  <c:v>1.5449999999999999</c:v>
                </c:pt>
                <c:pt idx="570">
                  <c:v>1.7</c:v>
                </c:pt>
                <c:pt idx="571">
                  <c:v>1.8169999999999999</c:v>
                </c:pt>
                <c:pt idx="572">
                  <c:v>1.881</c:v>
                </c:pt>
                <c:pt idx="573">
                  <c:v>1.8440000000000001</c:v>
                </c:pt>
                <c:pt idx="574">
                  <c:v>1.7190000000000001</c:v>
                </c:pt>
                <c:pt idx="575">
                  <c:v>1.5369999999999999</c:v>
                </c:pt>
                <c:pt idx="576">
                  <c:v>1.349</c:v>
                </c:pt>
                <c:pt idx="577">
                  <c:v>1.2190000000000001</c:v>
                </c:pt>
                <c:pt idx="578">
                  <c:v>1.1160000000000001</c:v>
                </c:pt>
                <c:pt idx="579">
                  <c:v>1.139</c:v>
                </c:pt>
                <c:pt idx="580">
                  <c:v>1.22</c:v>
                </c:pt>
                <c:pt idx="581">
                  <c:v>1.4350000000000001</c:v>
                </c:pt>
                <c:pt idx="582">
                  <c:v>1.768</c:v>
                </c:pt>
                <c:pt idx="583">
                  <c:v>2.0880000000000001</c:v>
                </c:pt>
                <c:pt idx="584">
                  <c:v>2.3029999999999999</c:v>
                </c:pt>
                <c:pt idx="585">
                  <c:v>2.379</c:v>
                </c:pt>
                <c:pt idx="586">
                  <c:v>2.3380000000000001</c:v>
                </c:pt>
                <c:pt idx="587">
                  <c:v>2.2210000000000001</c:v>
                </c:pt>
                <c:pt idx="588">
                  <c:v>2.0419999999999998</c:v>
                </c:pt>
                <c:pt idx="589">
                  <c:v>1.849</c:v>
                </c:pt>
                <c:pt idx="590">
                  <c:v>1.6140000000000001</c:v>
                </c:pt>
                <c:pt idx="591">
                  <c:v>1.425</c:v>
                </c:pt>
                <c:pt idx="592">
                  <c:v>1.379</c:v>
                </c:pt>
                <c:pt idx="593">
                  <c:v>1.431</c:v>
                </c:pt>
                <c:pt idx="594">
                  <c:v>1.524</c:v>
                </c:pt>
                <c:pt idx="595">
                  <c:v>1.6759999999999999</c:v>
                </c:pt>
                <c:pt idx="596">
                  <c:v>1.78</c:v>
                </c:pt>
                <c:pt idx="597">
                  <c:v>1.831</c:v>
                </c:pt>
                <c:pt idx="598">
                  <c:v>1.81</c:v>
                </c:pt>
                <c:pt idx="599">
                  <c:v>1.679</c:v>
                </c:pt>
                <c:pt idx="600">
                  <c:v>1.569</c:v>
                </c:pt>
                <c:pt idx="601">
                  <c:v>1.4330000000000001</c:v>
                </c:pt>
                <c:pt idx="602">
                  <c:v>1.3380000000000001</c:v>
                </c:pt>
                <c:pt idx="603">
                  <c:v>1.34</c:v>
                </c:pt>
                <c:pt idx="604">
                  <c:v>1.381</c:v>
                </c:pt>
                <c:pt idx="605">
                  <c:v>1.4670000000000001</c:v>
                </c:pt>
                <c:pt idx="606">
                  <c:v>1.657</c:v>
                </c:pt>
                <c:pt idx="607">
                  <c:v>1.9119999999999999</c:v>
                </c:pt>
                <c:pt idx="608">
                  <c:v>2.0870000000000002</c:v>
                </c:pt>
                <c:pt idx="609">
                  <c:v>2.1850000000000001</c:v>
                </c:pt>
                <c:pt idx="610">
                  <c:v>2.2189999999999999</c:v>
                </c:pt>
                <c:pt idx="611">
                  <c:v>2.17</c:v>
                </c:pt>
                <c:pt idx="612">
                  <c:v>2.0569999999999999</c:v>
                </c:pt>
                <c:pt idx="613">
                  <c:v>1.855</c:v>
                </c:pt>
                <c:pt idx="614">
                  <c:v>1.653</c:v>
                </c:pt>
                <c:pt idx="615">
                  <c:v>1.464</c:v>
                </c:pt>
                <c:pt idx="616">
                  <c:v>1.3340000000000001</c:v>
                </c:pt>
                <c:pt idx="617">
                  <c:v>1.2789999999999999</c:v>
                </c:pt>
                <c:pt idx="618">
                  <c:v>1.337</c:v>
                </c:pt>
                <c:pt idx="619">
                  <c:v>1.429</c:v>
                </c:pt>
                <c:pt idx="620">
                  <c:v>1.54</c:v>
                </c:pt>
                <c:pt idx="621">
                  <c:v>1.6439999999999999</c:v>
                </c:pt>
                <c:pt idx="622">
                  <c:v>1.7609999999999999</c:v>
                </c:pt>
                <c:pt idx="623">
                  <c:v>1.796</c:v>
                </c:pt>
                <c:pt idx="624">
                  <c:v>1.79</c:v>
                </c:pt>
                <c:pt idx="625">
                  <c:v>1.724</c:v>
                </c:pt>
                <c:pt idx="626">
                  <c:v>1.617</c:v>
                </c:pt>
                <c:pt idx="627">
                  <c:v>1.5660000000000001</c:v>
                </c:pt>
                <c:pt idx="628">
                  <c:v>1.532</c:v>
                </c:pt>
                <c:pt idx="629">
                  <c:v>1.5680000000000001</c:v>
                </c:pt>
                <c:pt idx="630">
                  <c:v>1.665</c:v>
                </c:pt>
                <c:pt idx="631">
                  <c:v>1.784</c:v>
                </c:pt>
                <c:pt idx="632">
                  <c:v>1.9379999999999999</c:v>
                </c:pt>
                <c:pt idx="633">
                  <c:v>1.9730000000000001</c:v>
                </c:pt>
                <c:pt idx="634">
                  <c:v>1.97</c:v>
                </c:pt>
                <c:pt idx="635">
                  <c:v>1.944</c:v>
                </c:pt>
                <c:pt idx="636">
                  <c:v>1.8240000000000001</c:v>
                </c:pt>
                <c:pt idx="637">
                  <c:v>1.7350000000000001</c:v>
                </c:pt>
                <c:pt idx="638">
                  <c:v>1.637</c:v>
                </c:pt>
                <c:pt idx="639">
                  <c:v>1.4810000000000001</c:v>
                </c:pt>
                <c:pt idx="640">
                  <c:v>1.3320000000000001</c:v>
                </c:pt>
                <c:pt idx="641">
                  <c:v>1.2470000000000001</c:v>
                </c:pt>
                <c:pt idx="642">
                  <c:v>1.196</c:v>
                </c:pt>
                <c:pt idx="643">
                  <c:v>1.214</c:v>
                </c:pt>
                <c:pt idx="644">
                  <c:v>1.3180000000000001</c:v>
                </c:pt>
                <c:pt idx="645">
                  <c:v>1.466</c:v>
                </c:pt>
                <c:pt idx="646">
                  <c:v>1.6</c:v>
                </c:pt>
                <c:pt idx="647">
                  <c:v>1.6990000000000001</c:v>
                </c:pt>
                <c:pt idx="648">
                  <c:v>1.77</c:v>
                </c:pt>
                <c:pt idx="649">
                  <c:v>1.8049999999999999</c:v>
                </c:pt>
                <c:pt idx="650">
                  <c:v>1.829</c:v>
                </c:pt>
                <c:pt idx="651">
                  <c:v>1.8260000000000001</c:v>
                </c:pt>
                <c:pt idx="652">
                  <c:v>1.788</c:v>
                </c:pt>
                <c:pt idx="653">
                  <c:v>1.7370000000000001</c:v>
                </c:pt>
                <c:pt idx="654">
                  <c:v>1.6970000000000001</c:v>
                </c:pt>
                <c:pt idx="655">
                  <c:v>1.728</c:v>
                </c:pt>
                <c:pt idx="656">
                  <c:v>1.756</c:v>
                </c:pt>
                <c:pt idx="657">
                  <c:v>1.8</c:v>
                </c:pt>
                <c:pt idx="658">
                  <c:v>1.831</c:v>
                </c:pt>
                <c:pt idx="659">
                  <c:v>1.8089999999999999</c:v>
                </c:pt>
                <c:pt idx="660">
                  <c:v>1.76</c:v>
                </c:pt>
                <c:pt idx="661">
                  <c:v>1.7090000000000001</c:v>
                </c:pt>
                <c:pt idx="662">
                  <c:v>1.617</c:v>
                </c:pt>
                <c:pt idx="663">
                  <c:v>1.524</c:v>
                </c:pt>
                <c:pt idx="664">
                  <c:v>1.419</c:v>
                </c:pt>
                <c:pt idx="665">
                  <c:v>1.3140000000000001</c:v>
                </c:pt>
                <c:pt idx="666">
                  <c:v>1.2210000000000001</c:v>
                </c:pt>
                <c:pt idx="667">
                  <c:v>1.171</c:v>
                </c:pt>
                <c:pt idx="668">
                  <c:v>1.149</c:v>
                </c:pt>
                <c:pt idx="669">
                  <c:v>1.244</c:v>
                </c:pt>
                <c:pt idx="670">
                  <c:v>1.385</c:v>
                </c:pt>
                <c:pt idx="671">
                  <c:v>1.5669999999999999</c:v>
                </c:pt>
                <c:pt idx="672">
                  <c:v>1.7190000000000001</c:v>
                </c:pt>
                <c:pt idx="673">
                  <c:v>1.887</c:v>
                </c:pt>
                <c:pt idx="674">
                  <c:v>2.0070000000000001</c:v>
                </c:pt>
                <c:pt idx="675">
                  <c:v>2.0529999999999999</c:v>
                </c:pt>
                <c:pt idx="676">
                  <c:v>2.0379999999999998</c:v>
                </c:pt>
                <c:pt idx="677">
                  <c:v>1.972</c:v>
                </c:pt>
                <c:pt idx="678">
                  <c:v>1.92</c:v>
                </c:pt>
                <c:pt idx="679">
                  <c:v>1.847</c:v>
                </c:pt>
                <c:pt idx="680">
                  <c:v>1.7569999999999999</c:v>
                </c:pt>
                <c:pt idx="681">
                  <c:v>1.6839999999999999</c:v>
                </c:pt>
                <c:pt idx="682">
                  <c:v>1.635</c:v>
                </c:pt>
                <c:pt idx="683">
                  <c:v>1.6539999999999999</c:v>
                </c:pt>
                <c:pt idx="684">
                  <c:v>1.6679999999999999</c:v>
                </c:pt>
                <c:pt idx="685">
                  <c:v>1.6719999999999999</c:v>
                </c:pt>
                <c:pt idx="686">
                  <c:v>1.6679999999999999</c:v>
                </c:pt>
                <c:pt idx="687">
                  <c:v>1.5880000000000001</c:v>
                </c:pt>
                <c:pt idx="688">
                  <c:v>1.4950000000000001</c:v>
                </c:pt>
                <c:pt idx="689">
                  <c:v>1.399</c:v>
                </c:pt>
                <c:pt idx="690">
                  <c:v>1.262</c:v>
                </c:pt>
                <c:pt idx="691">
                  <c:v>1.1439999999999999</c:v>
                </c:pt>
                <c:pt idx="692">
                  <c:v>1.1140000000000001</c:v>
                </c:pt>
                <c:pt idx="693">
                  <c:v>1.1299999999999999</c:v>
                </c:pt>
                <c:pt idx="694">
                  <c:v>1.204</c:v>
                </c:pt>
                <c:pt idx="695">
                  <c:v>1.35</c:v>
                </c:pt>
                <c:pt idx="696">
                  <c:v>1.5640000000000001</c:v>
                </c:pt>
                <c:pt idx="697">
                  <c:v>1.8120000000000001</c:v>
                </c:pt>
                <c:pt idx="698">
                  <c:v>2.0379999999999998</c:v>
                </c:pt>
                <c:pt idx="699">
                  <c:v>2.1909999999999998</c:v>
                </c:pt>
                <c:pt idx="700">
                  <c:v>2.2509999999999999</c:v>
                </c:pt>
                <c:pt idx="701">
                  <c:v>2.2330000000000001</c:v>
                </c:pt>
                <c:pt idx="702">
                  <c:v>2.145</c:v>
                </c:pt>
                <c:pt idx="703">
                  <c:v>2.0009999999999999</c:v>
                </c:pt>
                <c:pt idx="704">
                  <c:v>1.8120000000000001</c:v>
                </c:pt>
                <c:pt idx="705">
                  <c:v>1.653</c:v>
                </c:pt>
                <c:pt idx="706">
                  <c:v>1.5529999999999999</c:v>
                </c:pt>
                <c:pt idx="707">
                  <c:v>1.5029999999999999</c:v>
                </c:pt>
                <c:pt idx="708">
                  <c:v>1.5109999999999999</c:v>
                </c:pt>
                <c:pt idx="709">
                  <c:v>1.57</c:v>
                </c:pt>
                <c:pt idx="710">
                  <c:v>1.5615000000000001</c:v>
                </c:pt>
                <c:pt idx="711">
                  <c:v>1.5529999999999999</c:v>
                </c:pt>
                <c:pt idx="712">
                  <c:v>1.4830000000000001</c:v>
                </c:pt>
                <c:pt idx="713">
                  <c:v>1.42</c:v>
                </c:pt>
                <c:pt idx="714">
                  <c:v>1.3109999999999999</c:v>
                </c:pt>
                <c:pt idx="715">
                  <c:v>1.22</c:v>
                </c:pt>
                <c:pt idx="716">
                  <c:v>1.1080000000000001</c:v>
                </c:pt>
                <c:pt idx="717">
                  <c:v>1.0449999999999999</c:v>
                </c:pt>
                <c:pt idx="718">
                  <c:v>1.0089999999999999</c:v>
                </c:pt>
                <c:pt idx="719">
                  <c:v>1.109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E9-4143-946E-AB0A2C268C80}"/>
            </c:ext>
          </c:extLst>
        </c:ser>
        <c:ser>
          <c:idx val="1"/>
          <c:order val="1"/>
          <c:tx>
            <c:strRef>
              <c:f>ChartDatA!$M$14</c:f>
              <c:strCache>
                <c:ptCount val="1"/>
                <c:pt idx="0">
                  <c:v>HAT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</c:spPr>
          </c:marker>
          <c:xVal>
            <c:numRef>
              <c:f>ChartDatA!$L$15:$L$16</c:f>
              <c:numCache>
                <c:formatCode>General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ChartDatA!$M$15:$M$16</c:f>
              <c:numCache>
                <c:formatCode>General</c:formatCode>
                <c:ptCount val="2"/>
                <c:pt idx="0">
                  <c:v>3.3538423382986964</c:v>
                </c:pt>
                <c:pt idx="1">
                  <c:v>3.3538423382986964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E9-4143-946E-AB0A2C268C80}"/>
            </c:ext>
          </c:extLst>
        </c:ser>
        <c:ser>
          <c:idx val="2"/>
          <c:order val="2"/>
          <c:tx>
            <c:strRef>
              <c:f>ChartDatA!$N$14</c:f>
              <c:strCache>
                <c:ptCount val="1"/>
                <c:pt idx="0">
                  <c:v>HHWS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ChartDatA!$L$15:$L$16</c:f>
              <c:numCache>
                <c:formatCode>General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ChartDatA!$N$15:$N$16</c:f>
              <c:numCache>
                <c:formatCode>General</c:formatCode>
                <c:ptCount val="2"/>
                <c:pt idx="0">
                  <c:v>2.9275776980177897</c:v>
                </c:pt>
                <c:pt idx="1">
                  <c:v>2.9275776980177897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E9-4143-946E-AB0A2C268C80}"/>
            </c:ext>
          </c:extLst>
        </c:ser>
        <c:ser>
          <c:idx val="3"/>
          <c:order val="3"/>
          <c:tx>
            <c:strRef>
              <c:f>ChartDatA!$O$14</c:f>
              <c:strCache>
                <c:ptCount val="1"/>
                <c:pt idx="0">
                  <c:v>MHWN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</c:spPr>
          </c:marker>
          <c:xVal>
            <c:numRef>
              <c:f>ChartDatA!$L$15:$L$16</c:f>
              <c:numCache>
                <c:formatCode>General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ChartDatA!$O$15:$O$16</c:f>
              <c:numCache>
                <c:formatCode>General</c:formatCode>
                <c:ptCount val="2"/>
                <c:pt idx="0">
                  <c:v>2.3030829491683606</c:v>
                </c:pt>
                <c:pt idx="1">
                  <c:v>2.3030829491683606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E9-4143-946E-AB0A2C268C80}"/>
            </c:ext>
          </c:extLst>
        </c:ser>
        <c:ser>
          <c:idx val="4"/>
          <c:order val="4"/>
          <c:tx>
            <c:strRef>
              <c:f>ChartDatA!$P$14</c:f>
              <c:strCache>
                <c:ptCount val="1"/>
                <c:pt idx="0">
                  <c:v>MSL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</c:spPr>
          </c:marker>
          <c:xVal>
            <c:numRef>
              <c:f>ChartDatA!$L$15:$L$16</c:f>
              <c:numCache>
                <c:formatCode>General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ChartDatA!$P$15:$P$16</c:f>
              <c:numCache>
                <c:formatCode>General</c:formatCode>
                <c:ptCount val="2"/>
                <c:pt idx="0">
                  <c:v>1.6616831896551725</c:v>
                </c:pt>
                <c:pt idx="1">
                  <c:v>1.6616831896551725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E9-4143-946E-AB0A2C268C80}"/>
            </c:ext>
          </c:extLst>
        </c:ser>
        <c:ser>
          <c:idx val="5"/>
          <c:order val="5"/>
          <c:tx>
            <c:strRef>
              <c:f>ChartDatA!$Q$14</c:f>
              <c:strCache>
                <c:ptCount val="1"/>
                <c:pt idx="0">
                  <c:v>MLWN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</c:spPr>
          </c:marker>
          <c:xVal>
            <c:numRef>
              <c:f>ChartDatA!$L$15:$L$16</c:f>
              <c:numCache>
                <c:formatCode>General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ChartDatA!$Q$15:$Q$16</c:f>
              <c:numCache>
                <c:formatCode>General</c:formatCode>
                <c:ptCount val="2"/>
                <c:pt idx="0">
                  <c:v>0.87140552568349539</c:v>
                </c:pt>
                <c:pt idx="1">
                  <c:v>0.87140552568349539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E9-4143-946E-AB0A2C268C80}"/>
            </c:ext>
          </c:extLst>
        </c:ser>
        <c:ser>
          <c:idx val="6"/>
          <c:order val="6"/>
          <c:tx>
            <c:strRef>
              <c:f>ChartDatA!$R$14</c:f>
              <c:strCache>
                <c:ptCount val="1"/>
                <c:pt idx="0">
                  <c:v>LLWS</c:v>
                </c:pt>
              </c:strCache>
            </c:strRef>
          </c:tx>
          <c:spPr>
            <a:ln w="2540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</c:spPr>
          </c:marker>
          <c:xVal>
            <c:numRef>
              <c:f>ChartDatA!$L$15:$L$16</c:f>
              <c:numCache>
                <c:formatCode>General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ChartDatA!$R$15:$R$16</c:f>
              <c:numCache>
                <c:formatCode>General</c:formatCode>
                <c:ptCount val="2"/>
                <c:pt idx="0">
                  <c:v>0.55888942901025052</c:v>
                </c:pt>
                <c:pt idx="1">
                  <c:v>0.55888942901025052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E9-4143-946E-AB0A2C268C80}"/>
            </c:ext>
          </c:extLst>
        </c:ser>
        <c:ser>
          <c:idx val="7"/>
          <c:order val="7"/>
          <c:tx>
            <c:strRef>
              <c:f>ChartDatA!$S$14</c:f>
              <c:strCache>
                <c:ptCount val="1"/>
                <c:pt idx="0">
                  <c:v>LAT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</c:spPr>
          </c:marker>
          <c:xVal>
            <c:numRef>
              <c:f>ChartDatA!$L$15:$L$16</c:f>
              <c:numCache>
                <c:formatCode>General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ChartDatA!$S$15:$S$16</c:f>
              <c:numCache>
                <c:formatCode>General</c:formatCode>
                <c:ptCount val="2"/>
                <c:pt idx="0">
                  <c:v>0.28393760180578276</c:v>
                </c:pt>
                <c:pt idx="1">
                  <c:v>0.28393760180578276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E9-4143-946E-AB0A2C268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60864"/>
        <c:axId val="283079808"/>
      </c:scatterChart>
      <c:valAx>
        <c:axId val="283060864"/>
        <c:scaling>
          <c:orientation val="minMax"/>
          <c:max val="44737.958355729206"/>
          <c:min val="44709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Tanggal/Bulan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064077354078302"/>
              <c:y val="0.88481929249994196"/>
            </c:manualLayout>
          </c:layout>
          <c:overlay val="0"/>
          <c:spPr>
            <a:noFill/>
            <a:ln w="25400">
              <a:noFill/>
            </a:ln>
          </c:spPr>
        </c:title>
        <c:numFmt formatCode="d/mm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3079808"/>
        <c:crossesAt val="-0.5"/>
        <c:crossBetween val="midCat"/>
        <c:majorUnit val="2"/>
        <c:minorUnit val="1"/>
      </c:valAx>
      <c:valAx>
        <c:axId val="28307980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Elevasi Muka Air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60864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267670518276362"/>
          <c:y val="0.94009463380497726"/>
          <c:w val="0.75557697964838499"/>
          <c:h val="4.3010865598920534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70C0"/>
                </a:solidFill>
              </a:rPr>
              <a:t>Grafik Pengamatan Pasang Surut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PKT Bontang - 14</a:t>
            </a:r>
            <a:r>
              <a:rPr lang="en-US" baseline="0"/>
              <a:t> </a:t>
            </a:r>
            <a:r>
              <a:rPr lang="id-ID" baseline="0"/>
              <a:t>Mei </a:t>
            </a:r>
            <a:r>
              <a:rPr lang="en-US" baseline="0"/>
              <a:t>201</a:t>
            </a:r>
            <a:r>
              <a:rPr lang="id-ID" baseline="0"/>
              <a:t>9</a:t>
            </a:r>
            <a:r>
              <a:rPr lang="en-US" baseline="0"/>
              <a:t> - </a:t>
            </a:r>
            <a:r>
              <a:rPr lang="id-ID" baseline="0"/>
              <a:t>11</a:t>
            </a:r>
            <a:r>
              <a:rPr lang="en-US" baseline="0"/>
              <a:t> </a:t>
            </a:r>
            <a:r>
              <a:rPr lang="id-ID" baseline="0"/>
              <a:t>Juni </a:t>
            </a:r>
            <a:r>
              <a:rPr lang="en-US" baseline="0"/>
              <a:t>2019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652640877517436E-2"/>
          <c:y val="0.14396745604539546"/>
          <c:w val="0.81918187359281502"/>
          <c:h val="0.67469292327159669"/>
        </c:manualLayout>
      </c:layout>
      <c:scatterChart>
        <c:scatterStyle val="smoothMarker"/>
        <c:varyColors val="0"/>
        <c:ser>
          <c:idx val="0"/>
          <c:order val="0"/>
          <c:tx>
            <c:v>Pasut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asli x100'!$B$8:$B$752</c:f>
              <c:numCache>
                <c:formatCode>m/d/yyyy\ h:mm</c:formatCode>
                <c:ptCount val="745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  <c:pt idx="696">
                  <c:v>44738.000022453707</c:v>
                </c:pt>
                <c:pt idx="697">
                  <c:v>44738.041689178244</c:v>
                </c:pt>
                <c:pt idx="698">
                  <c:v>44738.083355902774</c:v>
                </c:pt>
                <c:pt idx="699">
                  <c:v>44738.125022627311</c:v>
                </c:pt>
                <c:pt idx="700">
                  <c:v>44738.166689351849</c:v>
                </c:pt>
                <c:pt idx="701">
                  <c:v>44738.208356076386</c:v>
                </c:pt>
                <c:pt idx="702">
                  <c:v>44738.250022800923</c:v>
                </c:pt>
                <c:pt idx="703">
                  <c:v>44738.29168952546</c:v>
                </c:pt>
                <c:pt idx="704">
                  <c:v>44738.333356249997</c:v>
                </c:pt>
                <c:pt idx="705">
                  <c:v>44738.375022974535</c:v>
                </c:pt>
                <c:pt idx="706">
                  <c:v>44738.416689699072</c:v>
                </c:pt>
                <c:pt idx="707">
                  <c:v>44738.458356423609</c:v>
                </c:pt>
                <c:pt idx="708">
                  <c:v>44738.500023148146</c:v>
                </c:pt>
                <c:pt idx="709">
                  <c:v>44738.541689872683</c:v>
                </c:pt>
                <c:pt idx="710">
                  <c:v>44738.583356539355</c:v>
                </c:pt>
                <c:pt idx="711">
                  <c:v>44738.625023263892</c:v>
                </c:pt>
                <c:pt idx="712">
                  <c:v>44738.666689988429</c:v>
                </c:pt>
                <c:pt idx="713">
                  <c:v>44738.708356712959</c:v>
                </c:pt>
                <c:pt idx="714">
                  <c:v>44738.750023437497</c:v>
                </c:pt>
                <c:pt idx="715">
                  <c:v>44738.791690162034</c:v>
                </c:pt>
                <c:pt idx="716">
                  <c:v>44738.833356886571</c:v>
                </c:pt>
                <c:pt idx="717">
                  <c:v>44738.875023611108</c:v>
                </c:pt>
                <c:pt idx="718">
                  <c:v>44738.916690335645</c:v>
                </c:pt>
                <c:pt idx="719">
                  <c:v>44738.958357060183</c:v>
                </c:pt>
                <c:pt idx="720">
                  <c:v>44739.00002378472</c:v>
                </c:pt>
                <c:pt idx="721">
                  <c:v>44739.041690509257</c:v>
                </c:pt>
                <c:pt idx="722">
                  <c:v>44739.083357233794</c:v>
                </c:pt>
                <c:pt idx="723">
                  <c:v>44739.125023958331</c:v>
                </c:pt>
                <c:pt idx="724">
                  <c:v>44739.166690682869</c:v>
                </c:pt>
                <c:pt idx="725">
                  <c:v>44739.208357407406</c:v>
                </c:pt>
                <c:pt idx="726">
                  <c:v>44739.250024131943</c:v>
                </c:pt>
                <c:pt idx="727">
                  <c:v>44739.29169085648</c:v>
                </c:pt>
                <c:pt idx="728">
                  <c:v>44739.333357581017</c:v>
                </c:pt>
                <c:pt idx="729">
                  <c:v>44739.375024305555</c:v>
                </c:pt>
              </c:numCache>
            </c:numRef>
          </c:xVal>
          <c:yVal>
            <c:numRef>
              <c:f>'data asli x100'!$D$8:$D$727</c:f>
              <c:numCache>
                <c:formatCode>0.00</c:formatCode>
                <c:ptCount val="720"/>
                <c:pt idx="0">
                  <c:v>1.36</c:v>
                </c:pt>
                <c:pt idx="1">
                  <c:v>1.655</c:v>
                </c:pt>
                <c:pt idx="2">
                  <c:v>1.9830000000000001</c:v>
                </c:pt>
                <c:pt idx="3">
                  <c:v>2.2469999999999999</c:v>
                </c:pt>
                <c:pt idx="4">
                  <c:v>2.39</c:v>
                </c:pt>
                <c:pt idx="5">
                  <c:v>2.4300000000000002</c:v>
                </c:pt>
                <c:pt idx="6">
                  <c:v>2.3170000000000002</c:v>
                </c:pt>
                <c:pt idx="7">
                  <c:v>2.121</c:v>
                </c:pt>
                <c:pt idx="8">
                  <c:v>1.8839999999999999</c:v>
                </c:pt>
                <c:pt idx="9">
                  <c:v>1.637</c:v>
                </c:pt>
                <c:pt idx="10">
                  <c:v>1.454</c:v>
                </c:pt>
                <c:pt idx="11">
                  <c:v>1.3540000000000001</c:v>
                </c:pt>
                <c:pt idx="12">
                  <c:v>1.42</c:v>
                </c:pt>
                <c:pt idx="13">
                  <c:v>1.5609999999999999</c:v>
                </c:pt>
                <c:pt idx="14">
                  <c:v>1.7310000000000001</c:v>
                </c:pt>
                <c:pt idx="15">
                  <c:v>1.889</c:v>
                </c:pt>
                <c:pt idx="16">
                  <c:v>1.9490000000000001</c:v>
                </c:pt>
                <c:pt idx="17">
                  <c:v>1.9</c:v>
                </c:pt>
                <c:pt idx="18">
                  <c:v>1.7330000000000001</c:v>
                </c:pt>
                <c:pt idx="19">
                  <c:v>1.55</c:v>
                </c:pt>
                <c:pt idx="20">
                  <c:v>1.3240000000000001</c:v>
                </c:pt>
                <c:pt idx="21">
                  <c:v>1.1080000000000001</c:v>
                </c:pt>
                <c:pt idx="22">
                  <c:v>0.96899999999999997</c:v>
                </c:pt>
                <c:pt idx="23">
                  <c:v>0.99099999999999999</c:v>
                </c:pt>
                <c:pt idx="24">
                  <c:v>1.1379999999999999</c:v>
                </c:pt>
                <c:pt idx="25">
                  <c:v>1.4390000000000001</c:v>
                </c:pt>
                <c:pt idx="26">
                  <c:v>1.847</c:v>
                </c:pt>
                <c:pt idx="27">
                  <c:v>2.2229999999999999</c:v>
                </c:pt>
                <c:pt idx="28">
                  <c:v>2.4910000000000001</c:v>
                </c:pt>
                <c:pt idx="29">
                  <c:v>2.581</c:v>
                </c:pt>
                <c:pt idx="30">
                  <c:v>2.5190000000000001</c:v>
                </c:pt>
                <c:pt idx="31">
                  <c:v>2.3260000000000001</c:v>
                </c:pt>
                <c:pt idx="32">
                  <c:v>2.024</c:v>
                </c:pt>
                <c:pt idx="33">
                  <c:v>1.7190000000000001</c:v>
                </c:pt>
                <c:pt idx="34">
                  <c:v>1.4410000000000001</c:v>
                </c:pt>
                <c:pt idx="35">
                  <c:v>1.2529999999999999</c:v>
                </c:pt>
                <c:pt idx="36">
                  <c:v>1.232</c:v>
                </c:pt>
                <c:pt idx="37">
                  <c:v>1.3320000000000001</c:v>
                </c:pt>
                <c:pt idx="38">
                  <c:v>1.5</c:v>
                </c:pt>
                <c:pt idx="39">
                  <c:v>1.6930000000000001</c:v>
                </c:pt>
                <c:pt idx="40">
                  <c:v>1.833</c:v>
                </c:pt>
                <c:pt idx="41">
                  <c:v>1.84</c:v>
                </c:pt>
                <c:pt idx="42">
                  <c:v>1.742</c:v>
                </c:pt>
                <c:pt idx="43">
                  <c:v>1.583</c:v>
                </c:pt>
                <c:pt idx="44">
                  <c:v>1.3320000000000001</c:v>
                </c:pt>
                <c:pt idx="45">
                  <c:v>1.0669999999999999</c:v>
                </c:pt>
                <c:pt idx="46">
                  <c:v>0.81299999999999994</c:v>
                </c:pt>
                <c:pt idx="47">
                  <c:v>0.754</c:v>
                </c:pt>
                <c:pt idx="48">
                  <c:v>0.90600000000000003</c:v>
                </c:pt>
                <c:pt idx="49">
                  <c:v>1.2310000000000001</c:v>
                </c:pt>
                <c:pt idx="50">
                  <c:v>1.627</c:v>
                </c:pt>
                <c:pt idx="51">
                  <c:v>2.0550000000000002</c:v>
                </c:pt>
                <c:pt idx="52">
                  <c:v>2.456</c:v>
                </c:pt>
                <c:pt idx="53">
                  <c:v>2.714</c:v>
                </c:pt>
                <c:pt idx="54">
                  <c:v>2.7280000000000002</c:v>
                </c:pt>
                <c:pt idx="55">
                  <c:v>2.552</c:v>
                </c:pt>
                <c:pt idx="56">
                  <c:v>2.2280000000000002</c:v>
                </c:pt>
                <c:pt idx="57">
                  <c:v>1.8280000000000001</c:v>
                </c:pt>
                <c:pt idx="58">
                  <c:v>1.4850000000000001</c:v>
                </c:pt>
                <c:pt idx="59">
                  <c:v>1.22</c:v>
                </c:pt>
                <c:pt idx="60">
                  <c:v>1.1359999999999999</c:v>
                </c:pt>
                <c:pt idx="61">
                  <c:v>1.234</c:v>
                </c:pt>
                <c:pt idx="62">
                  <c:v>1.4339999999999999</c:v>
                </c:pt>
                <c:pt idx="63">
                  <c:v>1.641</c:v>
                </c:pt>
                <c:pt idx="64">
                  <c:v>1.778</c:v>
                </c:pt>
                <c:pt idx="65">
                  <c:v>1.821</c:v>
                </c:pt>
                <c:pt idx="66">
                  <c:v>1.7869999999999999</c:v>
                </c:pt>
                <c:pt idx="67">
                  <c:v>1.6260000000000001</c:v>
                </c:pt>
                <c:pt idx="68">
                  <c:v>1.399</c:v>
                </c:pt>
                <c:pt idx="69">
                  <c:v>1.1459999999999999</c:v>
                </c:pt>
                <c:pt idx="70">
                  <c:v>0.88500000000000001</c:v>
                </c:pt>
                <c:pt idx="71">
                  <c:v>0.70199999999999996</c:v>
                </c:pt>
                <c:pt idx="72">
                  <c:v>0.74299999999999999</c:v>
                </c:pt>
                <c:pt idx="73">
                  <c:v>1.0089999999999999</c:v>
                </c:pt>
                <c:pt idx="74">
                  <c:v>1.395</c:v>
                </c:pt>
                <c:pt idx="75">
                  <c:v>1.8839999999999999</c:v>
                </c:pt>
                <c:pt idx="76">
                  <c:v>2.3519999999999999</c:v>
                </c:pt>
                <c:pt idx="77">
                  <c:v>2.6960000000000002</c:v>
                </c:pt>
                <c:pt idx="78">
                  <c:v>2.8149999999999999</c:v>
                </c:pt>
                <c:pt idx="79">
                  <c:v>2.738</c:v>
                </c:pt>
                <c:pt idx="80">
                  <c:v>2.46</c:v>
                </c:pt>
                <c:pt idx="81">
                  <c:v>2.028</c:v>
                </c:pt>
                <c:pt idx="82">
                  <c:v>1.653</c:v>
                </c:pt>
                <c:pt idx="83">
                  <c:v>1.345</c:v>
                </c:pt>
                <c:pt idx="84">
                  <c:v>1.18</c:v>
                </c:pt>
                <c:pt idx="85">
                  <c:v>1.1519999999999999</c:v>
                </c:pt>
                <c:pt idx="86">
                  <c:v>1.2609999999999999</c:v>
                </c:pt>
                <c:pt idx="87">
                  <c:v>1.47</c:v>
                </c:pt>
                <c:pt idx="88">
                  <c:v>1.6679999999999999</c:v>
                </c:pt>
                <c:pt idx="89">
                  <c:v>1.7709999999999999</c:v>
                </c:pt>
                <c:pt idx="90">
                  <c:v>1.7649999999999999</c:v>
                </c:pt>
                <c:pt idx="91">
                  <c:v>1.653</c:v>
                </c:pt>
                <c:pt idx="92">
                  <c:v>1.444</c:v>
                </c:pt>
                <c:pt idx="93">
                  <c:v>1.226</c:v>
                </c:pt>
                <c:pt idx="94">
                  <c:v>0.95599999999999996</c:v>
                </c:pt>
                <c:pt idx="95">
                  <c:v>0.73799999999999999</c:v>
                </c:pt>
                <c:pt idx="96">
                  <c:v>0.68700000000000006</c:v>
                </c:pt>
                <c:pt idx="97">
                  <c:v>0.86399999999999999</c:v>
                </c:pt>
                <c:pt idx="98">
                  <c:v>1.246</c:v>
                </c:pt>
                <c:pt idx="99">
                  <c:v>1.7010000000000001</c:v>
                </c:pt>
                <c:pt idx="100">
                  <c:v>2.1930000000000001</c:v>
                </c:pt>
                <c:pt idx="101">
                  <c:v>2.5950000000000002</c:v>
                </c:pt>
                <c:pt idx="102">
                  <c:v>2.8180000000000001</c:v>
                </c:pt>
                <c:pt idx="103">
                  <c:v>2.84</c:v>
                </c:pt>
                <c:pt idx="104">
                  <c:v>2.657</c:v>
                </c:pt>
                <c:pt idx="105">
                  <c:v>2.2879999999999998</c:v>
                </c:pt>
                <c:pt idx="106">
                  <c:v>1.8819999999999999</c:v>
                </c:pt>
                <c:pt idx="107">
                  <c:v>1.5149999999999999</c:v>
                </c:pt>
                <c:pt idx="108">
                  <c:v>1.27</c:v>
                </c:pt>
                <c:pt idx="109">
                  <c:v>1.169</c:v>
                </c:pt>
                <c:pt idx="110">
                  <c:v>1.2250000000000001</c:v>
                </c:pt>
                <c:pt idx="111">
                  <c:v>1.375</c:v>
                </c:pt>
                <c:pt idx="112">
                  <c:v>1.5940000000000001</c:v>
                </c:pt>
                <c:pt idx="113">
                  <c:v>1.784</c:v>
                </c:pt>
                <c:pt idx="114">
                  <c:v>1.839</c:v>
                </c:pt>
                <c:pt idx="115">
                  <c:v>1.7450000000000001</c:v>
                </c:pt>
                <c:pt idx="116">
                  <c:v>1.554</c:v>
                </c:pt>
                <c:pt idx="117">
                  <c:v>1.2949999999999999</c:v>
                </c:pt>
                <c:pt idx="118">
                  <c:v>0.96299999999999997</c:v>
                </c:pt>
                <c:pt idx="119">
                  <c:v>0.76200000000000001</c:v>
                </c:pt>
                <c:pt idx="120">
                  <c:v>0.65800000000000003</c:v>
                </c:pt>
                <c:pt idx="121">
                  <c:v>0.75</c:v>
                </c:pt>
                <c:pt idx="122">
                  <c:v>1.0609999999999999</c:v>
                </c:pt>
                <c:pt idx="123">
                  <c:v>1.4930000000000001</c:v>
                </c:pt>
                <c:pt idx="124">
                  <c:v>1.9990000000000001</c:v>
                </c:pt>
                <c:pt idx="125">
                  <c:v>2.4350000000000001</c:v>
                </c:pt>
                <c:pt idx="126">
                  <c:v>2.7450000000000001</c:v>
                </c:pt>
                <c:pt idx="127">
                  <c:v>2.8460000000000001</c:v>
                </c:pt>
                <c:pt idx="128">
                  <c:v>2.758</c:v>
                </c:pt>
                <c:pt idx="129">
                  <c:v>2.5059999999999998</c:v>
                </c:pt>
                <c:pt idx="130">
                  <c:v>2.1230000000000002</c:v>
                </c:pt>
                <c:pt idx="131">
                  <c:v>1.7490000000000001</c:v>
                </c:pt>
                <c:pt idx="132">
                  <c:v>1.429</c:v>
                </c:pt>
                <c:pt idx="133">
                  <c:v>1.2609999999999999</c:v>
                </c:pt>
                <c:pt idx="134">
                  <c:v>1.2310000000000001</c:v>
                </c:pt>
                <c:pt idx="135">
                  <c:v>1.3720000000000001</c:v>
                </c:pt>
                <c:pt idx="136">
                  <c:v>1.5880000000000001</c:v>
                </c:pt>
                <c:pt idx="137">
                  <c:v>1.7689999999999999</c:v>
                </c:pt>
                <c:pt idx="138">
                  <c:v>1.8129999999999999</c:v>
                </c:pt>
                <c:pt idx="139">
                  <c:v>1.7769999999999999</c:v>
                </c:pt>
                <c:pt idx="140">
                  <c:v>1.641</c:v>
                </c:pt>
                <c:pt idx="141">
                  <c:v>1.4079999999999999</c:v>
                </c:pt>
                <c:pt idx="142">
                  <c:v>1.151</c:v>
                </c:pt>
                <c:pt idx="143">
                  <c:v>0.90400000000000003</c:v>
                </c:pt>
                <c:pt idx="144">
                  <c:v>0.74</c:v>
                </c:pt>
                <c:pt idx="145">
                  <c:v>0.754</c:v>
                </c:pt>
                <c:pt idx="146">
                  <c:v>0.94699999999999995</c:v>
                </c:pt>
                <c:pt idx="147">
                  <c:v>1.3049999999999999</c:v>
                </c:pt>
                <c:pt idx="148">
                  <c:v>1.754</c:v>
                </c:pt>
                <c:pt idx="149">
                  <c:v>2.1850000000000001</c:v>
                </c:pt>
                <c:pt idx="150">
                  <c:v>2.5470000000000002</c:v>
                </c:pt>
                <c:pt idx="151">
                  <c:v>2.758</c:v>
                </c:pt>
                <c:pt idx="152">
                  <c:v>2.7730000000000001</c:v>
                </c:pt>
                <c:pt idx="153">
                  <c:v>2.5979999999999999</c:v>
                </c:pt>
                <c:pt idx="154">
                  <c:v>2.278</c:v>
                </c:pt>
                <c:pt idx="155">
                  <c:v>1.887</c:v>
                </c:pt>
                <c:pt idx="156">
                  <c:v>1.5620000000000001</c:v>
                </c:pt>
                <c:pt idx="157">
                  <c:v>1.349</c:v>
                </c:pt>
                <c:pt idx="158">
                  <c:v>1.28</c:v>
                </c:pt>
                <c:pt idx="159">
                  <c:v>1.35</c:v>
                </c:pt>
                <c:pt idx="160">
                  <c:v>1.5269999999999999</c:v>
                </c:pt>
                <c:pt idx="161">
                  <c:v>1.68</c:v>
                </c:pt>
                <c:pt idx="162">
                  <c:v>1.7789999999999999</c:v>
                </c:pt>
                <c:pt idx="163">
                  <c:v>1.766</c:v>
                </c:pt>
                <c:pt idx="164">
                  <c:v>1.6830000000000001</c:v>
                </c:pt>
                <c:pt idx="165">
                  <c:v>1.4750000000000001</c:v>
                </c:pt>
                <c:pt idx="166">
                  <c:v>1.2629999999999999</c:v>
                </c:pt>
                <c:pt idx="167">
                  <c:v>1.0229999999999999</c:v>
                </c:pt>
                <c:pt idx="168">
                  <c:v>0.79700000000000004</c:v>
                </c:pt>
                <c:pt idx="169">
                  <c:v>0.73399999999999999</c:v>
                </c:pt>
                <c:pt idx="170">
                  <c:v>0.85699999999999998</c:v>
                </c:pt>
                <c:pt idx="171">
                  <c:v>1.1599999999999999</c:v>
                </c:pt>
                <c:pt idx="172">
                  <c:v>1.54</c:v>
                </c:pt>
                <c:pt idx="173">
                  <c:v>1.9890000000000001</c:v>
                </c:pt>
                <c:pt idx="174">
                  <c:v>2.3559999999999999</c:v>
                </c:pt>
                <c:pt idx="175">
                  <c:v>2.5950000000000002</c:v>
                </c:pt>
                <c:pt idx="176">
                  <c:v>2.6890000000000001</c:v>
                </c:pt>
                <c:pt idx="177">
                  <c:v>2.5859999999999999</c:v>
                </c:pt>
                <c:pt idx="178">
                  <c:v>2.339</c:v>
                </c:pt>
                <c:pt idx="179">
                  <c:v>1.9910000000000001</c:v>
                </c:pt>
                <c:pt idx="180">
                  <c:v>1.698</c:v>
                </c:pt>
                <c:pt idx="181">
                  <c:v>1.4355</c:v>
                </c:pt>
                <c:pt idx="182">
                  <c:v>1.319</c:v>
                </c:pt>
                <c:pt idx="183">
                  <c:v>1.304</c:v>
                </c:pt>
                <c:pt idx="184">
                  <c:v>1.421</c:v>
                </c:pt>
                <c:pt idx="185">
                  <c:v>1.5940000000000001</c:v>
                </c:pt>
                <c:pt idx="186">
                  <c:v>1.748</c:v>
                </c:pt>
                <c:pt idx="187">
                  <c:v>1.82</c:v>
                </c:pt>
                <c:pt idx="188">
                  <c:v>1.7709999999999999</c:v>
                </c:pt>
                <c:pt idx="189">
                  <c:v>1.5880000000000001</c:v>
                </c:pt>
                <c:pt idx="190">
                  <c:v>1.36</c:v>
                </c:pt>
                <c:pt idx="191">
                  <c:v>1.1240000000000001</c:v>
                </c:pt>
                <c:pt idx="192">
                  <c:v>0.90500000000000003</c:v>
                </c:pt>
                <c:pt idx="193">
                  <c:v>0.78600000000000003</c:v>
                </c:pt>
                <c:pt idx="194">
                  <c:v>0.84499999999999997</c:v>
                </c:pt>
                <c:pt idx="195">
                  <c:v>1.07</c:v>
                </c:pt>
                <c:pt idx="196">
                  <c:v>1.413</c:v>
                </c:pt>
                <c:pt idx="197">
                  <c:v>1.792</c:v>
                </c:pt>
                <c:pt idx="198">
                  <c:v>2.1789999999999998</c:v>
                </c:pt>
                <c:pt idx="199">
                  <c:v>2.4420000000000002</c:v>
                </c:pt>
                <c:pt idx="200">
                  <c:v>2.5630000000000002</c:v>
                </c:pt>
                <c:pt idx="201">
                  <c:v>2.552</c:v>
                </c:pt>
                <c:pt idx="202">
                  <c:v>2.4060000000000001</c:v>
                </c:pt>
                <c:pt idx="203">
                  <c:v>2.1150000000000002</c:v>
                </c:pt>
                <c:pt idx="204">
                  <c:v>1.8049999999999999</c:v>
                </c:pt>
                <c:pt idx="205">
                  <c:v>1.5640000000000001</c:v>
                </c:pt>
                <c:pt idx="206">
                  <c:v>1.4390000000000001</c:v>
                </c:pt>
                <c:pt idx="207">
                  <c:v>1.4079999999999999</c:v>
                </c:pt>
                <c:pt idx="208">
                  <c:v>1.4790000000000001</c:v>
                </c:pt>
                <c:pt idx="209">
                  <c:v>1.593</c:v>
                </c:pt>
                <c:pt idx="210">
                  <c:v>1.7210000000000001</c:v>
                </c:pt>
                <c:pt idx="211">
                  <c:v>1.8080000000000001</c:v>
                </c:pt>
                <c:pt idx="212">
                  <c:v>1.8049999999999999</c:v>
                </c:pt>
                <c:pt idx="213">
                  <c:v>1.667</c:v>
                </c:pt>
                <c:pt idx="214">
                  <c:v>1.46</c:v>
                </c:pt>
                <c:pt idx="215">
                  <c:v>1.254</c:v>
                </c:pt>
                <c:pt idx="216">
                  <c:v>1.0469999999999999</c:v>
                </c:pt>
                <c:pt idx="217">
                  <c:v>0.90600000000000003</c:v>
                </c:pt>
                <c:pt idx="218">
                  <c:v>0.871</c:v>
                </c:pt>
                <c:pt idx="219">
                  <c:v>1.024</c:v>
                </c:pt>
                <c:pt idx="220">
                  <c:v>1.3140000000000001</c:v>
                </c:pt>
                <c:pt idx="221">
                  <c:v>1.6679999999999999</c:v>
                </c:pt>
                <c:pt idx="222">
                  <c:v>1.9930000000000001</c:v>
                </c:pt>
                <c:pt idx="223">
                  <c:v>2.25</c:v>
                </c:pt>
                <c:pt idx="224">
                  <c:v>2.4020000000000001</c:v>
                </c:pt>
                <c:pt idx="225">
                  <c:v>2.4220000000000002</c:v>
                </c:pt>
                <c:pt idx="226">
                  <c:v>2.3570000000000002</c:v>
                </c:pt>
                <c:pt idx="227">
                  <c:v>2.1829999999999998</c:v>
                </c:pt>
                <c:pt idx="228">
                  <c:v>1.923</c:v>
                </c:pt>
                <c:pt idx="229">
                  <c:v>1.7050000000000001</c:v>
                </c:pt>
                <c:pt idx="230">
                  <c:v>1.556</c:v>
                </c:pt>
                <c:pt idx="231">
                  <c:v>1.4730000000000001</c:v>
                </c:pt>
                <c:pt idx="232">
                  <c:v>1.4790000000000001</c:v>
                </c:pt>
                <c:pt idx="233">
                  <c:v>1.573</c:v>
                </c:pt>
                <c:pt idx="234">
                  <c:v>1.673</c:v>
                </c:pt>
                <c:pt idx="235">
                  <c:v>1.7889999999999999</c:v>
                </c:pt>
                <c:pt idx="236">
                  <c:v>1.8320000000000001</c:v>
                </c:pt>
                <c:pt idx="237">
                  <c:v>1.7549999999999999</c:v>
                </c:pt>
                <c:pt idx="238">
                  <c:v>1.556</c:v>
                </c:pt>
                <c:pt idx="239">
                  <c:v>1.375</c:v>
                </c:pt>
                <c:pt idx="240">
                  <c:v>1.1970000000000001</c:v>
                </c:pt>
                <c:pt idx="241">
                  <c:v>1.0580000000000001</c:v>
                </c:pt>
                <c:pt idx="242">
                  <c:v>1.028</c:v>
                </c:pt>
                <c:pt idx="243">
                  <c:v>1.1000000000000001</c:v>
                </c:pt>
                <c:pt idx="244">
                  <c:v>1.3069999999999999</c:v>
                </c:pt>
                <c:pt idx="245">
                  <c:v>1.593</c:v>
                </c:pt>
                <c:pt idx="246">
                  <c:v>1.8859999999999999</c:v>
                </c:pt>
                <c:pt idx="247">
                  <c:v>2.0960000000000001</c:v>
                </c:pt>
                <c:pt idx="248">
                  <c:v>2.2410000000000001</c:v>
                </c:pt>
                <c:pt idx="249">
                  <c:v>2.3029999999999999</c:v>
                </c:pt>
                <c:pt idx="250">
                  <c:v>2.2469999999999999</c:v>
                </c:pt>
                <c:pt idx="251">
                  <c:v>2.1240000000000001</c:v>
                </c:pt>
                <c:pt idx="252">
                  <c:v>1.986</c:v>
                </c:pt>
                <c:pt idx="253">
                  <c:v>1.8080000000000001</c:v>
                </c:pt>
                <c:pt idx="254">
                  <c:v>1.629</c:v>
                </c:pt>
                <c:pt idx="255">
                  <c:v>1.5349999999999999</c:v>
                </c:pt>
                <c:pt idx="256">
                  <c:v>1.502</c:v>
                </c:pt>
                <c:pt idx="257">
                  <c:v>1.5110000000000001</c:v>
                </c:pt>
                <c:pt idx="258">
                  <c:v>1.595</c:v>
                </c:pt>
                <c:pt idx="259">
                  <c:v>1.724</c:v>
                </c:pt>
                <c:pt idx="260">
                  <c:v>1.796</c:v>
                </c:pt>
                <c:pt idx="261">
                  <c:v>1.766</c:v>
                </c:pt>
                <c:pt idx="262">
                  <c:v>1.64</c:v>
                </c:pt>
                <c:pt idx="263">
                  <c:v>1.4950000000000001</c:v>
                </c:pt>
                <c:pt idx="264">
                  <c:v>1.373</c:v>
                </c:pt>
                <c:pt idx="265">
                  <c:v>1.2709999999999999</c:v>
                </c:pt>
                <c:pt idx="266">
                  <c:v>1.234</c:v>
                </c:pt>
                <c:pt idx="267">
                  <c:v>1.2729999999999999</c:v>
                </c:pt>
                <c:pt idx="268">
                  <c:v>1.3520000000000001</c:v>
                </c:pt>
                <c:pt idx="269">
                  <c:v>1.526</c:v>
                </c:pt>
                <c:pt idx="270">
                  <c:v>1.7390000000000001</c:v>
                </c:pt>
                <c:pt idx="271">
                  <c:v>1.905</c:v>
                </c:pt>
                <c:pt idx="272">
                  <c:v>2.0390000000000001</c:v>
                </c:pt>
                <c:pt idx="273">
                  <c:v>2.0870000000000002</c:v>
                </c:pt>
                <c:pt idx="274">
                  <c:v>2.077</c:v>
                </c:pt>
                <c:pt idx="275">
                  <c:v>2.036</c:v>
                </c:pt>
                <c:pt idx="276">
                  <c:v>1.976</c:v>
                </c:pt>
                <c:pt idx="277">
                  <c:v>1.873</c:v>
                </c:pt>
                <c:pt idx="278">
                  <c:v>1.7649999999999999</c:v>
                </c:pt>
                <c:pt idx="279">
                  <c:v>1.6319999999999999</c:v>
                </c:pt>
                <c:pt idx="280">
                  <c:v>1.5780000000000001</c:v>
                </c:pt>
                <c:pt idx="281">
                  <c:v>1.538</c:v>
                </c:pt>
                <c:pt idx="282">
                  <c:v>1.544</c:v>
                </c:pt>
                <c:pt idx="283">
                  <c:v>1.621</c:v>
                </c:pt>
                <c:pt idx="284">
                  <c:v>1.704</c:v>
                </c:pt>
                <c:pt idx="285">
                  <c:v>1.7210000000000001</c:v>
                </c:pt>
                <c:pt idx="286">
                  <c:v>1.6930000000000001</c:v>
                </c:pt>
                <c:pt idx="287">
                  <c:v>1.61</c:v>
                </c:pt>
                <c:pt idx="288">
                  <c:v>1.496</c:v>
                </c:pt>
                <c:pt idx="289">
                  <c:v>1.4370000000000001</c:v>
                </c:pt>
                <c:pt idx="290">
                  <c:v>1.431</c:v>
                </c:pt>
                <c:pt idx="291">
                  <c:v>1.466</c:v>
                </c:pt>
                <c:pt idx="292">
                  <c:v>1.5389999999999999</c:v>
                </c:pt>
                <c:pt idx="293">
                  <c:v>1.6359999999999999</c:v>
                </c:pt>
                <c:pt idx="294">
                  <c:v>1.7070000000000001</c:v>
                </c:pt>
                <c:pt idx="295">
                  <c:v>1.7969999999999999</c:v>
                </c:pt>
                <c:pt idx="296">
                  <c:v>1.843</c:v>
                </c:pt>
                <c:pt idx="297">
                  <c:v>1.8740000000000001</c:v>
                </c:pt>
                <c:pt idx="298">
                  <c:v>1.899</c:v>
                </c:pt>
                <c:pt idx="299">
                  <c:v>1.9239999999999999</c:v>
                </c:pt>
                <c:pt idx="300">
                  <c:v>1.8939999999999999</c:v>
                </c:pt>
                <c:pt idx="301">
                  <c:v>1.835</c:v>
                </c:pt>
                <c:pt idx="302">
                  <c:v>1.7889999999999999</c:v>
                </c:pt>
                <c:pt idx="303">
                  <c:v>1.6739999999999999</c:v>
                </c:pt>
                <c:pt idx="304">
                  <c:v>1.5760000000000001</c:v>
                </c:pt>
                <c:pt idx="305">
                  <c:v>1.5089999999999999</c:v>
                </c:pt>
                <c:pt idx="306">
                  <c:v>1.468</c:v>
                </c:pt>
                <c:pt idx="307">
                  <c:v>1.484</c:v>
                </c:pt>
                <c:pt idx="308">
                  <c:v>1.5269999999999999</c:v>
                </c:pt>
                <c:pt idx="309">
                  <c:v>1.544</c:v>
                </c:pt>
                <c:pt idx="310">
                  <c:v>1.5840000000000001</c:v>
                </c:pt>
                <c:pt idx="311">
                  <c:v>1.569</c:v>
                </c:pt>
                <c:pt idx="312">
                  <c:v>1.62</c:v>
                </c:pt>
                <c:pt idx="313">
                  <c:v>1.6759999999999999</c:v>
                </c:pt>
                <c:pt idx="314">
                  <c:v>1.669</c:v>
                </c:pt>
                <c:pt idx="315">
                  <c:v>1.6990000000000001</c:v>
                </c:pt>
                <c:pt idx="316">
                  <c:v>1.714</c:v>
                </c:pt>
                <c:pt idx="317">
                  <c:v>1.714</c:v>
                </c:pt>
                <c:pt idx="318">
                  <c:v>1.712</c:v>
                </c:pt>
                <c:pt idx="319">
                  <c:v>1.73</c:v>
                </c:pt>
                <c:pt idx="320">
                  <c:v>1.752</c:v>
                </c:pt>
                <c:pt idx="321">
                  <c:v>1.7230000000000001</c:v>
                </c:pt>
                <c:pt idx="322">
                  <c:v>1.7150000000000001</c:v>
                </c:pt>
                <c:pt idx="323">
                  <c:v>1.7390000000000001</c:v>
                </c:pt>
                <c:pt idx="324">
                  <c:v>1.7849999999999999</c:v>
                </c:pt>
                <c:pt idx="325">
                  <c:v>1.8220000000000001</c:v>
                </c:pt>
                <c:pt idx="326">
                  <c:v>1.823</c:v>
                </c:pt>
                <c:pt idx="327">
                  <c:v>1.766</c:v>
                </c:pt>
                <c:pt idx="328">
                  <c:v>1.6839999999999999</c:v>
                </c:pt>
                <c:pt idx="329">
                  <c:v>1.548</c:v>
                </c:pt>
                <c:pt idx="330">
                  <c:v>1.4219999999999999</c:v>
                </c:pt>
                <c:pt idx="331">
                  <c:v>1.365</c:v>
                </c:pt>
                <c:pt idx="332">
                  <c:v>1.373</c:v>
                </c:pt>
                <c:pt idx="333">
                  <c:v>1.393</c:v>
                </c:pt>
                <c:pt idx="334">
                  <c:v>1.458</c:v>
                </c:pt>
                <c:pt idx="335">
                  <c:v>1.5609999999999999</c:v>
                </c:pt>
                <c:pt idx="336">
                  <c:v>1.696</c:v>
                </c:pt>
                <c:pt idx="337">
                  <c:v>1.8160000000000001</c:v>
                </c:pt>
                <c:pt idx="338">
                  <c:v>1.903</c:v>
                </c:pt>
                <c:pt idx="339">
                  <c:v>1.968</c:v>
                </c:pt>
                <c:pt idx="340">
                  <c:v>2.012</c:v>
                </c:pt>
                <c:pt idx="341">
                  <c:v>2</c:v>
                </c:pt>
                <c:pt idx="342">
                  <c:v>1.913</c:v>
                </c:pt>
                <c:pt idx="343">
                  <c:v>1.82</c:v>
                </c:pt>
                <c:pt idx="344">
                  <c:v>1.722</c:v>
                </c:pt>
                <c:pt idx="345">
                  <c:v>1.6479999999999999</c:v>
                </c:pt>
                <c:pt idx="346">
                  <c:v>1.6</c:v>
                </c:pt>
                <c:pt idx="347">
                  <c:v>1.581</c:v>
                </c:pt>
                <c:pt idx="348">
                  <c:v>1.6080000000000001</c:v>
                </c:pt>
                <c:pt idx="349">
                  <c:v>1.6639999999999999</c:v>
                </c:pt>
                <c:pt idx="350">
                  <c:v>1.7430000000000001</c:v>
                </c:pt>
                <c:pt idx="351">
                  <c:v>1.78</c:v>
                </c:pt>
                <c:pt idx="352">
                  <c:v>1.718</c:v>
                </c:pt>
                <c:pt idx="353">
                  <c:v>1.617</c:v>
                </c:pt>
                <c:pt idx="354">
                  <c:v>1.4930000000000001</c:v>
                </c:pt>
                <c:pt idx="355">
                  <c:v>1.3680000000000001</c:v>
                </c:pt>
                <c:pt idx="356">
                  <c:v>1.2430000000000001</c:v>
                </c:pt>
                <c:pt idx="357">
                  <c:v>1.198</c:v>
                </c:pt>
                <c:pt idx="358">
                  <c:v>1.238</c:v>
                </c:pt>
                <c:pt idx="359">
                  <c:v>1.3879999999999999</c:v>
                </c:pt>
                <c:pt idx="360">
                  <c:v>1.5920000000000001</c:v>
                </c:pt>
                <c:pt idx="361">
                  <c:v>1.819</c:v>
                </c:pt>
                <c:pt idx="362">
                  <c:v>2.048</c:v>
                </c:pt>
                <c:pt idx="363">
                  <c:v>2.238</c:v>
                </c:pt>
                <c:pt idx="364">
                  <c:v>2.3479999999999999</c:v>
                </c:pt>
                <c:pt idx="365">
                  <c:v>2.3090000000000002</c:v>
                </c:pt>
                <c:pt idx="366">
                  <c:v>2.2000000000000002</c:v>
                </c:pt>
                <c:pt idx="367">
                  <c:v>2.0089999999999999</c:v>
                </c:pt>
                <c:pt idx="368">
                  <c:v>1.7969999999999999</c:v>
                </c:pt>
                <c:pt idx="369">
                  <c:v>1.61</c:v>
                </c:pt>
                <c:pt idx="370">
                  <c:v>1.48</c:v>
                </c:pt>
                <c:pt idx="371">
                  <c:v>1.4</c:v>
                </c:pt>
                <c:pt idx="372">
                  <c:v>1.454</c:v>
                </c:pt>
                <c:pt idx="373">
                  <c:v>1.516</c:v>
                </c:pt>
                <c:pt idx="374">
                  <c:v>1.607</c:v>
                </c:pt>
                <c:pt idx="375">
                  <c:v>1.69</c:v>
                </c:pt>
                <c:pt idx="376">
                  <c:v>1.69</c:v>
                </c:pt>
                <c:pt idx="377">
                  <c:v>1.619</c:v>
                </c:pt>
                <c:pt idx="378">
                  <c:v>1.472</c:v>
                </c:pt>
                <c:pt idx="379">
                  <c:v>1.3009999999999999</c:v>
                </c:pt>
                <c:pt idx="380">
                  <c:v>1.1259999999999999</c:v>
                </c:pt>
                <c:pt idx="381">
                  <c:v>1.0249999999999999</c:v>
                </c:pt>
                <c:pt idx="382">
                  <c:v>1.028</c:v>
                </c:pt>
                <c:pt idx="383">
                  <c:v>1.153</c:v>
                </c:pt>
                <c:pt idx="384">
                  <c:v>1.409</c:v>
                </c:pt>
                <c:pt idx="385">
                  <c:v>1.714</c:v>
                </c:pt>
                <c:pt idx="386">
                  <c:v>2.0259999999999998</c:v>
                </c:pt>
                <c:pt idx="387">
                  <c:v>2.3149999999999999</c:v>
                </c:pt>
                <c:pt idx="388">
                  <c:v>2.5209999999999999</c:v>
                </c:pt>
                <c:pt idx="389">
                  <c:v>2.597</c:v>
                </c:pt>
                <c:pt idx="390">
                  <c:v>2.5449999999999999</c:v>
                </c:pt>
                <c:pt idx="391">
                  <c:v>2.3380000000000001</c:v>
                </c:pt>
                <c:pt idx="392">
                  <c:v>2.0609999999999999</c:v>
                </c:pt>
                <c:pt idx="393">
                  <c:v>1.756</c:v>
                </c:pt>
                <c:pt idx="394">
                  <c:v>1.526</c:v>
                </c:pt>
                <c:pt idx="395">
                  <c:v>1.375</c:v>
                </c:pt>
                <c:pt idx="396">
                  <c:v>1.337</c:v>
                </c:pt>
                <c:pt idx="397">
                  <c:v>1.409</c:v>
                </c:pt>
                <c:pt idx="398">
                  <c:v>1.5189999999999999</c:v>
                </c:pt>
                <c:pt idx="399">
                  <c:v>1.613</c:v>
                </c:pt>
                <c:pt idx="400">
                  <c:v>1.65</c:v>
                </c:pt>
                <c:pt idx="401">
                  <c:v>1.5960000000000001</c:v>
                </c:pt>
                <c:pt idx="402">
                  <c:v>1.472</c:v>
                </c:pt>
                <c:pt idx="403">
                  <c:v>1.3080000000000001</c:v>
                </c:pt>
                <c:pt idx="404">
                  <c:v>1.1259999999999999</c:v>
                </c:pt>
                <c:pt idx="405">
                  <c:v>0.94399999999999995</c:v>
                </c:pt>
                <c:pt idx="406">
                  <c:v>0.88400000000000001</c:v>
                </c:pt>
                <c:pt idx="407">
                  <c:v>0.93600000000000005</c:v>
                </c:pt>
                <c:pt idx="408">
                  <c:v>1.159</c:v>
                </c:pt>
                <c:pt idx="409">
                  <c:v>1.49</c:v>
                </c:pt>
                <c:pt idx="410">
                  <c:v>1.871</c:v>
                </c:pt>
                <c:pt idx="411">
                  <c:v>2.2570000000000001</c:v>
                </c:pt>
                <c:pt idx="412">
                  <c:v>2.5539999999999998</c:v>
                </c:pt>
                <c:pt idx="413">
                  <c:v>2.73</c:v>
                </c:pt>
                <c:pt idx="414">
                  <c:v>2.7469999999999999</c:v>
                </c:pt>
                <c:pt idx="415">
                  <c:v>2.5979999999999999</c:v>
                </c:pt>
                <c:pt idx="416">
                  <c:v>2.319</c:v>
                </c:pt>
                <c:pt idx="417">
                  <c:v>1.99</c:v>
                </c:pt>
                <c:pt idx="418">
                  <c:v>1.6919999999999999</c:v>
                </c:pt>
                <c:pt idx="419">
                  <c:v>1.4219999999999999</c:v>
                </c:pt>
                <c:pt idx="420">
                  <c:v>1.2969999999999999</c:v>
                </c:pt>
                <c:pt idx="421">
                  <c:v>1.29</c:v>
                </c:pt>
                <c:pt idx="422">
                  <c:v>1.3859999999999999</c:v>
                </c:pt>
                <c:pt idx="423">
                  <c:v>1.4970000000000001</c:v>
                </c:pt>
                <c:pt idx="424">
                  <c:v>1.5780000000000001</c:v>
                </c:pt>
                <c:pt idx="425">
                  <c:v>1.575</c:v>
                </c:pt>
                <c:pt idx="426">
                  <c:v>1.4690000000000001</c:v>
                </c:pt>
                <c:pt idx="427">
                  <c:v>1.319</c:v>
                </c:pt>
                <c:pt idx="428">
                  <c:v>1.1339999999999999</c:v>
                </c:pt>
                <c:pt idx="429">
                  <c:v>0.94699999999999995</c:v>
                </c:pt>
                <c:pt idx="430">
                  <c:v>0.78100000000000003</c:v>
                </c:pt>
                <c:pt idx="431">
                  <c:v>0.748</c:v>
                </c:pt>
                <c:pt idx="432">
                  <c:v>0.88900000000000001</c:v>
                </c:pt>
                <c:pt idx="433">
                  <c:v>1.194</c:v>
                </c:pt>
                <c:pt idx="434">
                  <c:v>1.6140000000000001</c:v>
                </c:pt>
                <c:pt idx="435">
                  <c:v>2.089</c:v>
                </c:pt>
                <c:pt idx="436">
                  <c:v>2.4740000000000002</c:v>
                </c:pt>
                <c:pt idx="437">
                  <c:v>2.7690000000000001</c:v>
                </c:pt>
                <c:pt idx="438">
                  <c:v>2.88</c:v>
                </c:pt>
                <c:pt idx="439">
                  <c:v>2.8119999999999998</c:v>
                </c:pt>
                <c:pt idx="440">
                  <c:v>2.5680000000000001</c:v>
                </c:pt>
                <c:pt idx="441">
                  <c:v>2.2250000000000001</c:v>
                </c:pt>
                <c:pt idx="442">
                  <c:v>1.9039999999999999</c:v>
                </c:pt>
                <c:pt idx="443">
                  <c:v>1.585</c:v>
                </c:pt>
                <c:pt idx="444">
                  <c:v>1.381</c:v>
                </c:pt>
                <c:pt idx="445">
                  <c:v>1.2809999999999999</c:v>
                </c:pt>
                <c:pt idx="446">
                  <c:v>1.2949999999999999</c:v>
                </c:pt>
                <c:pt idx="447">
                  <c:v>1.425</c:v>
                </c:pt>
                <c:pt idx="448">
                  <c:v>1.492</c:v>
                </c:pt>
                <c:pt idx="449">
                  <c:v>1.5589999999999999</c:v>
                </c:pt>
                <c:pt idx="450">
                  <c:v>1.5109999999999999</c:v>
                </c:pt>
                <c:pt idx="451">
                  <c:v>1.3680000000000001</c:v>
                </c:pt>
                <c:pt idx="452">
                  <c:v>1.19</c:v>
                </c:pt>
                <c:pt idx="453">
                  <c:v>1.0009999999999999</c:v>
                </c:pt>
                <c:pt idx="454">
                  <c:v>0.83</c:v>
                </c:pt>
                <c:pt idx="455">
                  <c:v>0.65300000000000002</c:v>
                </c:pt>
                <c:pt idx="456">
                  <c:v>0.65200000000000002</c:v>
                </c:pt>
                <c:pt idx="457">
                  <c:v>0.86799999999999999</c:v>
                </c:pt>
                <c:pt idx="458">
                  <c:v>1.252</c:v>
                </c:pt>
                <c:pt idx="459">
                  <c:v>1.748</c:v>
                </c:pt>
                <c:pt idx="460">
                  <c:v>2.2589999999999999</c:v>
                </c:pt>
                <c:pt idx="461">
                  <c:v>2.645</c:v>
                </c:pt>
                <c:pt idx="462">
                  <c:v>2.87</c:v>
                </c:pt>
                <c:pt idx="463">
                  <c:v>2.8889999999999998</c:v>
                </c:pt>
                <c:pt idx="464">
                  <c:v>2.7109999999999999</c:v>
                </c:pt>
                <c:pt idx="465">
                  <c:v>2.4220000000000002</c:v>
                </c:pt>
                <c:pt idx="466">
                  <c:v>2.1080000000000001</c:v>
                </c:pt>
                <c:pt idx="467">
                  <c:v>1.7849999999999999</c:v>
                </c:pt>
                <c:pt idx="468">
                  <c:v>1.55</c:v>
                </c:pt>
                <c:pt idx="469">
                  <c:v>1.3819999999999999</c:v>
                </c:pt>
                <c:pt idx="470">
                  <c:v>1.325</c:v>
                </c:pt>
                <c:pt idx="471">
                  <c:v>1.385</c:v>
                </c:pt>
                <c:pt idx="472">
                  <c:v>1.498</c:v>
                </c:pt>
                <c:pt idx="473">
                  <c:v>1.577</c:v>
                </c:pt>
                <c:pt idx="474">
                  <c:v>1.5840000000000001</c:v>
                </c:pt>
                <c:pt idx="475">
                  <c:v>1.4750000000000001</c:v>
                </c:pt>
                <c:pt idx="476">
                  <c:v>1.2949999999999999</c:v>
                </c:pt>
                <c:pt idx="477">
                  <c:v>1.054</c:v>
                </c:pt>
                <c:pt idx="478">
                  <c:v>0.80800000000000005</c:v>
                </c:pt>
                <c:pt idx="479">
                  <c:v>0.626</c:v>
                </c:pt>
                <c:pt idx="480">
                  <c:v>0.56000000000000005</c:v>
                </c:pt>
                <c:pt idx="481">
                  <c:v>0.68500000000000005</c:v>
                </c:pt>
                <c:pt idx="482">
                  <c:v>0.95799999999999996</c:v>
                </c:pt>
                <c:pt idx="483">
                  <c:v>1.4259999999999999</c:v>
                </c:pt>
                <c:pt idx="484">
                  <c:v>1.921</c:v>
                </c:pt>
                <c:pt idx="485">
                  <c:v>2.375</c:v>
                </c:pt>
                <c:pt idx="486">
                  <c:v>2.7250000000000001</c:v>
                </c:pt>
                <c:pt idx="487">
                  <c:v>2.8620000000000001</c:v>
                </c:pt>
                <c:pt idx="488">
                  <c:v>2.8149999999999999</c:v>
                </c:pt>
                <c:pt idx="489">
                  <c:v>2.61</c:v>
                </c:pt>
                <c:pt idx="490">
                  <c:v>2.2730000000000001</c:v>
                </c:pt>
                <c:pt idx="491">
                  <c:v>1.958</c:v>
                </c:pt>
                <c:pt idx="492">
                  <c:v>1.71</c:v>
                </c:pt>
                <c:pt idx="493">
                  <c:v>1.524</c:v>
                </c:pt>
                <c:pt idx="494">
                  <c:v>1.419</c:v>
                </c:pt>
                <c:pt idx="495">
                  <c:v>1.39</c:v>
                </c:pt>
                <c:pt idx="496">
                  <c:v>1.5049999999999999</c:v>
                </c:pt>
                <c:pt idx="497">
                  <c:v>1.6140000000000001</c:v>
                </c:pt>
                <c:pt idx="498">
                  <c:v>1.6870000000000001</c:v>
                </c:pt>
                <c:pt idx="499">
                  <c:v>1.621</c:v>
                </c:pt>
                <c:pt idx="500">
                  <c:v>1.5049999999999999</c:v>
                </c:pt>
                <c:pt idx="501">
                  <c:v>1.254</c:v>
                </c:pt>
                <c:pt idx="502">
                  <c:v>1.012</c:v>
                </c:pt>
                <c:pt idx="503">
                  <c:v>0.81499999999999995</c:v>
                </c:pt>
                <c:pt idx="504">
                  <c:v>0.68799999999999994</c:v>
                </c:pt>
                <c:pt idx="505">
                  <c:v>0.61499999999999999</c:v>
                </c:pt>
                <c:pt idx="506">
                  <c:v>0.77800000000000002</c:v>
                </c:pt>
                <c:pt idx="507">
                  <c:v>1.1100000000000001</c:v>
                </c:pt>
                <c:pt idx="508">
                  <c:v>1.597</c:v>
                </c:pt>
                <c:pt idx="509">
                  <c:v>2.085</c:v>
                </c:pt>
                <c:pt idx="510">
                  <c:v>2.4660000000000002</c:v>
                </c:pt>
                <c:pt idx="511">
                  <c:v>2.6850000000000001</c:v>
                </c:pt>
                <c:pt idx="512">
                  <c:v>2.7040000000000002</c:v>
                </c:pt>
                <c:pt idx="513">
                  <c:v>2.6480000000000001</c:v>
                </c:pt>
                <c:pt idx="514">
                  <c:v>2.427</c:v>
                </c:pt>
                <c:pt idx="515">
                  <c:v>2.081</c:v>
                </c:pt>
                <c:pt idx="516">
                  <c:v>1.7889999999999999</c:v>
                </c:pt>
                <c:pt idx="517">
                  <c:v>1.6279999999999999</c:v>
                </c:pt>
                <c:pt idx="518">
                  <c:v>1.4669999999999999</c:v>
                </c:pt>
                <c:pt idx="519">
                  <c:v>1.4450000000000001</c:v>
                </c:pt>
                <c:pt idx="520">
                  <c:v>1.5149999999999999</c:v>
                </c:pt>
                <c:pt idx="521">
                  <c:v>1.6220000000000001</c:v>
                </c:pt>
                <c:pt idx="522">
                  <c:v>1.712</c:v>
                </c:pt>
                <c:pt idx="523">
                  <c:v>1.734</c:v>
                </c:pt>
                <c:pt idx="524">
                  <c:v>1.6579999999999999</c:v>
                </c:pt>
                <c:pt idx="525">
                  <c:v>1.5</c:v>
                </c:pt>
                <c:pt idx="526">
                  <c:v>1.2909999999999999</c:v>
                </c:pt>
                <c:pt idx="527">
                  <c:v>1.0580000000000001</c:v>
                </c:pt>
                <c:pt idx="528">
                  <c:v>0.83399999999999996</c:v>
                </c:pt>
                <c:pt idx="529">
                  <c:v>0.71199999999999997</c:v>
                </c:pt>
                <c:pt idx="530">
                  <c:v>0.72799999999999998</c:v>
                </c:pt>
                <c:pt idx="531">
                  <c:v>0.91</c:v>
                </c:pt>
                <c:pt idx="532">
                  <c:v>1.268</c:v>
                </c:pt>
                <c:pt idx="533">
                  <c:v>1.7649999999999999</c:v>
                </c:pt>
                <c:pt idx="534">
                  <c:v>2.1970000000000001</c:v>
                </c:pt>
                <c:pt idx="535">
                  <c:v>2.532</c:v>
                </c:pt>
                <c:pt idx="536">
                  <c:v>2.6419999999999999</c:v>
                </c:pt>
                <c:pt idx="537">
                  <c:v>2.58</c:v>
                </c:pt>
                <c:pt idx="538">
                  <c:v>2.4430000000000001</c:v>
                </c:pt>
                <c:pt idx="539">
                  <c:v>2.1709999999999998</c:v>
                </c:pt>
                <c:pt idx="540">
                  <c:v>1.897</c:v>
                </c:pt>
                <c:pt idx="541">
                  <c:v>1.6559999999999999</c:v>
                </c:pt>
                <c:pt idx="542">
                  <c:v>1.4790000000000001</c:v>
                </c:pt>
                <c:pt idx="543">
                  <c:v>1.405</c:v>
                </c:pt>
                <c:pt idx="544">
                  <c:v>1.4670000000000001</c:v>
                </c:pt>
                <c:pt idx="545">
                  <c:v>1.6080000000000001</c:v>
                </c:pt>
                <c:pt idx="546">
                  <c:v>1.7470000000000001</c:v>
                </c:pt>
                <c:pt idx="547">
                  <c:v>1.8240000000000001</c:v>
                </c:pt>
                <c:pt idx="548">
                  <c:v>1.821</c:v>
                </c:pt>
                <c:pt idx="549">
                  <c:v>1.6830000000000001</c:v>
                </c:pt>
                <c:pt idx="550">
                  <c:v>1.4850000000000001</c:v>
                </c:pt>
                <c:pt idx="551">
                  <c:v>1.2869999999999999</c:v>
                </c:pt>
                <c:pt idx="552">
                  <c:v>1.1180000000000001</c:v>
                </c:pt>
                <c:pt idx="553">
                  <c:v>0.93899999999999995</c:v>
                </c:pt>
                <c:pt idx="554">
                  <c:v>0.89200000000000002</c:v>
                </c:pt>
                <c:pt idx="555">
                  <c:v>0.97299999999999998</c:v>
                </c:pt>
                <c:pt idx="556">
                  <c:v>1.1859999999999999</c:v>
                </c:pt>
                <c:pt idx="557">
                  <c:v>1.524</c:v>
                </c:pt>
                <c:pt idx="558">
                  <c:v>1.9590000000000001</c:v>
                </c:pt>
                <c:pt idx="559">
                  <c:v>2.3210000000000002</c:v>
                </c:pt>
                <c:pt idx="560">
                  <c:v>2.504</c:v>
                </c:pt>
                <c:pt idx="561">
                  <c:v>2.5009999999999999</c:v>
                </c:pt>
                <c:pt idx="562">
                  <c:v>2.411</c:v>
                </c:pt>
                <c:pt idx="563">
                  <c:v>2.238</c:v>
                </c:pt>
                <c:pt idx="564">
                  <c:v>1.998</c:v>
                </c:pt>
                <c:pt idx="565">
                  <c:v>1.766</c:v>
                </c:pt>
                <c:pt idx="566">
                  <c:v>1.55</c:v>
                </c:pt>
                <c:pt idx="567">
                  <c:v>1.407</c:v>
                </c:pt>
                <c:pt idx="568">
                  <c:v>1.4139999999999999</c:v>
                </c:pt>
                <c:pt idx="569">
                  <c:v>1.5449999999999999</c:v>
                </c:pt>
                <c:pt idx="570">
                  <c:v>1.7</c:v>
                </c:pt>
                <c:pt idx="571">
                  <c:v>1.8169999999999999</c:v>
                </c:pt>
                <c:pt idx="572">
                  <c:v>1.881</c:v>
                </c:pt>
                <c:pt idx="573">
                  <c:v>1.8440000000000001</c:v>
                </c:pt>
                <c:pt idx="574">
                  <c:v>1.7190000000000001</c:v>
                </c:pt>
                <c:pt idx="575">
                  <c:v>1.5369999999999999</c:v>
                </c:pt>
                <c:pt idx="576">
                  <c:v>1.349</c:v>
                </c:pt>
                <c:pt idx="577">
                  <c:v>1.2190000000000001</c:v>
                </c:pt>
                <c:pt idx="578">
                  <c:v>1.1160000000000001</c:v>
                </c:pt>
                <c:pt idx="579">
                  <c:v>1.139</c:v>
                </c:pt>
                <c:pt idx="580">
                  <c:v>1.22</c:v>
                </c:pt>
                <c:pt idx="581">
                  <c:v>1.4350000000000001</c:v>
                </c:pt>
                <c:pt idx="582">
                  <c:v>1.768</c:v>
                </c:pt>
                <c:pt idx="583">
                  <c:v>2.0880000000000001</c:v>
                </c:pt>
                <c:pt idx="584">
                  <c:v>2.3029999999999999</c:v>
                </c:pt>
                <c:pt idx="585">
                  <c:v>2.379</c:v>
                </c:pt>
                <c:pt idx="586">
                  <c:v>2.3380000000000001</c:v>
                </c:pt>
                <c:pt idx="587">
                  <c:v>2.2210000000000001</c:v>
                </c:pt>
                <c:pt idx="588">
                  <c:v>2.0419999999999998</c:v>
                </c:pt>
                <c:pt idx="589">
                  <c:v>1.849</c:v>
                </c:pt>
                <c:pt idx="590">
                  <c:v>1.6140000000000001</c:v>
                </c:pt>
                <c:pt idx="591">
                  <c:v>1.425</c:v>
                </c:pt>
                <c:pt idx="592">
                  <c:v>1.379</c:v>
                </c:pt>
                <c:pt idx="593">
                  <c:v>1.431</c:v>
                </c:pt>
                <c:pt idx="594">
                  <c:v>1.524</c:v>
                </c:pt>
                <c:pt idx="595">
                  <c:v>1.6759999999999999</c:v>
                </c:pt>
                <c:pt idx="596">
                  <c:v>1.78</c:v>
                </c:pt>
                <c:pt idx="597">
                  <c:v>1.831</c:v>
                </c:pt>
                <c:pt idx="598">
                  <c:v>1.81</c:v>
                </c:pt>
                <c:pt idx="599">
                  <c:v>1.679</c:v>
                </c:pt>
                <c:pt idx="600">
                  <c:v>1.569</c:v>
                </c:pt>
                <c:pt idx="601">
                  <c:v>1.4330000000000001</c:v>
                </c:pt>
                <c:pt idx="602">
                  <c:v>1.3380000000000001</c:v>
                </c:pt>
                <c:pt idx="603">
                  <c:v>1.34</c:v>
                </c:pt>
                <c:pt idx="604">
                  <c:v>1.381</c:v>
                </c:pt>
                <c:pt idx="605">
                  <c:v>1.4670000000000001</c:v>
                </c:pt>
                <c:pt idx="606">
                  <c:v>1.657</c:v>
                </c:pt>
                <c:pt idx="607">
                  <c:v>1.9119999999999999</c:v>
                </c:pt>
                <c:pt idx="608">
                  <c:v>2.0870000000000002</c:v>
                </c:pt>
                <c:pt idx="609">
                  <c:v>2.1850000000000001</c:v>
                </c:pt>
                <c:pt idx="610">
                  <c:v>2.2189999999999999</c:v>
                </c:pt>
                <c:pt idx="611">
                  <c:v>2.17</c:v>
                </c:pt>
                <c:pt idx="612">
                  <c:v>2.0569999999999999</c:v>
                </c:pt>
                <c:pt idx="613">
                  <c:v>1.855</c:v>
                </c:pt>
                <c:pt idx="614">
                  <c:v>1.653</c:v>
                </c:pt>
                <c:pt idx="615">
                  <c:v>1.464</c:v>
                </c:pt>
                <c:pt idx="616">
                  <c:v>1.3340000000000001</c:v>
                </c:pt>
                <c:pt idx="617">
                  <c:v>1.2789999999999999</c:v>
                </c:pt>
                <c:pt idx="618">
                  <c:v>1.337</c:v>
                </c:pt>
                <c:pt idx="619">
                  <c:v>1.429</c:v>
                </c:pt>
                <c:pt idx="620">
                  <c:v>1.54</c:v>
                </c:pt>
                <c:pt idx="621">
                  <c:v>1.6439999999999999</c:v>
                </c:pt>
                <c:pt idx="622">
                  <c:v>1.7609999999999999</c:v>
                </c:pt>
                <c:pt idx="623">
                  <c:v>1.796</c:v>
                </c:pt>
                <c:pt idx="624">
                  <c:v>1.79</c:v>
                </c:pt>
                <c:pt idx="625">
                  <c:v>1.724</c:v>
                </c:pt>
                <c:pt idx="626">
                  <c:v>1.617</c:v>
                </c:pt>
                <c:pt idx="627">
                  <c:v>1.5660000000000001</c:v>
                </c:pt>
                <c:pt idx="628">
                  <c:v>1.532</c:v>
                </c:pt>
                <c:pt idx="629">
                  <c:v>1.5680000000000001</c:v>
                </c:pt>
                <c:pt idx="630">
                  <c:v>1.665</c:v>
                </c:pt>
                <c:pt idx="631">
                  <c:v>1.784</c:v>
                </c:pt>
                <c:pt idx="632">
                  <c:v>1.9379999999999999</c:v>
                </c:pt>
                <c:pt idx="633">
                  <c:v>1.9730000000000001</c:v>
                </c:pt>
                <c:pt idx="634">
                  <c:v>1.97</c:v>
                </c:pt>
                <c:pt idx="635">
                  <c:v>1.944</c:v>
                </c:pt>
                <c:pt idx="636">
                  <c:v>1.8240000000000001</c:v>
                </c:pt>
                <c:pt idx="637">
                  <c:v>1.7350000000000001</c:v>
                </c:pt>
                <c:pt idx="638">
                  <c:v>1.637</c:v>
                </c:pt>
                <c:pt idx="639">
                  <c:v>1.4810000000000001</c:v>
                </c:pt>
                <c:pt idx="640">
                  <c:v>1.3320000000000001</c:v>
                </c:pt>
                <c:pt idx="641">
                  <c:v>1.2470000000000001</c:v>
                </c:pt>
                <c:pt idx="642">
                  <c:v>1.196</c:v>
                </c:pt>
                <c:pt idx="643">
                  <c:v>1.214</c:v>
                </c:pt>
                <c:pt idx="644">
                  <c:v>1.3180000000000001</c:v>
                </c:pt>
                <c:pt idx="645">
                  <c:v>1.466</c:v>
                </c:pt>
                <c:pt idx="646">
                  <c:v>1.6</c:v>
                </c:pt>
                <c:pt idx="647">
                  <c:v>1.6990000000000001</c:v>
                </c:pt>
                <c:pt idx="648">
                  <c:v>1.77</c:v>
                </c:pt>
                <c:pt idx="649">
                  <c:v>1.8049999999999999</c:v>
                </c:pt>
                <c:pt idx="650">
                  <c:v>1.829</c:v>
                </c:pt>
                <c:pt idx="651">
                  <c:v>1.8260000000000001</c:v>
                </c:pt>
                <c:pt idx="652">
                  <c:v>1.788</c:v>
                </c:pt>
                <c:pt idx="653">
                  <c:v>1.7370000000000001</c:v>
                </c:pt>
                <c:pt idx="654">
                  <c:v>1.6970000000000001</c:v>
                </c:pt>
                <c:pt idx="655">
                  <c:v>1.728</c:v>
                </c:pt>
                <c:pt idx="656">
                  <c:v>1.756</c:v>
                </c:pt>
                <c:pt idx="657">
                  <c:v>1.8</c:v>
                </c:pt>
                <c:pt idx="658">
                  <c:v>1.831</c:v>
                </c:pt>
                <c:pt idx="659">
                  <c:v>1.8089999999999999</c:v>
                </c:pt>
                <c:pt idx="660">
                  <c:v>1.76</c:v>
                </c:pt>
                <c:pt idx="661">
                  <c:v>1.7090000000000001</c:v>
                </c:pt>
                <c:pt idx="662">
                  <c:v>1.617</c:v>
                </c:pt>
                <c:pt idx="663">
                  <c:v>1.524</c:v>
                </c:pt>
                <c:pt idx="664">
                  <c:v>1.419</c:v>
                </c:pt>
                <c:pt idx="665">
                  <c:v>1.3140000000000001</c:v>
                </c:pt>
                <c:pt idx="666">
                  <c:v>1.2210000000000001</c:v>
                </c:pt>
                <c:pt idx="667">
                  <c:v>1.171</c:v>
                </c:pt>
                <c:pt idx="668">
                  <c:v>1.149</c:v>
                </c:pt>
                <c:pt idx="669">
                  <c:v>1.244</c:v>
                </c:pt>
                <c:pt idx="670">
                  <c:v>1.385</c:v>
                </c:pt>
                <c:pt idx="671">
                  <c:v>1.5669999999999999</c:v>
                </c:pt>
                <c:pt idx="672">
                  <c:v>1.7190000000000001</c:v>
                </c:pt>
                <c:pt idx="673">
                  <c:v>1.887</c:v>
                </c:pt>
                <c:pt idx="674">
                  <c:v>2.0070000000000001</c:v>
                </c:pt>
                <c:pt idx="675">
                  <c:v>2.0529999999999999</c:v>
                </c:pt>
                <c:pt idx="676">
                  <c:v>2.0379999999999998</c:v>
                </c:pt>
                <c:pt idx="677">
                  <c:v>1.972</c:v>
                </c:pt>
                <c:pt idx="678">
                  <c:v>1.92</c:v>
                </c:pt>
                <c:pt idx="679">
                  <c:v>1.847</c:v>
                </c:pt>
                <c:pt idx="680">
                  <c:v>1.7569999999999999</c:v>
                </c:pt>
                <c:pt idx="681">
                  <c:v>1.6839999999999999</c:v>
                </c:pt>
                <c:pt idx="682">
                  <c:v>1.635</c:v>
                </c:pt>
                <c:pt idx="683">
                  <c:v>1.6539999999999999</c:v>
                </c:pt>
                <c:pt idx="684">
                  <c:v>1.6679999999999999</c:v>
                </c:pt>
                <c:pt idx="685">
                  <c:v>1.6719999999999999</c:v>
                </c:pt>
                <c:pt idx="686">
                  <c:v>1.6679999999999999</c:v>
                </c:pt>
                <c:pt idx="687">
                  <c:v>1.5880000000000001</c:v>
                </c:pt>
                <c:pt idx="688">
                  <c:v>1.4950000000000001</c:v>
                </c:pt>
                <c:pt idx="689">
                  <c:v>1.399</c:v>
                </c:pt>
                <c:pt idx="690">
                  <c:v>1.262</c:v>
                </c:pt>
                <c:pt idx="691">
                  <c:v>1.1439999999999999</c:v>
                </c:pt>
                <c:pt idx="692">
                  <c:v>1.1140000000000001</c:v>
                </c:pt>
                <c:pt idx="693">
                  <c:v>1.1299999999999999</c:v>
                </c:pt>
                <c:pt idx="694">
                  <c:v>1.204</c:v>
                </c:pt>
                <c:pt idx="695">
                  <c:v>1.35</c:v>
                </c:pt>
                <c:pt idx="696">
                  <c:v>1.5640000000000001</c:v>
                </c:pt>
                <c:pt idx="697">
                  <c:v>1.8120000000000001</c:v>
                </c:pt>
                <c:pt idx="698">
                  <c:v>2.0379999999999998</c:v>
                </c:pt>
                <c:pt idx="699">
                  <c:v>2.1909999999999998</c:v>
                </c:pt>
                <c:pt idx="700">
                  <c:v>2.2509999999999999</c:v>
                </c:pt>
                <c:pt idx="701">
                  <c:v>2.2330000000000001</c:v>
                </c:pt>
                <c:pt idx="702">
                  <c:v>2.145</c:v>
                </c:pt>
                <c:pt idx="703">
                  <c:v>2.0009999999999999</c:v>
                </c:pt>
                <c:pt idx="704">
                  <c:v>1.8120000000000001</c:v>
                </c:pt>
                <c:pt idx="705">
                  <c:v>1.653</c:v>
                </c:pt>
                <c:pt idx="706">
                  <c:v>1.5529999999999999</c:v>
                </c:pt>
                <c:pt idx="707">
                  <c:v>1.5029999999999999</c:v>
                </c:pt>
                <c:pt idx="708">
                  <c:v>1.5109999999999999</c:v>
                </c:pt>
                <c:pt idx="709">
                  <c:v>1.57</c:v>
                </c:pt>
                <c:pt idx="710">
                  <c:v>1.5615000000000001</c:v>
                </c:pt>
                <c:pt idx="711">
                  <c:v>1.5529999999999999</c:v>
                </c:pt>
                <c:pt idx="712">
                  <c:v>1.4830000000000001</c:v>
                </c:pt>
                <c:pt idx="713">
                  <c:v>1.42</c:v>
                </c:pt>
                <c:pt idx="714">
                  <c:v>1.3109999999999999</c:v>
                </c:pt>
                <c:pt idx="715">
                  <c:v>1.22</c:v>
                </c:pt>
                <c:pt idx="716">
                  <c:v>1.1080000000000001</c:v>
                </c:pt>
                <c:pt idx="717">
                  <c:v>1.0449999999999999</c:v>
                </c:pt>
                <c:pt idx="718">
                  <c:v>1.0089999999999999</c:v>
                </c:pt>
                <c:pt idx="719">
                  <c:v>1.109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B3-4D23-9B25-4E37AA999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854528"/>
        <c:axId val="282856448"/>
      </c:scatterChart>
      <c:valAx>
        <c:axId val="282854528"/>
        <c:scaling>
          <c:orientation val="minMax"/>
          <c:max val="43627.958333333307"/>
          <c:min val="43599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Tanggal/Bulan</a:t>
                </a:r>
                <a:endParaRPr lang="en-US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/mm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2856448"/>
        <c:crossesAt val="-0.5"/>
        <c:crossBetween val="midCat"/>
        <c:majorUnit val="2"/>
        <c:minorUnit val="1"/>
      </c:valAx>
      <c:valAx>
        <c:axId val="282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Elevasi Muka Air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854528"/>
        <c:crosses val="autoZero"/>
        <c:crossBetween val="midCat"/>
        <c:majorUnit val="0.5"/>
        <c:min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5961060088477845"/>
          <c:y val="0.94018422510518729"/>
          <c:w val="8.1708551268405066E-2"/>
          <c:h val="4.294479331638703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Grafik Pengamatan Pasang Surut</a:t>
            </a:r>
            <a:endParaRPr lang="en-US" sz="15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PKT Bontang,  14/5/2019 - 11/6/2019</a:t>
            </a:r>
          </a:p>
        </c:rich>
      </c:tx>
      <c:layout>
        <c:manualLayout>
          <c:xMode val="edge"/>
          <c:yMode val="edge"/>
          <c:x val="0.30046588714225847"/>
          <c:y val="3.01837270341207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167737183275756E-2"/>
          <c:y val="0.19291381848648492"/>
          <c:w val="0.80036579933600505"/>
          <c:h val="0.60105121678102102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'data asli x100'!$B$8:$B$703</c:f>
              <c:numCache>
                <c:formatCode>m/d/yyyy\ h:mm</c:formatCode>
                <c:ptCount val="696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</c:numCache>
            </c:numRef>
          </c:xVal>
          <c:yVal>
            <c:numRef>
              <c:f>'data asli x100'!$C$8:$C$703</c:f>
              <c:numCache>
                <c:formatCode>0.00</c:formatCode>
                <c:ptCount val="696"/>
                <c:pt idx="0">
                  <c:v>136</c:v>
                </c:pt>
                <c:pt idx="1">
                  <c:v>165.5</c:v>
                </c:pt>
                <c:pt idx="2">
                  <c:v>198.3</c:v>
                </c:pt>
                <c:pt idx="3">
                  <c:v>224.7</c:v>
                </c:pt>
                <c:pt idx="4">
                  <c:v>239</c:v>
                </c:pt>
                <c:pt idx="5">
                  <c:v>243.00000000000003</c:v>
                </c:pt>
                <c:pt idx="6">
                  <c:v>231.70000000000002</c:v>
                </c:pt>
                <c:pt idx="7">
                  <c:v>212.1</c:v>
                </c:pt>
                <c:pt idx="8">
                  <c:v>188.39999999999998</c:v>
                </c:pt>
                <c:pt idx="9">
                  <c:v>163.69999999999999</c:v>
                </c:pt>
                <c:pt idx="10">
                  <c:v>145.4</c:v>
                </c:pt>
                <c:pt idx="11">
                  <c:v>135.4</c:v>
                </c:pt>
                <c:pt idx="12">
                  <c:v>142</c:v>
                </c:pt>
                <c:pt idx="13">
                  <c:v>156.1</c:v>
                </c:pt>
                <c:pt idx="14">
                  <c:v>173.10000000000002</c:v>
                </c:pt>
                <c:pt idx="15">
                  <c:v>188.9</c:v>
                </c:pt>
                <c:pt idx="16">
                  <c:v>194.9</c:v>
                </c:pt>
                <c:pt idx="17">
                  <c:v>190</c:v>
                </c:pt>
                <c:pt idx="18">
                  <c:v>173.3</c:v>
                </c:pt>
                <c:pt idx="19">
                  <c:v>155</c:v>
                </c:pt>
                <c:pt idx="20">
                  <c:v>132.4</c:v>
                </c:pt>
                <c:pt idx="21">
                  <c:v>110.80000000000001</c:v>
                </c:pt>
                <c:pt idx="22">
                  <c:v>96.899999999999991</c:v>
                </c:pt>
                <c:pt idx="23">
                  <c:v>99.1</c:v>
                </c:pt>
                <c:pt idx="24">
                  <c:v>113.79999999999998</c:v>
                </c:pt>
                <c:pt idx="25">
                  <c:v>143.9</c:v>
                </c:pt>
                <c:pt idx="26">
                  <c:v>184.7</c:v>
                </c:pt>
                <c:pt idx="27">
                  <c:v>222.29999999999998</c:v>
                </c:pt>
                <c:pt idx="28">
                  <c:v>249.10000000000002</c:v>
                </c:pt>
                <c:pt idx="29">
                  <c:v>258.10000000000002</c:v>
                </c:pt>
                <c:pt idx="30">
                  <c:v>251.9</c:v>
                </c:pt>
                <c:pt idx="31">
                  <c:v>232.6</c:v>
                </c:pt>
                <c:pt idx="32">
                  <c:v>202.4</c:v>
                </c:pt>
                <c:pt idx="33">
                  <c:v>171.9</c:v>
                </c:pt>
                <c:pt idx="34">
                  <c:v>144.1</c:v>
                </c:pt>
                <c:pt idx="35">
                  <c:v>125.29999999999998</c:v>
                </c:pt>
                <c:pt idx="36">
                  <c:v>123.2</c:v>
                </c:pt>
                <c:pt idx="37">
                  <c:v>133.20000000000002</c:v>
                </c:pt>
                <c:pt idx="38">
                  <c:v>150</c:v>
                </c:pt>
                <c:pt idx="39">
                  <c:v>169.3</c:v>
                </c:pt>
                <c:pt idx="40">
                  <c:v>183.29999999999998</c:v>
                </c:pt>
                <c:pt idx="41">
                  <c:v>184</c:v>
                </c:pt>
                <c:pt idx="42">
                  <c:v>174.2</c:v>
                </c:pt>
                <c:pt idx="43">
                  <c:v>158.29999999999998</c:v>
                </c:pt>
                <c:pt idx="44">
                  <c:v>133.20000000000002</c:v>
                </c:pt>
                <c:pt idx="45">
                  <c:v>106.69999999999999</c:v>
                </c:pt>
                <c:pt idx="46">
                  <c:v>81.3</c:v>
                </c:pt>
                <c:pt idx="47">
                  <c:v>75.400000000000006</c:v>
                </c:pt>
                <c:pt idx="48">
                  <c:v>90.600000000000009</c:v>
                </c:pt>
                <c:pt idx="49">
                  <c:v>123.10000000000001</c:v>
                </c:pt>
                <c:pt idx="50">
                  <c:v>162.69999999999999</c:v>
                </c:pt>
                <c:pt idx="51">
                  <c:v>205.50000000000003</c:v>
                </c:pt>
                <c:pt idx="52">
                  <c:v>245.6</c:v>
                </c:pt>
                <c:pt idx="53">
                  <c:v>271.39999999999998</c:v>
                </c:pt>
                <c:pt idx="54">
                  <c:v>272.8</c:v>
                </c:pt>
                <c:pt idx="55">
                  <c:v>255.20000000000002</c:v>
                </c:pt>
                <c:pt idx="56">
                  <c:v>222.8</c:v>
                </c:pt>
                <c:pt idx="57">
                  <c:v>182.8</c:v>
                </c:pt>
                <c:pt idx="58">
                  <c:v>148.5</c:v>
                </c:pt>
                <c:pt idx="59">
                  <c:v>122</c:v>
                </c:pt>
                <c:pt idx="60">
                  <c:v>113.6</c:v>
                </c:pt>
                <c:pt idx="61">
                  <c:v>123.4</c:v>
                </c:pt>
                <c:pt idx="62">
                  <c:v>143.4</c:v>
                </c:pt>
                <c:pt idx="63">
                  <c:v>164.1</c:v>
                </c:pt>
                <c:pt idx="64">
                  <c:v>177.8</c:v>
                </c:pt>
                <c:pt idx="65">
                  <c:v>182.1</c:v>
                </c:pt>
                <c:pt idx="66">
                  <c:v>178.7</c:v>
                </c:pt>
                <c:pt idx="67">
                  <c:v>162.60000000000002</c:v>
                </c:pt>
                <c:pt idx="68">
                  <c:v>139.9</c:v>
                </c:pt>
                <c:pt idx="69">
                  <c:v>114.6</c:v>
                </c:pt>
                <c:pt idx="70">
                  <c:v>88.5</c:v>
                </c:pt>
                <c:pt idx="71">
                  <c:v>70.199999999999989</c:v>
                </c:pt>
                <c:pt idx="72">
                  <c:v>74.3</c:v>
                </c:pt>
                <c:pt idx="73">
                  <c:v>100.89999999999999</c:v>
                </c:pt>
                <c:pt idx="74">
                  <c:v>139.5</c:v>
                </c:pt>
                <c:pt idx="75">
                  <c:v>188.39999999999998</c:v>
                </c:pt>
                <c:pt idx="76">
                  <c:v>235.2</c:v>
                </c:pt>
                <c:pt idx="77">
                  <c:v>269.60000000000002</c:v>
                </c:pt>
                <c:pt idx="78">
                  <c:v>281.5</c:v>
                </c:pt>
                <c:pt idx="79">
                  <c:v>273.8</c:v>
                </c:pt>
                <c:pt idx="80">
                  <c:v>246</c:v>
                </c:pt>
                <c:pt idx="81">
                  <c:v>202.8</c:v>
                </c:pt>
                <c:pt idx="82">
                  <c:v>165.3</c:v>
                </c:pt>
                <c:pt idx="83">
                  <c:v>134.5</c:v>
                </c:pt>
                <c:pt idx="84">
                  <c:v>118</c:v>
                </c:pt>
                <c:pt idx="85">
                  <c:v>115.19999999999999</c:v>
                </c:pt>
                <c:pt idx="86">
                  <c:v>126.1</c:v>
                </c:pt>
                <c:pt idx="87">
                  <c:v>147</c:v>
                </c:pt>
                <c:pt idx="88">
                  <c:v>166.79999999999998</c:v>
                </c:pt>
                <c:pt idx="89">
                  <c:v>177.1</c:v>
                </c:pt>
                <c:pt idx="90">
                  <c:v>176.5</c:v>
                </c:pt>
                <c:pt idx="91">
                  <c:v>165.3</c:v>
                </c:pt>
                <c:pt idx="92">
                  <c:v>144.4</c:v>
                </c:pt>
                <c:pt idx="93">
                  <c:v>122.6</c:v>
                </c:pt>
                <c:pt idx="94">
                  <c:v>95.6</c:v>
                </c:pt>
                <c:pt idx="95">
                  <c:v>73.8</c:v>
                </c:pt>
                <c:pt idx="96">
                  <c:v>68.7</c:v>
                </c:pt>
                <c:pt idx="97">
                  <c:v>86.4</c:v>
                </c:pt>
                <c:pt idx="98">
                  <c:v>124.6</c:v>
                </c:pt>
                <c:pt idx="99">
                  <c:v>170.1</c:v>
                </c:pt>
                <c:pt idx="100">
                  <c:v>219.3</c:v>
                </c:pt>
                <c:pt idx="101">
                  <c:v>259.5</c:v>
                </c:pt>
                <c:pt idx="102">
                  <c:v>281.8</c:v>
                </c:pt>
                <c:pt idx="103">
                  <c:v>284</c:v>
                </c:pt>
                <c:pt idx="104">
                  <c:v>265.7</c:v>
                </c:pt>
                <c:pt idx="105">
                  <c:v>228.79999999999998</c:v>
                </c:pt>
                <c:pt idx="106">
                  <c:v>188.2</c:v>
                </c:pt>
                <c:pt idx="107">
                  <c:v>151.5</c:v>
                </c:pt>
                <c:pt idx="108">
                  <c:v>127</c:v>
                </c:pt>
                <c:pt idx="109">
                  <c:v>116.9</c:v>
                </c:pt>
                <c:pt idx="110">
                  <c:v>122.50000000000001</c:v>
                </c:pt>
                <c:pt idx="111">
                  <c:v>137.5</c:v>
                </c:pt>
                <c:pt idx="112">
                  <c:v>159.4</c:v>
                </c:pt>
                <c:pt idx="113">
                  <c:v>178.4</c:v>
                </c:pt>
                <c:pt idx="114">
                  <c:v>183.9</c:v>
                </c:pt>
                <c:pt idx="115">
                  <c:v>174.5</c:v>
                </c:pt>
                <c:pt idx="116">
                  <c:v>155.4</c:v>
                </c:pt>
                <c:pt idx="117">
                  <c:v>129.5</c:v>
                </c:pt>
                <c:pt idx="118">
                  <c:v>96.3</c:v>
                </c:pt>
                <c:pt idx="119">
                  <c:v>76.2</c:v>
                </c:pt>
                <c:pt idx="120">
                  <c:v>65.8</c:v>
                </c:pt>
                <c:pt idx="121">
                  <c:v>75</c:v>
                </c:pt>
                <c:pt idx="122">
                  <c:v>106.1</c:v>
                </c:pt>
                <c:pt idx="123">
                  <c:v>149.30000000000001</c:v>
                </c:pt>
                <c:pt idx="124">
                  <c:v>199.9</c:v>
                </c:pt>
                <c:pt idx="125">
                  <c:v>243.5</c:v>
                </c:pt>
                <c:pt idx="126">
                  <c:v>274.5</c:v>
                </c:pt>
                <c:pt idx="127">
                  <c:v>284.60000000000002</c:v>
                </c:pt>
                <c:pt idx="128">
                  <c:v>275.8</c:v>
                </c:pt>
                <c:pt idx="129">
                  <c:v>250.59999999999997</c:v>
                </c:pt>
                <c:pt idx="130">
                  <c:v>212.3</c:v>
                </c:pt>
                <c:pt idx="131">
                  <c:v>174.9</c:v>
                </c:pt>
                <c:pt idx="132">
                  <c:v>142.9</c:v>
                </c:pt>
                <c:pt idx="133">
                  <c:v>126.1</c:v>
                </c:pt>
                <c:pt idx="134">
                  <c:v>123.10000000000001</c:v>
                </c:pt>
                <c:pt idx="135">
                  <c:v>137.20000000000002</c:v>
                </c:pt>
                <c:pt idx="136">
                  <c:v>158.80000000000001</c:v>
                </c:pt>
                <c:pt idx="137">
                  <c:v>176.89999999999998</c:v>
                </c:pt>
                <c:pt idx="138">
                  <c:v>181.29999999999998</c:v>
                </c:pt>
                <c:pt idx="139">
                  <c:v>177.7</c:v>
                </c:pt>
                <c:pt idx="140">
                  <c:v>164.1</c:v>
                </c:pt>
                <c:pt idx="141">
                  <c:v>140.79999999999998</c:v>
                </c:pt>
                <c:pt idx="142">
                  <c:v>115.10000000000001</c:v>
                </c:pt>
                <c:pt idx="143">
                  <c:v>90.4</c:v>
                </c:pt>
                <c:pt idx="144">
                  <c:v>74</c:v>
                </c:pt>
                <c:pt idx="145">
                  <c:v>75.400000000000006</c:v>
                </c:pt>
                <c:pt idx="146">
                  <c:v>94.699999999999989</c:v>
                </c:pt>
                <c:pt idx="147">
                  <c:v>130.5</c:v>
                </c:pt>
                <c:pt idx="148">
                  <c:v>175.4</c:v>
                </c:pt>
                <c:pt idx="149">
                  <c:v>218.5</c:v>
                </c:pt>
                <c:pt idx="150">
                  <c:v>254.70000000000002</c:v>
                </c:pt>
                <c:pt idx="151">
                  <c:v>275.8</c:v>
                </c:pt>
                <c:pt idx="152">
                  <c:v>277.3</c:v>
                </c:pt>
                <c:pt idx="153">
                  <c:v>259.8</c:v>
                </c:pt>
                <c:pt idx="154">
                  <c:v>227.8</c:v>
                </c:pt>
                <c:pt idx="155">
                  <c:v>188.7</c:v>
                </c:pt>
                <c:pt idx="156">
                  <c:v>156.20000000000002</c:v>
                </c:pt>
                <c:pt idx="157">
                  <c:v>134.9</c:v>
                </c:pt>
                <c:pt idx="158">
                  <c:v>128</c:v>
                </c:pt>
                <c:pt idx="159">
                  <c:v>135</c:v>
                </c:pt>
                <c:pt idx="160">
                  <c:v>152.69999999999999</c:v>
                </c:pt>
                <c:pt idx="161">
                  <c:v>168</c:v>
                </c:pt>
                <c:pt idx="162">
                  <c:v>177.89999999999998</c:v>
                </c:pt>
                <c:pt idx="163">
                  <c:v>176.6</c:v>
                </c:pt>
                <c:pt idx="164">
                  <c:v>168.3</c:v>
                </c:pt>
                <c:pt idx="165">
                  <c:v>147.5</c:v>
                </c:pt>
                <c:pt idx="166">
                  <c:v>126.29999999999998</c:v>
                </c:pt>
                <c:pt idx="167">
                  <c:v>102.3</c:v>
                </c:pt>
                <c:pt idx="168">
                  <c:v>79.7</c:v>
                </c:pt>
                <c:pt idx="169">
                  <c:v>73.400000000000006</c:v>
                </c:pt>
                <c:pt idx="170">
                  <c:v>85.7</c:v>
                </c:pt>
                <c:pt idx="171">
                  <c:v>115.99999999999999</c:v>
                </c:pt>
                <c:pt idx="172">
                  <c:v>154</c:v>
                </c:pt>
                <c:pt idx="173">
                  <c:v>198.9</c:v>
                </c:pt>
                <c:pt idx="174">
                  <c:v>235.6</c:v>
                </c:pt>
                <c:pt idx="175">
                  <c:v>259.5</c:v>
                </c:pt>
                <c:pt idx="176">
                  <c:v>268.89999999999998</c:v>
                </c:pt>
                <c:pt idx="177">
                  <c:v>258.59999999999997</c:v>
                </c:pt>
                <c:pt idx="178">
                  <c:v>233.9</c:v>
                </c:pt>
                <c:pt idx="179">
                  <c:v>199.10000000000002</c:v>
                </c:pt>
                <c:pt idx="180">
                  <c:v>169.79999999999998</c:v>
                </c:pt>
                <c:pt idx="181">
                  <c:v>143.55000000000001</c:v>
                </c:pt>
                <c:pt idx="182">
                  <c:v>131.9</c:v>
                </c:pt>
                <c:pt idx="183">
                  <c:v>130.4</c:v>
                </c:pt>
                <c:pt idx="184">
                  <c:v>142.1</c:v>
                </c:pt>
                <c:pt idx="185">
                  <c:v>159.4</c:v>
                </c:pt>
                <c:pt idx="186">
                  <c:v>174.8</c:v>
                </c:pt>
                <c:pt idx="187">
                  <c:v>182</c:v>
                </c:pt>
                <c:pt idx="188">
                  <c:v>177.1</c:v>
                </c:pt>
                <c:pt idx="189">
                  <c:v>158.80000000000001</c:v>
                </c:pt>
                <c:pt idx="190">
                  <c:v>136</c:v>
                </c:pt>
                <c:pt idx="191">
                  <c:v>112.4</c:v>
                </c:pt>
                <c:pt idx="192">
                  <c:v>90.5</c:v>
                </c:pt>
                <c:pt idx="193">
                  <c:v>78.600000000000009</c:v>
                </c:pt>
                <c:pt idx="194">
                  <c:v>84.5</c:v>
                </c:pt>
                <c:pt idx="195">
                  <c:v>107</c:v>
                </c:pt>
                <c:pt idx="196">
                  <c:v>141.30000000000001</c:v>
                </c:pt>
                <c:pt idx="197">
                  <c:v>179.20000000000002</c:v>
                </c:pt>
                <c:pt idx="198">
                  <c:v>217.89999999999998</c:v>
                </c:pt>
                <c:pt idx="199">
                  <c:v>244.20000000000002</c:v>
                </c:pt>
                <c:pt idx="200">
                  <c:v>256.3</c:v>
                </c:pt>
                <c:pt idx="201">
                  <c:v>255.20000000000002</c:v>
                </c:pt>
                <c:pt idx="202">
                  <c:v>240.60000000000002</c:v>
                </c:pt>
                <c:pt idx="203">
                  <c:v>211.50000000000003</c:v>
                </c:pt>
                <c:pt idx="204">
                  <c:v>180.5</c:v>
                </c:pt>
                <c:pt idx="205">
                  <c:v>156.4</c:v>
                </c:pt>
                <c:pt idx="206">
                  <c:v>143.9</c:v>
                </c:pt>
                <c:pt idx="207">
                  <c:v>140.79999999999998</c:v>
                </c:pt>
                <c:pt idx="208">
                  <c:v>147.9</c:v>
                </c:pt>
                <c:pt idx="209">
                  <c:v>159.30000000000001</c:v>
                </c:pt>
                <c:pt idx="210">
                  <c:v>172.10000000000002</c:v>
                </c:pt>
                <c:pt idx="211">
                  <c:v>180.8</c:v>
                </c:pt>
                <c:pt idx="212">
                  <c:v>180.5</c:v>
                </c:pt>
                <c:pt idx="213">
                  <c:v>166.70000000000002</c:v>
                </c:pt>
                <c:pt idx="214">
                  <c:v>146</c:v>
                </c:pt>
                <c:pt idx="215">
                  <c:v>125.4</c:v>
                </c:pt>
                <c:pt idx="216">
                  <c:v>104.69999999999999</c:v>
                </c:pt>
                <c:pt idx="217">
                  <c:v>90.600000000000009</c:v>
                </c:pt>
                <c:pt idx="218">
                  <c:v>87.1</c:v>
                </c:pt>
                <c:pt idx="219">
                  <c:v>102.4</c:v>
                </c:pt>
                <c:pt idx="220">
                  <c:v>131.4</c:v>
                </c:pt>
                <c:pt idx="221">
                  <c:v>166.79999999999998</c:v>
                </c:pt>
                <c:pt idx="222">
                  <c:v>199.3</c:v>
                </c:pt>
                <c:pt idx="223">
                  <c:v>225</c:v>
                </c:pt>
                <c:pt idx="224">
                  <c:v>240.20000000000002</c:v>
                </c:pt>
                <c:pt idx="225">
                  <c:v>242.20000000000002</c:v>
                </c:pt>
                <c:pt idx="226">
                  <c:v>235.70000000000002</c:v>
                </c:pt>
                <c:pt idx="227">
                  <c:v>218.29999999999998</c:v>
                </c:pt>
                <c:pt idx="228">
                  <c:v>192.3</c:v>
                </c:pt>
                <c:pt idx="229">
                  <c:v>170.5</c:v>
                </c:pt>
                <c:pt idx="230">
                  <c:v>155.6</c:v>
                </c:pt>
                <c:pt idx="231">
                  <c:v>147.30000000000001</c:v>
                </c:pt>
                <c:pt idx="232">
                  <c:v>147.9</c:v>
                </c:pt>
                <c:pt idx="233">
                  <c:v>157.29999999999998</c:v>
                </c:pt>
                <c:pt idx="234">
                  <c:v>167.3</c:v>
                </c:pt>
                <c:pt idx="235">
                  <c:v>178.9</c:v>
                </c:pt>
                <c:pt idx="236">
                  <c:v>183.20000000000002</c:v>
                </c:pt>
                <c:pt idx="237">
                  <c:v>175.5</c:v>
                </c:pt>
                <c:pt idx="238">
                  <c:v>155.6</c:v>
                </c:pt>
                <c:pt idx="239">
                  <c:v>137.5</c:v>
                </c:pt>
                <c:pt idx="240">
                  <c:v>119.7</c:v>
                </c:pt>
                <c:pt idx="241">
                  <c:v>105.80000000000001</c:v>
                </c:pt>
                <c:pt idx="242">
                  <c:v>102.8</c:v>
                </c:pt>
                <c:pt idx="243">
                  <c:v>110.00000000000001</c:v>
                </c:pt>
                <c:pt idx="244">
                  <c:v>130.69999999999999</c:v>
                </c:pt>
                <c:pt idx="245">
                  <c:v>159.30000000000001</c:v>
                </c:pt>
                <c:pt idx="246">
                  <c:v>188.6</c:v>
                </c:pt>
                <c:pt idx="247">
                  <c:v>209.60000000000002</c:v>
                </c:pt>
                <c:pt idx="248">
                  <c:v>224.10000000000002</c:v>
                </c:pt>
                <c:pt idx="249">
                  <c:v>230.29999999999998</c:v>
                </c:pt>
                <c:pt idx="250">
                  <c:v>224.7</c:v>
                </c:pt>
                <c:pt idx="251">
                  <c:v>212.4</c:v>
                </c:pt>
                <c:pt idx="252">
                  <c:v>198.6</c:v>
                </c:pt>
                <c:pt idx="253">
                  <c:v>180.8</c:v>
                </c:pt>
                <c:pt idx="254">
                  <c:v>162.9</c:v>
                </c:pt>
                <c:pt idx="255">
                  <c:v>153.5</c:v>
                </c:pt>
                <c:pt idx="256">
                  <c:v>150.19999999999999</c:v>
                </c:pt>
                <c:pt idx="257">
                  <c:v>151.10000000000002</c:v>
                </c:pt>
                <c:pt idx="258">
                  <c:v>159.5</c:v>
                </c:pt>
                <c:pt idx="259">
                  <c:v>172.4</c:v>
                </c:pt>
                <c:pt idx="260">
                  <c:v>179.6</c:v>
                </c:pt>
                <c:pt idx="261">
                  <c:v>176.6</c:v>
                </c:pt>
                <c:pt idx="262">
                  <c:v>164</c:v>
                </c:pt>
                <c:pt idx="263">
                  <c:v>149.5</c:v>
                </c:pt>
                <c:pt idx="264">
                  <c:v>137.30000000000001</c:v>
                </c:pt>
                <c:pt idx="265">
                  <c:v>127.1</c:v>
                </c:pt>
                <c:pt idx="266">
                  <c:v>123.4</c:v>
                </c:pt>
                <c:pt idx="267">
                  <c:v>127.3</c:v>
                </c:pt>
                <c:pt idx="268">
                  <c:v>135.20000000000002</c:v>
                </c:pt>
                <c:pt idx="269">
                  <c:v>152.6</c:v>
                </c:pt>
                <c:pt idx="270">
                  <c:v>173.9</c:v>
                </c:pt>
                <c:pt idx="271">
                  <c:v>190.5</c:v>
                </c:pt>
                <c:pt idx="272">
                  <c:v>203.9</c:v>
                </c:pt>
                <c:pt idx="273">
                  <c:v>208.70000000000002</c:v>
                </c:pt>
                <c:pt idx="274">
                  <c:v>207.7</c:v>
                </c:pt>
                <c:pt idx="275">
                  <c:v>203.6</c:v>
                </c:pt>
                <c:pt idx="276">
                  <c:v>197.6</c:v>
                </c:pt>
                <c:pt idx="277">
                  <c:v>187.3</c:v>
                </c:pt>
                <c:pt idx="278">
                  <c:v>176.5</c:v>
                </c:pt>
                <c:pt idx="279">
                  <c:v>163.19999999999999</c:v>
                </c:pt>
                <c:pt idx="280">
                  <c:v>157.80000000000001</c:v>
                </c:pt>
                <c:pt idx="281">
                  <c:v>153.80000000000001</c:v>
                </c:pt>
                <c:pt idx="282">
                  <c:v>154.4</c:v>
                </c:pt>
                <c:pt idx="283">
                  <c:v>162.1</c:v>
                </c:pt>
                <c:pt idx="284">
                  <c:v>170.4</c:v>
                </c:pt>
                <c:pt idx="285">
                  <c:v>172.10000000000002</c:v>
                </c:pt>
                <c:pt idx="286">
                  <c:v>169.3</c:v>
                </c:pt>
                <c:pt idx="287">
                  <c:v>161</c:v>
                </c:pt>
                <c:pt idx="288">
                  <c:v>149.6</c:v>
                </c:pt>
                <c:pt idx="289">
                  <c:v>143.70000000000002</c:v>
                </c:pt>
                <c:pt idx="290">
                  <c:v>143.1</c:v>
                </c:pt>
                <c:pt idx="291">
                  <c:v>146.6</c:v>
                </c:pt>
                <c:pt idx="292">
                  <c:v>153.9</c:v>
                </c:pt>
                <c:pt idx="293">
                  <c:v>163.6</c:v>
                </c:pt>
                <c:pt idx="294">
                  <c:v>170.70000000000002</c:v>
                </c:pt>
                <c:pt idx="295">
                  <c:v>179.7</c:v>
                </c:pt>
                <c:pt idx="296">
                  <c:v>184.3</c:v>
                </c:pt>
                <c:pt idx="297">
                  <c:v>187.4</c:v>
                </c:pt>
                <c:pt idx="298">
                  <c:v>189.9</c:v>
                </c:pt>
                <c:pt idx="299">
                  <c:v>192.4</c:v>
                </c:pt>
                <c:pt idx="300">
                  <c:v>189.39999999999998</c:v>
                </c:pt>
                <c:pt idx="301">
                  <c:v>183.5</c:v>
                </c:pt>
                <c:pt idx="302">
                  <c:v>178.9</c:v>
                </c:pt>
                <c:pt idx="303">
                  <c:v>167.4</c:v>
                </c:pt>
                <c:pt idx="304">
                  <c:v>157.6</c:v>
                </c:pt>
                <c:pt idx="305">
                  <c:v>150.89999999999998</c:v>
                </c:pt>
                <c:pt idx="306">
                  <c:v>146.80000000000001</c:v>
                </c:pt>
                <c:pt idx="307">
                  <c:v>148.4</c:v>
                </c:pt>
                <c:pt idx="308">
                  <c:v>152.69999999999999</c:v>
                </c:pt>
                <c:pt idx="309">
                  <c:v>154.4</c:v>
                </c:pt>
                <c:pt idx="310">
                  <c:v>158.4</c:v>
                </c:pt>
                <c:pt idx="311">
                  <c:v>156.9</c:v>
                </c:pt>
                <c:pt idx="312">
                  <c:v>162</c:v>
                </c:pt>
                <c:pt idx="313">
                  <c:v>167.6</c:v>
                </c:pt>
                <c:pt idx="314">
                  <c:v>166.9</c:v>
                </c:pt>
                <c:pt idx="315">
                  <c:v>169.9</c:v>
                </c:pt>
                <c:pt idx="316">
                  <c:v>171.4</c:v>
                </c:pt>
                <c:pt idx="317">
                  <c:v>171.4</c:v>
                </c:pt>
                <c:pt idx="318">
                  <c:v>171.2</c:v>
                </c:pt>
                <c:pt idx="319">
                  <c:v>173</c:v>
                </c:pt>
                <c:pt idx="320">
                  <c:v>175.2</c:v>
                </c:pt>
                <c:pt idx="321">
                  <c:v>172.3</c:v>
                </c:pt>
                <c:pt idx="322">
                  <c:v>171.5</c:v>
                </c:pt>
                <c:pt idx="323">
                  <c:v>173.9</c:v>
                </c:pt>
                <c:pt idx="324">
                  <c:v>178.5</c:v>
                </c:pt>
                <c:pt idx="325">
                  <c:v>182.20000000000002</c:v>
                </c:pt>
                <c:pt idx="326">
                  <c:v>182.29999999999998</c:v>
                </c:pt>
                <c:pt idx="327">
                  <c:v>176.6</c:v>
                </c:pt>
                <c:pt idx="328">
                  <c:v>168.4</c:v>
                </c:pt>
                <c:pt idx="329">
                  <c:v>154.80000000000001</c:v>
                </c:pt>
                <c:pt idx="330">
                  <c:v>142.19999999999999</c:v>
                </c:pt>
                <c:pt idx="331">
                  <c:v>136.5</c:v>
                </c:pt>
                <c:pt idx="332">
                  <c:v>137.30000000000001</c:v>
                </c:pt>
                <c:pt idx="333">
                  <c:v>139.30000000000001</c:v>
                </c:pt>
                <c:pt idx="334">
                  <c:v>145.79999999999998</c:v>
                </c:pt>
                <c:pt idx="335">
                  <c:v>156.1</c:v>
                </c:pt>
                <c:pt idx="336">
                  <c:v>169.6</c:v>
                </c:pt>
                <c:pt idx="337">
                  <c:v>181.6</c:v>
                </c:pt>
                <c:pt idx="338">
                  <c:v>190.3</c:v>
                </c:pt>
                <c:pt idx="339">
                  <c:v>196.8</c:v>
                </c:pt>
                <c:pt idx="340">
                  <c:v>201.2</c:v>
                </c:pt>
                <c:pt idx="341">
                  <c:v>200</c:v>
                </c:pt>
                <c:pt idx="342">
                  <c:v>191.3</c:v>
                </c:pt>
                <c:pt idx="343">
                  <c:v>182</c:v>
                </c:pt>
                <c:pt idx="344">
                  <c:v>172.2</c:v>
                </c:pt>
                <c:pt idx="345">
                  <c:v>164.79999999999998</c:v>
                </c:pt>
                <c:pt idx="346">
                  <c:v>160</c:v>
                </c:pt>
                <c:pt idx="347">
                  <c:v>158.1</c:v>
                </c:pt>
                <c:pt idx="348">
                  <c:v>160.80000000000001</c:v>
                </c:pt>
                <c:pt idx="349">
                  <c:v>166.4</c:v>
                </c:pt>
                <c:pt idx="350">
                  <c:v>174.3</c:v>
                </c:pt>
                <c:pt idx="351">
                  <c:v>178</c:v>
                </c:pt>
                <c:pt idx="352">
                  <c:v>171.8</c:v>
                </c:pt>
                <c:pt idx="353">
                  <c:v>161.69999999999999</c:v>
                </c:pt>
                <c:pt idx="354">
                  <c:v>149.30000000000001</c:v>
                </c:pt>
                <c:pt idx="355">
                  <c:v>136.80000000000001</c:v>
                </c:pt>
                <c:pt idx="356">
                  <c:v>124.30000000000001</c:v>
                </c:pt>
                <c:pt idx="357">
                  <c:v>119.8</c:v>
                </c:pt>
                <c:pt idx="358">
                  <c:v>123.8</c:v>
                </c:pt>
                <c:pt idx="359">
                  <c:v>138.79999999999998</c:v>
                </c:pt>
                <c:pt idx="360">
                  <c:v>159.20000000000002</c:v>
                </c:pt>
                <c:pt idx="361">
                  <c:v>181.9</c:v>
                </c:pt>
                <c:pt idx="362">
                  <c:v>204.8</c:v>
                </c:pt>
                <c:pt idx="363">
                  <c:v>223.8</c:v>
                </c:pt>
                <c:pt idx="364">
                  <c:v>234.79999999999998</c:v>
                </c:pt>
                <c:pt idx="365">
                  <c:v>230.9</c:v>
                </c:pt>
                <c:pt idx="366">
                  <c:v>220.00000000000003</c:v>
                </c:pt>
                <c:pt idx="367">
                  <c:v>200.89999999999998</c:v>
                </c:pt>
                <c:pt idx="368">
                  <c:v>179.7</c:v>
                </c:pt>
                <c:pt idx="369">
                  <c:v>161</c:v>
                </c:pt>
                <c:pt idx="370">
                  <c:v>148</c:v>
                </c:pt>
                <c:pt idx="371">
                  <c:v>140</c:v>
                </c:pt>
                <c:pt idx="372">
                  <c:v>145.4</c:v>
                </c:pt>
                <c:pt idx="373">
                  <c:v>151.6</c:v>
                </c:pt>
                <c:pt idx="374">
                  <c:v>160.69999999999999</c:v>
                </c:pt>
                <c:pt idx="375">
                  <c:v>169</c:v>
                </c:pt>
                <c:pt idx="376">
                  <c:v>169</c:v>
                </c:pt>
                <c:pt idx="377">
                  <c:v>161.9</c:v>
                </c:pt>
                <c:pt idx="378">
                  <c:v>147.19999999999999</c:v>
                </c:pt>
                <c:pt idx="379">
                  <c:v>130.1</c:v>
                </c:pt>
                <c:pt idx="380">
                  <c:v>112.6</c:v>
                </c:pt>
                <c:pt idx="381">
                  <c:v>102.49999999999999</c:v>
                </c:pt>
                <c:pt idx="382">
                  <c:v>102.8</c:v>
                </c:pt>
                <c:pt idx="383">
                  <c:v>115.3</c:v>
                </c:pt>
                <c:pt idx="384">
                  <c:v>140.9</c:v>
                </c:pt>
                <c:pt idx="385">
                  <c:v>171.4</c:v>
                </c:pt>
                <c:pt idx="386">
                  <c:v>202.59999999999997</c:v>
                </c:pt>
                <c:pt idx="387">
                  <c:v>231.5</c:v>
                </c:pt>
                <c:pt idx="388">
                  <c:v>252.1</c:v>
                </c:pt>
                <c:pt idx="389">
                  <c:v>259.7</c:v>
                </c:pt>
                <c:pt idx="390">
                  <c:v>254.5</c:v>
                </c:pt>
                <c:pt idx="391">
                  <c:v>233.8</c:v>
                </c:pt>
                <c:pt idx="392">
                  <c:v>206.1</c:v>
                </c:pt>
                <c:pt idx="393">
                  <c:v>175.6</c:v>
                </c:pt>
                <c:pt idx="394">
                  <c:v>152.6</c:v>
                </c:pt>
                <c:pt idx="395">
                  <c:v>137.5</c:v>
                </c:pt>
                <c:pt idx="396">
                  <c:v>133.69999999999999</c:v>
                </c:pt>
                <c:pt idx="397">
                  <c:v>140.9</c:v>
                </c:pt>
                <c:pt idx="398">
                  <c:v>151.89999999999998</c:v>
                </c:pt>
                <c:pt idx="399">
                  <c:v>161.30000000000001</c:v>
                </c:pt>
                <c:pt idx="400">
                  <c:v>165</c:v>
                </c:pt>
                <c:pt idx="401">
                  <c:v>159.60000000000002</c:v>
                </c:pt>
                <c:pt idx="402">
                  <c:v>147.19999999999999</c:v>
                </c:pt>
                <c:pt idx="403">
                  <c:v>130.80000000000001</c:v>
                </c:pt>
                <c:pt idx="404">
                  <c:v>112.6</c:v>
                </c:pt>
                <c:pt idx="405">
                  <c:v>94.399999999999991</c:v>
                </c:pt>
                <c:pt idx="406">
                  <c:v>88.4</c:v>
                </c:pt>
                <c:pt idx="407">
                  <c:v>93.600000000000009</c:v>
                </c:pt>
                <c:pt idx="408">
                  <c:v>115.9</c:v>
                </c:pt>
                <c:pt idx="409">
                  <c:v>149</c:v>
                </c:pt>
                <c:pt idx="410">
                  <c:v>187.1</c:v>
                </c:pt>
                <c:pt idx="411">
                  <c:v>225.70000000000002</c:v>
                </c:pt>
                <c:pt idx="412">
                  <c:v>255.39999999999998</c:v>
                </c:pt>
                <c:pt idx="413">
                  <c:v>273</c:v>
                </c:pt>
                <c:pt idx="414">
                  <c:v>274.7</c:v>
                </c:pt>
                <c:pt idx="415">
                  <c:v>259.8</c:v>
                </c:pt>
                <c:pt idx="416">
                  <c:v>231.9</c:v>
                </c:pt>
                <c:pt idx="417">
                  <c:v>199</c:v>
                </c:pt>
                <c:pt idx="418">
                  <c:v>169.2</c:v>
                </c:pt>
                <c:pt idx="419">
                  <c:v>142.19999999999999</c:v>
                </c:pt>
                <c:pt idx="420">
                  <c:v>129.69999999999999</c:v>
                </c:pt>
                <c:pt idx="421">
                  <c:v>129</c:v>
                </c:pt>
                <c:pt idx="422">
                  <c:v>138.6</c:v>
                </c:pt>
                <c:pt idx="423">
                  <c:v>149.70000000000002</c:v>
                </c:pt>
                <c:pt idx="424">
                  <c:v>157.80000000000001</c:v>
                </c:pt>
                <c:pt idx="425">
                  <c:v>157.5</c:v>
                </c:pt>
                <c:pt idx="426">
                  <c:v>146.9</c:v>
                </c:pt>
                <c:pt idx="427">
                  <c:v>131.9</c:v>
                </c:pt>
                <c:pt idx="428">
                  <c:v>113.39999999999999</c:v>
                </c:pt>
                <c:pt idx="429">
                  <c:v>94.699999999999989</c:v>
                </c:pt>
                <c:pt idx="430">
                  <c:v>78.100000000000009</c:v>
                </c:pt>
                <c:pt idx="431">
                  <c:v>74.8</c:v>
                </c:pt>
                <c:pt idx="432">
                  <c:v>88.9</c:v>
                </c:pt>
                <c:pt idx="433">
                  <c:v>119.39999999999999</c:v>
                </c:pt>
                <c:pt idx="434">
                  <c:v>161.4</c:v>
                </c:pt>
                <c:pt idx="435">
                  <c:v>208.9</c:v>
                </c:pt>
                <c:pt idx="436">
                  <c:v>247.40000000000003</c:v>
                </c:pt>
                <c:pt idx="437">
                  <c:v>276.90000000000003</c:v>
                </c:pt>
                <c:pt idx="438">
                  <c:v>288</c:v>
                </c:pt>
                <c:pt idx="439">
                  <c:v>281.2</c:v>
                </c:pt>
                <c:pt idx="440">
                  <c:v>256.8</c:v>
                </c:pt>
                <c:pt idx="441">
                  <c:v>222.5</c:v>
                </c:pt>
                <c:pt idx="442">
                  <c:v>190.39999999999998</c:v>
                </c:pt>
                <c:pt idx="443">
                  <c:v>158.5</c:v>
                </c:pt>
                <c:pt idx="444">
                  <c:v>138.1</c:v>
                </c:pt>
                <c:pt idx="445">
                  <c:v>128.1</c:v>
                </c:pt>
                <c:pt idx="446">
                  <c:v>129.5</c:v>
                </c:pt>
                <c:pt idx="447">
                  <c:v>142.5</c:v>
                </c:pt>
                <c:pt idx="448">
                  <c:v>149.19999999999999</c:v>
                </c:pt>
                <c:pt idx="449">
                  <c:v>155.9</c:v>
                </c:pt>
                <c:pt idx="450">
                  <c:v>151.1</c:v>
                </c:pt>
                <c:pt idx="451">
                  <c:v>136.80000000000001</c:v>
                </c:pt>
                <c:pt idx="452">
                  <c:v>119</c:v>
                </c:pt>
                <c:pt idx="453">
                  <c:v>100.1</c:v>
                </c:pt>
                <c:pt idx="454">
                  <c:v>83</c:v>
                </c:pt>
                <c:pt idx="455">
                  <c:v>65.3</c:v>
                </c:pt>
                <c:pt idx="456">
                  <c:v>65.2</c:v>
                </c:pt>
                <c:pt idx="457">
                  <c:v>86.8</c:v>
                </c:pt>
                <c:pt idx="458">
                  <c:v>125.2</c:v>
                </c:pt>
                <c:pt idx="459">
                  <c:v>174.8</c:v>
                </c:pt>
                <c:pt idx="460">
                  <c:v>225.89999999999998</c:v>
                </c:pt>
                <c:pt idx="461">
                  <c:v>264.5</c:v>
                </c:pt>
                <c:pt idx="462">
                  <c:v>287</c:v>
                </c:pt>
                <c:pt idx="463">
                  <c:v>288.89999999999998</c:v>
                </c:pt>
                <c:pt idx="464">
                  <c:v>271.09999999999997</c:v>
                </c:pt>
                <c:pt idx="465">
                  <c:v>242.20000000000002</c:v>
                </c:pt>
                <c:pt idx="466">
                  <c:v>210.8</c:v>
                </c:pt>
                <c:pt idx="467">
                  <c:v>178.5</c:v>
                </c:pt>
                <c:pt idx="468">
                  <c:v>155</c:v>
                </c:pt>
                <c:pt idx="469">
                  <c:v>138.19999999999999</c:v>
                </c:pt>
                <c:pt idx="470">
                  <c:v>132.5</c:v>
                </c:pt>
                <c:pt idx="471">
                  <c:v>138.5</c:v>
                </c:pt>
                <c:pt idx="472">
                  <c:v>149.80000000000001</c:v>
                </c:pt>
                <c:pt idx="473">
                  <c:v>157.69999999999999</c:v>
                </c:pt>
                <c:pt idx="474">
                  <c:v>158.4</c:v>
                </c:pt>
                <c:pt idx="475">
                  <c:v>147.5</c:v>
                </c:pt>
                <c:pt idx="476">
                  <c:v>129.5</c:v>
                </c:pt>
                <c:pt idx="477">
                  <c:v>105.4</c:v>
                </c:pt>
                <c:pt idx="478">
                  <c:v>80.800000000000011</c:v>
                </c:pt>
                <c:pt idx="479">
                  <c:v>62.6</c:v>
                </c:pt>
                <c:pt idx="480">
                  <c:v>56.000000000000007</c:v>
                </c:pt>
                <c:pt idx="481">
                  <c:v>68.5</c:v>
                </c:pt>
                <c:pt idx="482">
                  <c:v>95.8</c:v>
                </c:pt>
                <c:pt idx="483">
                  <c:v>142.6</c:v>
                </c:pt>
                <c:pt idx="484">
                  <c:v>192.1</c:v>
                </c:pt>
                <c:pt idx="485">
                  <c:v>237.5</c:v>
                </c:pt>
                <c:pt idx="486">
                  <c:v>272.5</c:v>
                </c:pt>
                <c:pt idx="487">
                  <c:v>286.2</c:v>
                </c:pt>
                <c:pt idx="488">
                  <c:v>281.5</c:v>
                </c:pt>
                <c:pt idx="489">
                  <c:v>261</c:v>
                </c:pt>
                <c:pt idx="490">
                  <c:v>227.3</c:v>
                </c:pt>
                <c:pt idx="491">
                  <c:v>195.79999999999998</c:v>
                </c:pt>
                <c:pt idx="492">
                  <c:v>171</c:v>
                </c:pt>
                <c:pt idx="493">
                  <c:v>152.4</c:v>
                </c:pt>
                <c:pt idx="494">
                  <c:v>141.9</c:v>
                </c:pt>
                <c:pt idx="495">
                  <c:v>139</c:v>
                </c:pt>
                <c:pt idx="496">
                  <c:v>150.5</c:v>
                </c:pt>
                <c:pt idx="497">
                  <c:v>161.4</c:v>
                </c:pt>
                <c:pt idx="498">
                  <c:v>168.70000000000002</c:v>
                </c:pt>
                <c:pt idx="499">
                  <c:v>162.1</c:v>
                </c:pt>
                <c:pt idx="500">
                  <c:v>150.5</c:v>
                </c:pt>
                <c:pt idx="501">
                  <c:v>125.4</c:v>
                </c:pt>
                <c:pt idx="502">
                  <c:v>101.2</c:v>
                </c:pt>
                <c:pt idx="503">
                  <c:v>81.5</c:v>
                </c:pt>
                <c:pt idx="504">
                  <c:v>68.8</c:v>
                </c:pt>
                <c:pt idx="505">
                  <c:v>61.5</c:v>
                </c:pt>
                <c:pt idx="506">
                  <c:v>77.8</c:v>
                </c:pt>
                <c:pt idx="507">
                  <c:v>111.00000000000001</c:v>
                </c:pt>
                <c:pt idx="508">
                  <c:v>159.69999999999999</c:v>
                </c:pt>
                <c:pt idx="509">
                  <c:v>208.5</c:v>
                </c:pt>
                <c:pt idx="510">
                  <c:v>246.60000000000002</c:v>
                </c:pt>
                <c:pt idx="511">
                  <c:v>268.5</c:v>
                </c:pt>
                <c:pt idx="512">
                  <c:v>270.40000000000003</c:v>
                </c:pt>
                <c:pt idx="513">
                  <c:v>264.8</c:v>
                </c:pt>
                <c:pt idx="514">
                  <c:v>242.70000000000002</c:v>
                </c:pt>
                <c:pt idx="515">
                  <c:v>208.1</c:v>
                </c:pt>
                <c:pt idx="516">
                  <c:v>178.9</c:v>
                </c:pt>
                <c:pt idx="517">
                  <c:v>162.79999999999998</c:v>
                </c:pt>
                <c:pt idx="518">
                  <c:v>146.69999999999999</c:v>
                </c:pt>
                <c:pt idx="519">
                  <c:v>144.5</c:v>
                </c:pt>
                <c:pt idx="520">
                  <c:v>151.5</c:v>
                </c:pt>
                <c:pt idx="521">
                  <c:v>162.20000000000002</c:v>
                </c:pt>
                <c:pt idx="522">
                  <c:v>171.2</c:v>
                </c:pt>
                <c:pt idx="523">
                  <c:v>173.4</c:v>
                </c:pt>
                <c:pt idx="524">
                  <c:v>165.79999999999998</c:v>
                </c:pt>
                <c:pt idx="525">
                  <c:v>150</c:v>
                </c:pt>
                <c:pt idx="526">
                  <c:v>129.1</c:v>
                </c:pt>
                <c:pt idx="527">
                  <c:v>105.80000000000001</c:v>
                </c:pt>
                <c:pt idx="528">
                  <c:v>83.399999999999991</c:v>
                </c:pt>
                <c:pt idx="529">
                  <c:v>71.2</c:v>
                </c:pt>
                <c:pt idx="530">
                  <c:v>72.8</c:v>
                </c:pt>
                <c:pt idx="531">
                  <c:v>91</c:v>
                </c:pt>
                <c:pt idx="532">
                  <c:v>126.8</c:v>
                </c:pt>
                <c:pt idx="533">
                  <c:v>176.5</c:v>
                </c:pt>
                <c:pt idx="534">
                  <c:v>219.70000000000002</c:v>
                </c:pt>
                <c:pt idx="535">
                  <c:v>253.2</c:v>
                </c:pt>
                <c:pt idx="536">
                  <c:v>264.2</c:v>
                </c:pt>
                <c:pt idx="537">
                  <c:v>258</c:v>
                </c:pt>
                <c:pt idx="538">
                  <c:v>244.3</c:v>
                </c:pt>
                <c:pt idx="539">
                  <c:v>217.1</c:v>
                </c:pt>
                <c:pt idx="540">
                  <c:v>189.7</c:v>
                </c:pt>
                <c:pt idx="541">
                  <c:v>165.6</c:v>
                </c:pt>
                <c:pt idx="542">
                  <c:v>147.9</c:v>
                </c:pt>
                <c:pt idx="543">
                  <c:v>140.5</c:v>
                </c:pt>
                <c:pt idx="544">
                  <c:v>146.70000000000002</c:v>
                </c:pt>
                <c:pt idx="545">
                  <c:v>160.80000000000001</c:v>
                </c:pt>
                <c:pt idx="546">
                  <c:v>174.70000000000002</c:v>
                </c:pt>
                <c:pt idx="547">
                  <c:v>182.4</c:v>
                </c:pt>
                <c:pt idx="548">
                  <c:v>182.1</c:v>
                </c:pt>
                <c:pt idx="549">
                  <c:v>168.3</c:v>
                </c:pt>
                <c:pt idx="550">
                  <c:v>148.5</c:v>
                </c:pt>
                <c:pt idx="551">
                  <c:v>128.69999999999999</c:v>
                </c:pt>
                <c:pt idx="552">
                  <c:v>111.80000000000001</c:v>
                </c:pt>
                <c:pt idx="553">
                  <c:v>93.899999999999991</c:v>
                </c:pt>
                <c:pt idx="554">
                  <c:v>89.2</c:v>
                </c:pt>
                <c:pt idx="555">
                  <c:v>97.3</c:v>
                </c:pt>
                <c:pt idx="556">
                  <c:v>118.6</c:v>
                </c:pt>
                <c:pt idx="557">
                  <c:v>152.4</c:v>
                </c:pt>
                <c:pt idx="558">
                  <c:v>195.9</c:v>
                </c:pt>
                <c:pt idx="559">
                  <c:v>232.10000000000002</c:v>
                </c:pt>
                <c:pt idx="560">
                  <c:v>250.4</c:v>
                </c:pt>
                <c:pt idx="561">
                  <c:v>250.1</c:v>
                </c:pt>
                <c:pt idx="562">
                  <c:v>241.1</c:v>
                </c:pt>
                <c:pt idx="563">
                  <c:v>223.8</c:v>
                </c:pt>
                <c:pt idx="564">
                  <c:v>199.8</c:v>
                </c:pt>
                <c:pt idx="565">
                  <c:v>176.6</c:v>
                </c:pt>
                <c:pt idx="566">
                  <c:v>155</c:v>
                </c:pt>
                <c:pt idx="567">
                  <c:v>140.69999999999999</c:v>
                </c:pt>
                <c:pt idx="568">
                  <c:v>141.4</c:v>
                </c:pt>
                <c:pt idx="569">
                  <c:v>154.5</c:v>
                </c:pt>
                <c:pt idx="570">
                  <c:v>170</c:v>
                </c:pt>
                <c:pt idx="571">
                  <c:v>181.7</c:v>
                </c:pt>
                <c:pt idx="572">
                  <c:v>188.1</c:v>
                </c:pt>
                <c:pt idx="573">
                  <c:v>184.4</c:v>
                </c:pt>
                <c:pt idx="574">
                  <c:v>171.9</c:v>
                </c:pt>
                <c:pt idx="575">
                  <c:v>153.69999999999999</c:v>
                </c:pt>
                <c:pt idx="576">
                  <c:v>134.9</c:v>
                </c:pt>
                <c:pt idx="577">
                  <c:v>121.9</c:v>
                </c:pt>
                <c:pt idx="578">
                  <c:v>111.60000000000001</c:v>
                </c:pt>
                <c:pt idx="579">
                  <c:v>113.9</c:v>
                </c:pt>
                <c:pt idx="580">
                  <c:v>122</c:v>
                </c:pt>
                <c:pt idx="581">
                  <c:v>143.5</c:v>
                </c:pt>
                <c:pt idx="582">
                  <c:v>176.8</c:v>
                </c:pt>
                <c:pt idx="583">
                  <c:v>208.8</c:v>
                </c:pt>
                <c:pt idx="584">
                  <c:v>230.29999999999998</c:v>
                </c:pt>
                <c:pt idx="585">
                  <c:v>237.9</c:v>
                </c:pt>
                <c:pt idx="586">
                  <c:v>233.8</c:v>
                </c:pt>
                <c:pt idx="587">
                  <c:v>222.10000000000002</c:v>
                </c:pt>
                <c:pt idx="588">
                  <c:v>204.2</c:v>
                </c:pt>
                <c:pt idx="589">
                  <c:v>184.9</c:v>
                </c:pt>
                <c:pt idx="590">
                  <c:v>161.4</c:v>
                </c:pt>
                <c:pt idx="591">
                  <c:v>142.5</c:v>
                </c:pt>
                <c:pt idx="592">
                  <c:v>137.9</c:v>
                </c:pt>
                <c:pt idx="593">
                  <c:v>143.1</c:v>
                </c:pt>
                <c:pt idx="594">
                  <c:v>152.4</c:v>
                </c:pt>
                <c:pt idx="595">
                  <c:v>167.6</c:v>
                </c:pt>
                <c:pt idx="596">
                  <c:v>178</c:v>
                </c:pt>
                <c:pt idx="597">
                  <c:v>183.1</c:v>
                </c:pt>
                <c:pt idx="598">
                  <c:v>181</c:v>
                </c:pt>
                <c:pt idx="599">
                  <c:v>167.9</c:v>
                </c:pt>
                <c:pt idx="600">
                  <c:v>156.9</c:v>
                </c:pt>
                <c:pt idx="601">
                  <c:v>143.30000000000001</c:v>
                </c:pt>
                <c:pt idx="602">
                  <c:v>133.80000000000001</c:v>
                </c:pt>
                <c:pt idx="603">
                  <c:v>134</c:v>
                </c:pt>
                <c:pt idx="604">
                  <c:v>138.1</c:v>
                </c:pt>
                <c:pt idx="605">
                  <c:v>146.70000000000002</c:v>
                </c:pt>
                <c:pt idx="606">
                  <c:v>165.7</c:v>
                </c:pt>
                <c:pt idx="607">
                  <c:v>191.2</c:v>
                </c:pt>
                <c:pt idx="608">
                  <c:v>208.70000000000002</c:v>
                </c:pt>
                <c:pt idx="609">
                  <c:v>218.5</c:v>
                </c:pt>
                <c:pt idx="610">
                  <c:v>221.89999999999998</c:v>
                </c:pt>
                <c:pt idx="611">
                  <c:v>217</c:v>
                </c:pt>
                <c:pt idx="612">
                  <c:v>205.7</c:v>
                </c:pt>
                <c:pt idx="613">
                  <c:v>185.5</c:v>
                </c:pt>
                <c:pt idx="614">
                  <c:v>165.3</c:v>
                </c:pt>
                <c:pt idx="615">
                  <c:v>146.4</c:v>
                </c:pt>
                <c:pt idx="616">
                  <c:v>133.4</c:v>
                </c:pt>
                <c:pt idx="617">
                  <c:v>127.89999999999999</c:v>
                </c:pt>
                <c:pt idx="618">
                  <c:v>133.69999999999999</c:v>
                </c:pt>
                <c:pt idx="619">
                  <c:v>142.9</c:v>
                </c:pt>
                <c:pt idx="620">
                  <c:v>154</c:v>
                </c:pt>
                <c:pt idx="621">
                  <c:v>164.39999999999998</c:v>
                </c:pt>
                <c:pt idx="622">
                  <c:v>176.1</c:v>
                </c:pt>
                <c:pt idx="623">
                  <c:v>179.6</c:v>
                </c:pt>
                <c:pt idx="624">
                  <c:v>179</c:v>
                </c:pt>
                <c:pt idx="625">
                  <c:v>172.4</c:v>
                </c:pt>
                <c:pt idx="626">
                  <c:v>161.69999999999999</c:v>
                </c:pt>
                <c:pt idx="627">
                  <c:v>156.6</c:v>
                </c:pt>
                <c:pt idx="628">
                  <c:v>153.19999999999999</c:v>
                </c:pt>
                <c:pt idx="629">
                  <c:v>156.80000000000001</c:v>
                </c:pt>
                <c:pt idx="630">
                  <c:v>166.5</c:v>
                </c:pt>
                <c:pt idx="631">
                  <c:v>178.4</c:v>
                </c:pt>
                <c:pt idx="632">
                  <c:v>193.79999999999998</c:v>
                </c:pt>
                <c:pt idx="633">
                  <c:v>197.3</c:v>
                </c:pt>
                <c:pt idx="634">
                  <c:v>197</c:v>
                </c:pt>
                <c:pt idx="635">
                  <c:v>194.4</c:v>
                </c:pt>
                <c:pt idx="636">
                  <c:v>182.4</c:v>
                </c:pt>
                <c:pt idx="637">
                  <c:v>173.5</c:v>
                </c:pt>
                <c:pt idx="638">
                  <c:v>163.69999999999999</c:v>
                </c:pt>
                <c:pt idx="639">
                  <c:v>148.10000000000002</c:v>
                </c:pt>
                <c:pt idx="640">
                  <c:v>133.20000000000002</c:v>
                </c:pt>
                <c:pt idx="641">
                  <c:v>124.70000000000002</c:v>
                </c:pt>
                <c:pt idx="642">
                  <c:v>119.6</c:v>
                </c:pt>
                <c:pt idx="643">
                  <c:v>121.39999999999999</c:v>
                </c:pt>
                <c:pt idx="644">
                  <c:v>131.80000000000001</c:v>
                </c:pt>
                <c:pt idx="645">
                  <c:v>146.6</c:v>
                </c:pt>
                <c:pt idx="646">
                  <c:v>160</c:v>
                </c:pt>
                <c:pt idx="647">
                  <c:v>169.9</c:v>
                </c:pt>
                <c:pt idx="648">
                  <c:v>177</c:v>
                </c:pt>
                <c:pt idx="649">
                  <c:v>180.5</c:v>
                </c:pt>
                <c:pt idx="650">
                  <c:v>182.9</c:v>
                </c:pt>
                <c:pt idx="651">
                  <c:v>182.6</c:v>
                </c:pt>
                <c:pt idx="652">
                  <c:v>178.8</c:v>
                </c:pt>
                <c:pt idx="653">
                  <c:v>173.70000000000002</c:v>
                </c:pt>
                <c:pt idx="654">
                  <c:v>169.70000000000002</c:v>
                </c:pt>
                <c:pt idx="655">
                  <c:v>172.8</c:v>
                </c:pt>
                <c:pt idx="656">
                  <c:v>175.6</c:v>
                </c:pt>
                <c:pt idx="657">
                  <c:v>180</c:v>
                </c:pt>
                <c:pt idx="658">
                  <c:v>183.1</c:v>
                </c:pt>
                <c:pt idx="659">
                  <c:v>180.9</c:v>
                </c:pt>
                <c:pt idx="660">
                  <c:v>176</c:v>
                </c:pt>
                <c:pt idx="661">
                  <c:v>170.9</c:v>
                </c:pt>
                <c:pt idx="662">
                  <c:v>161.69999999999999</c:v>
                </c:pt>
                <c:pt idx="663">
                  <c:v>152.4</c:v>
                </c:pt>
                <c:pt idx="664">
                  <c:v>141.9</c:v>
                </c:pt>
                <c:pt idx="665">
                  <c:v>131.4</c:v>
                </c:pt>
                <c:pt idx="666">
                  <c:v>122.10000000000001</c:v>
                </c:pt>
                <c:pt idx="667">
                  <c:v>117.10000000000001</c:v>
                </c:pt>
                <c:pt idx="668">
                  <c:v>114.9</c:v>
                </c:pt>
                <c:pt idx="669">
                  <c:v>124.4</c:v>
                </c:pt>
                <c:pt idx="670">
                  <c:v>138.5</c:v>
                </c:pt>
                <c:pt idx="671">
                  <c:v>156.69999999999999</c:v>
                </c:pt>
                <c:pt idx="672">
                  <c:v>171.9</c:v>
                </c:pt>
                <c:pt idx="673">
                  <c:v>188.7</c:v>
                </c:pt>
                <c:pt idx="674">
                  <c:v>200.70000000000002</c:v>
                </c:pt>
                <c:pt idx="675">
                  <c:v>205.29999999999998</c:v>
                </c:pt>
                <c:pt idx="676">
                  <c:v>203.79999999999998</c:v>
                </c:pt>
                <c:pt idx="677">
                  <c:v>197.2</c:v>
                </c:pt>
                <c:pt idx="678">
                  <c:v>192</c:v>
                </c:pt>
                <c:pt idx="679">
                  <c:v>184.7</c:v>
                </c:pt>
                <c:pt idx="680">
                  <c:v>175.7</c:v>
                </c:pt>
                <c:pt idx="681">
                  <c:v>168.4</c:v>
                </c:pt>
                <c:pt idx="682">
                  <c:v>163.5</c:v>
                </c:pt>
                <c:pt idx="683">
                  <c:v>165.39999999999998</c:v>
                </c:pt>
                <c:pt idx="684">
                  <c:v>166.79999999999998</c:v>
                </c:pt>
                <c:pt idx="685">
                  <c:v>167.2</c:v>
                </c:pt>
                <c:pt idx="686">
                  <c:v>166.79999999999998</c:v>
                </c:pt>
                <c:pt idx="687">
                  <c:v>158.80000000000001</c:v>
                </c:pt>
                <c:pt idx="688">
                  <c:v>149.5</c:v>
                </c:pt>
                <c:pt idx="689">
                  <c:v>139.9</c:v>
                </c:pt>
                <c:pt idx="690">
                  <c:v>126.2</c:v>
                </c:pt>
                <c:pt idx="691">
                  <c:v>114.39999999999999</c:v>
                </c:pt>
                <c:pt idx="692">
                  <c:v>111.4</c:v>
                </c:pt>
                <c:pt idx="693">
                  <c:v>112.99999999999999</c:v>
                </c:pt>
                <c:pt idx="694">
                  <c:v>120.39999999999999</c:v>
                </c:pt>
                <c:pt idx="695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50-490E-BCAD-BB06A56061AF}"/>
            </c:ext>
          </c:extLst>
        </c:ser>
        <c:ser>
          <c:idx val="1"/>
          <c:order val="1"/>
          <c:tx>
            <c:strRef>
              <c:f>ChartDatA!$M$9</c:f>
              <c:strCache>
                <c:ptCount val="1"/>
                <c:pt idx="0">
                  <c:v>HAT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ChartDatA!$M$10:$M$11</c:f>
              <c:numCache>
                <c:formatCode>General</c:formatCode>
                <c:ptCount val="2"/>
                <c:pt idx="0">
                  <c:v>335.38423382986963</c:v>
                </c:pt>
                <c:pt idx="1">
                  <c:v>335.38423382986963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50-490E-BCAD-BB06A56061AF}"/>
            </c:ext>
          </c:extLst>
        </c:ser>
        <c:ser>
          <c:idx val="2"/>
          <c:order val="2"/>
          <c:tx>
            <c:strRef>
              <c:f>ChartDatA!$N$9</c:f>
              <c:strCache>
                <c:ptCount val="1"/>
                <c:pt idx="0">
                  <c:v>HHWS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DFDFDF"/>
              </a:solidFill>
              <a:ln>
                <a:solidFill>
                  <a:srgbClr val="DFDFDF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ChartDatA!$N$10:$N$11</c:f>
              <c:numCache>
                <c:formatCode>General</c:formatCode>
                <c:ptCount val="2"/>
                <c:pt idx="0">
                  <c:v>292.75776980177898</c:v>
                </c:pt>
                <c:pt idx="1">
                  <c:v>292.75776980177898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50-490E-BCAD-BB06A56061AF}"/>
            </c:ext>
          </c:extLst>
        </c:ser>
        <c:ser>
          <c:idx val="3"/>
          <c:order val="3"/>
          <c:tx>
            <c:strRef>
              <c:f>ChartDatA!$O$9</c:f>
              <c:strCache>
                <c:ptCount val="1"/>
                <c:pt idx="0">
                  <c:v>MHWN</c:v>
                </c:pt>
              </c:strCache>
            </c:strRef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ChartDatA!$O$10:$O$11</c:f>
              <c:numCache>
                <c:formatCode>General</c:formatCode>
                <c:ptCount val="2"/>
                <c:pt idx="0">
                  <c:v>230.30829491683608</c:v>
                </c:pt>
                <c:pt idx="1">
                  <c:v>230.30829491683608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50-490E-BCAD-BB06A56061AF}"/>
            </c:ext>
          </c:extLst>
        </c:ser>
        <c:ser>
          <c:idx val="4"/>
          <c:order val="4"/>
          <c:tx>
            <c:strRef>
              <c:f>ChartDatA!$P$9</c:f>
              <c:strCache>
                <c:ptCount val="1"/>
                <c:pt idx="0">
                  <c:v>MSL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ChartDatA!$P$10:$P$11</c:f>
              <c:numCache>
                <c:formatCode>General</c:formatCode>
                <c:ptCount val="2"/>
                <c:pt idx="0">
                  <c:v>166.16831896551724</c:v>
                </c:pt>
                <c:pt idx="1">
                  <c:v>166.16831896551724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50-490E-BCAD-BB06A56061AF}"/>
            </c:ext>
          </c:extLst>
        </c:ser>
        <c:ser>
          <c:idx val="5"/>
          <c:order val="5"/>
          <c:tx>
            <c:strRef>
              <c:f>ChartDatA!$Q$9</c:f>
              <c:strCache>
                <c:ptCount val="1"/>
                <c:pt idx="0">
                  <c:v>MLWN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ChartDatA!$Q$10:$Q$11</c:f>
              <c:numCache>
                <c:formatCode>General</c:formatCode>
                <c:ptCount val="2"/>
                <c:pt idx="0">
                  <c:v>87.140552568349534</c:v>
                </c:pt>
                <c:pt idx="1">
                  <c:v>87.140552568349534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50-490E-BCAD-BB06A56061AF}"/>
            </c:ext>
          </c:extLst>
        </c:ser>
        <c:ser>
          <c:idx val="6"/>
          <c:order val="6"/>
          <c:tx>
            <c:strRef>
              <c:f>ChartDatA!$R$9</c:f>
              <c:strCache>
                <c:ptCount val="1"/>
                <c:pt idx="0">
                  <c:v>LLWS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plus"/>
            <c:size val="7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dPt>
            <c:idx val="1"/>
            <c:bubble3D val="0"/>
            <c:spPr>
              <a:ln w="25400">
                <a:solidFill>
                  <a:srgbClr val="9933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150-490E-BCAD-BB06A56061AF}"/>
              </c:ext>
            </c:extLst>
          </c:dPt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ChartDatA!$R$10:$R$11</c:f>
              <c:numCache>
                <c:formatCode>General</c:formatCode>
                <c:ptCount val="2"/>
                <c:pt idx="0">
                  <c:v>55.888942901025047</c:v>
                </c:pt>
                <c:pt idx="1">
                  <c:v>55.888942901025047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50-490E-BCAD-BB06A56061AF}"/>
            </c:ext>
          </c:extLst>
        </c:ser>
        <c:ser>
          <c:idx val="7"/>
          <c:order val="7"/>
          <c:tx>
            <c:strRef>
              <c:f>ChartDatA!$S$9</c:f>
              <c:strCache>
                <c:ptCount val="1"/>
                <c:pt idx="0">
                  <c:v>LAT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dot"/>
            <c:size val="7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ChartDatA!$S$10:$S$11</c:f>
              <c:numCache>
                <c:formatCode>General</c:formatCode>
                <c:ptCount val="2"/>
                <c:pt idx="0">
                  <c:v>28.393760180578276</c:v>
                </c:pt>
                <c:pt idx="1">
                  <c:v>28.393760180578276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50-490E-BCAD-BB06A560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924160"/>
        <c:axId val="282926464"/>
      </c:scatterChart>
      <c:valAx>
        <c:axId val="2829241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Tanggal</a:t>
                </a:r>
              </a:p>
            </c:rich>
          </c:tx>
          <c:layout>
            <c:manualLayout>
              <c:xMode val="edge"/>
              <c:yMode val="edge"/>
              <c:x val="0.50388230882904339"/>
              <c:y val="0.85302007289574644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926464"/>
        <c:crossesAt val="-50"/>
        <c:crossBetween val="midCat"/>
        <c:majorUnit val="0.99856317249314397"/>
      </c:valAx>
      <c:valAx>
        <c:axId val="282926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Elev. Muka Air (Cm) PheilSchaal</a:t>
                </a:r>
              </a:p>
            </c:rich>
          </c:tx>
          <c:layout>
            <c:manualLayout>
              <c:xMode val="edge"/>
              <c:yMode val="edge"/>
              <c:x val="1.9309267013892174E-2"/>
              <c:y val="0.34452994995058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292416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2806042557075126"/>
          <c:y val="0.92409501528703331"/>
          <c:w val="0.71092368607292067"/>
          <c:h val="4.620475076435166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paperSize="9" firstPageNumber="0" orientation="landscape" horizontalDpi="-3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29</c:v>
          </c:tx>
          <c:spPr>
            <a:ln w="15875">
              <a:solidFill>
                <a:schemeClr val="tx1"/>
              </a:solidFill>
            </a:ln>
          </c:spPr>
          <c:xVal>
            <c:numRef>
              <c:f>'HasiL Edit komnetar perencana'!$P$69:$P$75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'HasiL Edit komnetar perencana'!$AK$69:$AK$75</c:f>
              <c:numCache>
                <c:formatCode>0.00</c:formatCode>
                <c:ptCount val="7"/>
                <c:pt idx="0">
                  <c:v>0.33538423382986965</c:v>
                </c:pt>
                <c:pt idx="1">
                  <c:v>0.29275776980177898</c:v>
                </c:pt>
                <c:pt idx="2">
                  <c:v>0.23030829491683608</c:v>
                </c:pt>
                <c:pt idx="3">
                  <c:v>0.16616831896551723</c:v>
                </c:pt>
                <c:pt idx="4">
                  <c:v>8.714055256834953E-2</c:v>
                </c:pt>
                <c:pt idx="5">
                  <c:v>5.5888942901025043E-2</c:v>
                </c:pt>
                <c:pt idx="6">
                  <c:v>2.8393760180578275E-2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3-416B-A7ED-C5CFEFCCEDAB}"/>
            </c:ext>
          </c:extLst>
        </c:ser>
        <c:ser>
          <c:idx val="1"/>
          <c:order val="1"/>
          <c:tx>
            <c:v>15</c:v>
          </c:tx>
          <c:spPr>
            <a:ln w="12700">
              <a:solidFill>
                <a:schemeClr val="tx1"/>
              </a:solidFill>
            </a:ln>
          </c:spPr>
          <c:marker>
            <c:spPr>
              <a:ln w="12700"/>
            </c:spPr>
          </c:marker>
          <c:xVal>
            <c:numRef>
              <c:f>'HasiL Edit komnetar perencana'!$P$69:$P$75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'HasiL Edit komnetar perencana'!$AL$69:$AL$75</c:f>
              <c:numCache>
                <c:formatCode>0.00</c:formatCode>
                <c:ptCount val="7"/>
                <c:pt idx="0">
                  <c:v>0.42036797125260839</c:v>
                </c:pt>
                <c:pt idx="1">
                  <c:v>0.38916903418569482</c:v>
                </c:pt>
                <c:pt idx="2">
                  <c:v>0.33556852710889062</c:v>
                </c:pt>
                <c:pt idx="3">
                  <c:v>0.27729861666666672</c:v>
                </c:pt>
                <c:pt idx="4">
                  <c:v>0.21573839237163031</c:v>
                </c:pt>
                <c:pt idx="5">
                  <c:v>0.16269092158302872</c:v>
                </c:pt>
                <c:pt idx="6">
                  <c:v>0.13422926208072491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C3-416B-A7ED-C5CFEFCC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965120"/>
        <c:axId val="282967040"/>
      </c:scatterChart>
      <c:valAx>
        <c:axId val="28296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2967040"/>
        <c:crosses val="autoZero"/>
        <c:crossBetween val="midCat"/>
      </c:valAx>
      <c:valAx>
        <c:axId val="282967040"/>
        <c:scaling>
          <c:orientation val="minMax"/>
          <c:max val="0.45"/>
          <c:min val="0.1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2965120"/>
        <c:crosses val="autoZero"/>
        <c:crossBetween val="midCat"/>
        <c:majorUnit val="5.000000000000001E-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baseline="0">
                <a:effectLst/>
              </a:rPr>
              <a:t>Grafik Pengamatan Pasang Surut 29 Hari</a:t>
            </a:r>
            <a:endParaRPr lang="en-US" sz="1400">
              <a:effectLst/>
            </a:endParaRPr>
          </a:p>
          <a:p>
            <a:pPr algn="ctr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 sz="1100" b="1" i="0" baseline="0">
                <a:effectLst/>
              </a:rPr>
              <a:t>Pantai Sanur,</a:t>
            </a:r>
            <a:r>
              <a:rPr lang="en-US" sz="1100" b="1" i="0" baseline="0">
                <a:effectLst/>
              </a:rPr>
              <a:t> 17</a:t>
            </a:r>
            <a:r>
              <a:rPr lang="id-ID" sz="1100" b="1" i="0" baseline="0">
                <a:effectLst/>
              </a:rPr>
              <a:t> </a:t>
            </a:r>
            <a:r>
              <a:rPr lang="en-ID" sz="1100" b="1" i="0" baseline="0">
                <a:effectLst/>
              </a:rPr>
              <a:t>Januari - 14 Februari </a:t>
            </a:r>
            <a:r>
              <a:rPr lang="en-US" sz="1100" b="1" i="0" baseline="0">
                <a:effectLst/>
              </a:rPr>
              <a:t>20</a:t>
            </a:r>
            <a:r>
              <a:rPr lang="en-ID" sz="1100" b="1" i="0" baseline="0">
                <a:effectLst/>
              </a:rPr>
              <a:t>21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4179002159608762"/>
          <c:y val="3.01838222080060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380194158754654E-2"/>
          <c:y val="0.1388941998800933"/>
          <c:w val="0.88282920610184679"/>
          <c:h val="0.6766787416984599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'data asli x100'!$B$8:$B$703</c:f>
              <c:numCache>
                <c:formatCode>m/d/yyyy\ h:mm</c:formatCode>
                <c:ptCount val="696"/>
                <c:pt idx="0">
                  <c:v>44709</c:v>
                </c:pt>
                <c:pt idx="1">
                  <c:v>44709.041666666664</c:v>
                </c:pt>
                <c:pt idx="2">
                  <c:v>44709.083333333336</c:v>
                </c:pt>
                <c:pt idx="3">
                  <c:v>44709.125</c:v>
                </c:pt>
                <c:pt idx="4">
                  <c:v>44709.166666666664</c:v>
                </c:pt>
                <c:pt idx="5">
                  <c:v>44709.208333333336</c:v>
                </c:pt>
                <c:pt idx="6">
                  <c:v>44709.25</c:v>
                </c:pt>
                <c:pt idx="7">
                  <c:v>44709.291666666664</c:v>
                </c:pt>
                <c:pt idx="8">
                  <c:v>44709.333333333336</c:v>
                </c:pt>
                <c:pt idx="9">
                  <c:v>44709.375</c:v>
                </c:pt>
                <c:pt idx="10">
                  <c:v>44709.416666666664</c:v>
                </c:pt>
                <c:pt idx="11">
                  <c:v>44709.458333333336</c:v>
                </c:pt>
                <c:pt idx="12">
                  <c:v>44709.5</c:v>
                </c:pt>
                <c:pt idx="13">
                  <c:v>44709.541666666664</c:v>
                </c:pt>
                <c:pt idx="14">
                  <c:v>44709.583333333336</c:v>
                </c:pt>
                <c:pt idx="15">
                  <c:v>44709.625</c:v>
                </c:pt>
                <c:pt idx="16">
                  <c:v>44709.666666666664</c:v>
                </c:pt>
                <c:pt idx="17">
                  <c:v>44709.708333333336</c:v>
                </c:pt>
                <c:pt idx="18">
                  <c:v>44709.75</c:v>
                </c:pt>
                <c:pt idx="19">
                  <c:v>44709.791666666664</c:v>
                </c:pt>
                <c:pt idx="20">
                  <c:v>44709.833333333336</c:v>
                </c:pt>
                <c:pt idx="21">
                  <c:v>44709.875</c:v>
                </c:pt>
                <c:pt idx="22">
                  <c:v>44709.916666666664</c:v>
                </c:pt>
                <c:pt idx="23">
                  <c:v>44709.958333333336</c:v>
                </c:pt>
                <c:pt idx="24">
                  <c:v>44710</c:v>
                </c:pt>
                <c:pt idx="25">
                  <c:v>44710.041666666664</c:v>
                </c:pt>
                <c:pt idx="26">
                  <c:v>44710.083333333336</c:v>
                </c:pt>
                <c:pt idx="27">
                  <c:v>44710.125</c:v>
                </c:pt>
                <c:pt idx="28">
                  <c:v>44710.166666666664</c:v>
                </c:pt>
                <c:pt idx="29">
                  <c:v>44710.208333333336</c:v>
                </c:pt>
                <c:pt idx="30">
                  <c:v>44710.25</c:v>
                </c:pt>
                <c:pt idx="31">
                  <c:v>44710.291666666664</c:v>
                </c:pt>
                <c:pt idx="32">
                  <c:v>44710.333333333336</c:v>
                </c:pt>
                <c:pt idx="33">
                  <c:v>44710.375</c:v>
                </c:pt>
                <c:pt idx="34">
                  <c:v>44710.416666666664</c:v>
                </c:pt>
                <c:pt idx="35">
                  <c:v>44710.458333333336</c:v>
                </c:pt>
                <c:pt idx="36">
                  <c:v>44710.5</c:v>
                </c:pt>
                <c:pt idx="37">
                  <c:v>44710.541666666664</c:v>
                </c:pt>
                <c:pt idx="38">
                  <c:v>44710.583333333336</c:v>
                </c:pt>
                <c:pt idx="39">
                  <c:v>44710.625</c:v>
                </c:pt>
                <c:pt idx="40">
                  <c:v>44710.666666666664</c:v>
                </c:pt>
                <c:pt idx="41">
                  <c:v>44710.708333333336</c:v>
                </c:pt>
                <c:pt idx="42">
                  <c:v>44710.75</c:v>
                </c:pt>
                <c:pt idx="43">
                  <c:v>44710.791666666664</c:v>
                </c:pt>
                <c:pt idx="44">
                  <c:v>44710.833333333336</c:v>
                </c:pt>
                <c:pt idx="45">
                  <c:v>44710.875</c:v>
                </c:pt>
                <c:pt idx="46">
                  <c:v>44710.916666666664</c:v>
                </c:pt>
                <c:pt idx="47">
                  <c:v>44710.958333333336</c:v>
                </c:pt>
                <c:pt idx="48">
                  <c:v>44711</c:v>
                </c:pt>
                <c:pt idx="49">
                  <c:v>44711.041666666664</c:v>
                </c:pt>
                <c:pt idx="50">
                  <c:v>44711.083333333336</c:v>
                </c:pt>
                <c:pt idx="51">
                  <c:v>44711.125</c:v>
                </c:pt>
                <c:pt idx="52">
                  <c:v>44711.166666666664</c:v>
                </c:pt>
                <c:pt idx="53">
                  <c:v>44711.208333333336</c:v>
                </c:pt>
                <c:pt idx="54">
                  <c:v>44711.25</c:v>
                </c:pt>
                <c:pt idx="55">
                  <c:v>44711.291666666664</c:v>
                </c:pt>
                <c:pt idx="56">
                  <c:v>44711.333333333336</c:v>
                </c:pt>
                <c:pt idx="57">
                  <c:v>44711.375</c:v>
                </c:pt>
                <c:pt idx="58">
                  <c:v>44711.416666666664</c:v>
                </c:pt>
                <c:pt idx="59">
                  <c:v>44711.458333333336</c:v>
                </c:pt>
                <c:pt idx="60">
                  <c:v>44711.5</c:v>
                </c:pt>
                <c:pt idx="61">
                  <c:v>44711.541666666664</c:v>
                </c:pt>
                <c:pt idx="62">
                  <c:v>44711.583333333336</c:v>
                </c:pt>
                <c:pt idx="63">
                  <c:v>44711.625</c:v>
                </c:pt>
                <c:pt idx="64">
                  <c:v>44711.666666666664</c:v>
                </c:pt>
                <c:pt idx="65">
                  <c:v>44711.708333333336</c:v>
                </c:pt>
                <c:pt idx="66">
                  <c:v>44711.75</c:v>
                </c:pt>
                <c:pt idx="67">
                  <c:v>44711.791666666664</c:v>
                </c:pt>
                <c:pt idx="68">
                  <c:v>44711.833333333336</c:v>
                </c:pt>
                <c:pt idx="69">
                  <c:v>44711.875</c:v>
                </c:pt>
                <c:pt idx="70">
                  <c:v>44711.916666666664</c:v>
                </c:pt>
                <c:pt idx="71">
                  <c:v>44711.958333333336</c:v>
                </c:pt>
                <c:pt idx="72">
                  <c:v>44712</c:v>
                </c:pt>
                <c:pt idx="73">
                  <c:v>44712.041666666664</c:v>
                </c:pt>
                <c:pt idx="74">
                  <c:v>44712.083333333336</c:v>
                </c:pt>
                <c:pt idx="75">
                  <c:v>44712.125</c:v>
                </c:pt>
                <c:pt idx="76">
                  <c:v>44712.166666666664</c:v>
                </c:pt>
                <c:pt idx="77">
                  <c:v>44712.208333333336</c:v>
                </c:pt>
                <c:pt idx="78">
                  <c:v>44712.25</c:v>
                </c:pt>
                <c:pt idx="79">
                  <c:v>44712.291666666664</c:v>
                </c:pt>
                <c:pt idx="80">
                  <c:v>44712.333333333336</c:v>
                </c:pt>
                <c:pt idx="81">
                  <c:v>44712.375</c:v>
                </c:pt>
                <c:pt idx="82">
                  <c:v>44712.416666666664</c:v>
                </c:pt>
                <c:pt idx="83">
                  <c:v>44712.458333333336</c:v>
                </c:pt>
                <c:pt idx="84">
                  <c:v>44712.5</c:v>
                </c:pt>
                <c:pt idx="85">
                  <c:v>44712.541666666664</c:v>
                </c:pt>
                <c:pt idx="86">
                  <c:v>44712.583333333336</c:v>
                </c:pt>
                <c:pt idx="87">
                  <c:v>44712.625</c:v>
                </c:pt>
                <c:pt idx="88">
                  <c:v>44712.666666666664</c:v>
                </c:pt>
                <c:pt idx="89">
                  <c:v>44712.708333333336</c:v>
                </c:pt>
                <c:pt idx="90">
                  <c:v>44712.75</c:v>
                </c:pt>
                <c:pt idx="91">
                  <c:v>44712.791666666664</c:v>
                </c:pt>
                <c:pt idx="92">
                  <c:v>44712.833333333336</c:v>
                </c:pt>
                <c:pt idx="93">
                  <c:v>44712.875</c:v>
                </c:pt>
                <c:pt idx="94">
                  <c:v>44712.916666666664</c:v>
                </c:pt>
                <c:pt idx="95">
                  <c:v>44712.958333333336</c:v>
                </c:pt>
                <c:pt idx="96">
                  <c:v>44713</c:v>
                </c:pt>
                <c:pt idx="97">
                  <c:v>44713.041666666664</c:v>
                </c:pt>
                <c:pt idx="98">
                  <c:v>44713.083333333336</c:v>
                </c:pt>
                <c:pt idx="99">
                  <c:v>44713.125</c:v>
                </c:pt>
                <c:pt idx="100">
                  <c:v>44713.166666666664</c:v>
                </c:pt>
                <c:pt idx="101">
                  <c:v>44713.208333333336</c:v>
                </c:pt>
                <c:pt idx="102">
                  <c:v>44713.25</c:v>
                </c:pt>
                <c:pt idx="103">
                  <c:v>44713.291666666664</c:v>
                </c:pt>
                <c:pt idx="104">
                  <c:v>44713.333333333336</c:v>
                </c:pt>
                <c:pt idx="105">
                  <c:v>44713.375</c:v>
                </c:pt>
                <c:pt idx="106">
                  <c:v>44713.416666666664</c:v>
                </c:pt>
                <c:pt idx="107">
                  <c:v>44713.458333333336</c:v>
                </c:pt>
                <c:pt idx="108">
                  <c:v>44713.5</c:v>
                </c:pt>
                <c:pt idx="109">
                  <c:v>44713.541666666664</c:v>
                </c:pt>
                <c:pt idx="110">
                  <c:v>44713.583333333336</c:v>
                </c:pt>
                <c:pt idx="111">
                  <c:v>44713.625</c:v>
                </c:pt>
                <c:pt idx="112">
                  <c:v>44713.666666666664</c:v>
                </c:pt>
                <c:pt idx="113">
                  <c:v>44713.708333333336</c:v>
                </c:pt>
                <c:pt idx="114">
                  <c:v>44713.75</c:v>
                </c:pt>
                <c:pt idx="115">
                  <c:v>44713.791666666664</c:v>
                </c:pt>
                <c:pt idx="116">
                  <c:v>44713.833333333336</c:v>
                </c:pt>
                <c:pt idx="117">
                  <c:v>44713.875</c:v>
                </c:pt>
                <c:pt idx="118">
                  <c:v>44713.916666666664</c:v>
                </c:pt>
                <c:pt idx="119">
                  <c:v>44713.958333333336</c:v>
                </c:pt>
                <c:pt idx="120">
                  <c:v>44714</c:v>
                </c:pt>
                <c:pt idx="121">
                  <c:v>44714.041666666664</c:v>
                </c:pt>
                <c:pt idx="122">
                  <c:v>44714.083333333336</c:v>
                </c:pt>
                <c:pt idx="123">
                  <c:v>44714.125</c:v>
                </c:pt>
                <c:pt idx="124">
                  <c:v>44714.166666666664</c:v>
                </c:pt>
                <c:pt idx="125">
                  <c:v>44714.208333333336</c:v>
                </c:pt>
                <c:pt idx="126">
                  <c:v>44714.25</c:v>
                </c:pt>
                <c:pt idx="127">
                  <c:v>44714.291666666664</c:v>
                </c:pt>
                <c:pt idx="128">
                  <c:v>44714.333333333336</c:v>
                </c:pt>
                <c:pt idx="129">
                  <c:v>44714.375</c:v>
                </c:pt>
                <c:pt idx="130">
                  <c:v>44714.416666666664</c:v>
                </c:pt>
                <c:pt idx="131">
                  <c:v>44714.458333333336</c:v>
                </c:pt>
                <c:pt idx="132">
                  <c:v>44714.5</c:v>
                </c:pt>
                <c:pt idx="133">
                  <c:v>44714.541666666664</c:v>
                </c:pt>
                <c:pt idx="134">
                  <c:v>44714.583333333336</c:v>
                </c:pt>
                <c:pt idx="135">
                  <c:v>44714.625</c:v>
                </c:pt>
                <c:pt idx="136">
                  <c:v>44714.666666666664</c:v>
                </c:pt>
                <c:pt idx="137">
                  <c:v>44714.708333333336</c:v>
                </c:pt>
                <c:pt idx="138">
                  <c:v>44714.75</c:v>
                </c:pt>
                <c:pt idx="139">
                  <c:v>44714.791666666664</c:v>
                </c:pt>
                <c:pt idx="140">
                  <c:v>44714.833333333336</c:v>
                </c:pt>
                <c:pt idx="141">
                  <c:v>44714.875</c:v>
                </c:pt>
                <c:pt idx="142">
                  <c:v>44714.916666666664</c:v>
                </c:pt>
                <c:pt idx="143">
                  <c:v>44714.958333333336</c:v>
                </c:pt>
                <c:pt idx="144">
                  <c:v>44715</c:v>
                </c:pt>
                <c:pt idx="145">
                  <c:v>44715.041666666664</c:v>
                </c:pt>
                <c:pt idx="146">
                  <c:v>44715.083333333336</c:v>
                </c:pt>
                <c:pt idx="147">
                  <c:v>44715.125</c:v>
                </c:pt>
                <c:pt idx="148">
                  <c:v>44715.166666666664</c:v>
                </c:pt>
                <c:pt idx="149">
                  <c:v>44715.208333333336</c:v>
                </c:pt>
                <c:pt idx="150">
                  <c:v>44715.25</c:v>
                </c:pt>
                <c:pt idx="151">
                  <c:v>44715.291666666664</c:v>
                </c:pt>
                <c:pt idx="152">
                  <c:v>44715.333333333336</c:v>
                </c:pt>
                <c:pt idx="153">
                  <c:v>44715.375</c:v>
                </c:pt>
                <c:pt idx="154">
                  <c:v>44715.416666666664</c:v>
                </c:pt>
                <c:pt idx="155">
                  <c:v>44715.458333333336</c:v>
                </c:pt>
                <c:pt idx="156">
                  <c:v>44715.5</c:v>
                </c:pt>
                <c:pt idx="157">
                  <c:v>44715.541666666664</c:v>
                </c:pt>
                <c:pt idx="158">
                  <c:v>44715.583333333336</c:v>
                </c:pt>
                <c:pt idx="159">
                  <c:v>44715.625</c:v>
                </c:pt>
                <c:pt idx="160">
                  <c:v>44715.666666666664</c:v>
                </c:pt>
                <c:pt idx="161">
                  <c:v>44715.708333333336</c:v>
                </c:pt>
                <c:pt idx="162">
                  <c:v>44715.75</c:v>
                </c:pt>
                <c:pt idx="163">
                  <c:v>44715.791666666664</c:v>
                </c:pt>
                <c:pt idx="164">
                  <c:v>44715.833333333336</c:v>
                </c:pt>
                <c:pt idx="165">
                  <c:v>44715.875</c:v>
                </c:pt>
                <c:pt idx="166">
                  <c:v>44715.916666666664</c:v>
                </c:pt>
                <c:pt idx="167">
                  <c:v>44715.958333333336</c:v>
                </c:pt>
                <c:pt idx="168">
                  <c:v>44716</c:v>
                </c:pt>
                <c:pt idx="169">
                  <c:v>44716.041666666664</c:v>
                </c:pt>
                <c:pt idx="170">
                  <c:v>44716.083333333336</c:v>
                </c:pt>
                <c:pt idx="171">
                  <c:v>44716.125</c:v>
                </c:pt>
                <c:pt idx="172">
                  <c:v>44716.166666666664</c:v>
                </c:pt>
                <c:pt idx="173">
                  <c:v>44716.208333333336</c:v>
                </c:pt>
                <c:pt idx="174">
                  <c:v>44716.25</c:v>
                </c:pt>
                <c:pt idx="175">
                  <c:v>44716.291666666664</c:v>
                </c:pt>
                <c:pt idx="176">
                  <c:v>44716.333333333336</c:v>
                </c:pt>
                <c:pt idx="177">
                  <c:v>44716.375</c:v>
                </c:pt>
                <c:pt idx="178">
                  <c:v>44716.416666666664</c:v>
                </c:pt>
                <c:pt idx="179">
                  <c:v>44716.458333333336</c:v>
                </c:pt>
                <c:pt idx="180">
                  <c:v>44716.5</c:v>
                </c:pt>
                <c:pt idx="181">
                  <c:v>44716.541666666664</c:v>
                </c:pt>
                <c:pt idx="182">
                  <c:v>44716.583333333336</c:v>
                </c:pt>
                <c:pt idx="183">
                  <c:v>44716.625</c:v>
                </c:pt>
                <c:pt idx="184">
                  <c:v>44716.666666666664</c:v>
                </c:pt>
                <c:pt idx="185">
                  <c:v>44716.708333333336</c:v>
                </c:pt>
                <c:pt idx="186">
                  <c:v>44716.75</c:v>
                </c:pt>
                <c:pt idx="187">
                  <c:v>44716.791666666664</c:v>
                </c:pt>
                <c:pt idx="188">
                  <c:v>44716.833333333336</c:v>
                </c:pt>
                <c:pt idx="189">
                  <c:v>44716.875</c:v>
                </c:pt>
                <c:pt idx="190">
                  <c:v>44716.916666666664</c:v>
                </c:pt>
                <c:pt idx="191">
                  <c:v>44716.958333333336</c:v>
                </c:pt>
                <c:pt idx="192">
                  <c:v>44717</c:v>
                </c:pt>
                <c:pt idx="193">
                  <c:v>44717.041666666664</c:v>
                </c:pt>
                <c:pt idx="194">
                  <c:v>44717.083333333336</c:v>
                </c:pt>
                <c:pt idx="195">
                  <c:v>44717.125</c:v>
                </c:pt>
                <c:pt idx="196">
                  <c:v>44717.166666666664</c:v>
                </c:pt>
                <c:pt idx="197">
                  <c:v>44717.208333333336</c:v>
                </c:pt>
                <c:pt idx="198">
                  <c:v>44717.25</c:v>
                </c:pt>
                <c:pt idx="199">
                  <c:v>44717.291666666664</c:v>
                </c:pt>
                <c:pt idx="200">
                  <c:v>44717.333333333336</c:v>
                </c:pt>
                <c:pt idx="201">
                  <c:v>44717.375</c:v>
                </c:pt>
                <c:pt idx="202">
                  <c:v>44717.416666666664</c:v>
                </c:pt>
                <c:pt idx="203">
                  <c:v>44717.458333333336</c:v>
                </c:pt>
                <c:pt idx="204">
                  <c:v>44717.5</c:v>
                </c:pt>
                <c:pt idx="205">
                  <c:v>44717.541666666664</c:v>
                </c:pt>
                <c:pt idx="206">
                  <c:v>44717.583333333336</c:v>
                </c:pt>
                <c:pt idx="207">
                  <c:v>44717.625</c:v>
                </c:pt>
                <c:pt idx="208">
                  <c:v>44717.666666666664</c:v>
                </c:pt>
                <c:pt idx="209">
                  <c:v>44717.708333333336</c:v>
                </c:pt>
                <c:pt idx="210">
                  <c:v>44717.75</c:v>
                </c:pt>
                <c:pt idx="211">
                  <c:v>44717.791666666664</c:v>
                </c:pt>
                <c:pt idx="212">
                  <c:v>44717.833333333336</c:v>
                </c:pt>
                <c:pt idx="213">
                  <c:v>44717.875</c:v>
                </c:pt>
                <c:pt idx="214">
                  <c:v>44717.916666666664</c:v>
                </c:pt>
                <c:pt idx="215">
                  <c:v>44717.958333333336</c:v>
                </c:pt>
                <c:pt idx="216">
                  <c:v>44718</c:v>
                </c:pt>
                <c:pt idx="217">
                  <c:v>44718.041666666664</c:v>
                </c:pt>
                <c:pt idx="218">
                  <c:v>44718.083333333336</c:v>
                </c:pt>
                <c:pt idx="219">
                  <c:v>44718.125</c:v>
                </c:pt>
                <c:pt idx="220">
                  <c:v>44718.166666666664</c:v>
                </c:pt>
                <c:pt idx="221">
                  <c:v>44718.208333333336</c:v>
                </c:pt>
                <c:pt idx="222">
                  <c:v>44718.25</c:v>
                </c:pt>
                <c:pt idx="223">
                  <c:v>44718.291666666664</c:v>
                </c:pt>
                <c:pt idx="224">
                  <c:v>44718.333333333336</c:v>
                </c:pt>
                <c:pt idx="225">
                  <c:v>44718.375</c:v>
                </c:pt>
                <c:pt idx="226">
                  <c:v>44718.416666666664</c:v>
                </c:pt>
                <c:pt idx="227">
                  <c:v>44718.458333333336</c:v>
                </c:pt>
                <c:pt idx="228">
                  <c:v>44718.5</c:v>
                </c:pt>
                <c:pt idx="229">
                  <c:v>44718.541666666664</c:v>
                </c:pt>
                <c:pt idx="230">
                  <c:v>44718.583333333336</c:v>
                </c:pt>
                <c:pt idx="231">
                  <c:v>44718.625</c:v>
                </c:pt>
                <c:pt idx="232">
                  <c:v>44718.666666666664</c:v>
                </c:pt>
                <c:pt idx="233">
                  <c:v>44718.708333333336</c:v>
                </c:pt>
                <c:pt idx="234">
                  <c:v>44718.75</c:v>
                </c:pt>
                <c:pt idx="235">
                  <c:v>44718.791666666664</c:v>
                </c:pt>
                <c:pt idx="236">
                  <c:v>44718.833333333336</c:v>
                </c:pt>
                <c:pt idx="237">
                  <c:v>44718.875</c:v>
                </c:pt>
                <c:pt idx="238">
                  <c:v>44718.916666666664</c:v>
                </c:pt>
                <c:pt idx="239">
                  <c:v>44718.958333333336</c:v>
                </c:pt>
                <c:pt idx="240">
                  <c:v>44719</c:v>
                </c:pt>
                <c:pt idx="241">
                  <c:v>44719.041666666664</c:v>
                </c:pt>
                <c:pt idx="242">
                  <c:v>44719.083333333336</c:v>
                </c:pt>
                <c:pt idx="243">
                  <c:v>44719.125</c:v>
                </c:pt>
                <c:pt idx="244">
                  <c:v>44719.166666666664</c:v>
                </c:pt>
                <c:pt idx="245">
                  <c:v>44719.208333333336</c:v>
                </c:pt>
                <c:pt idx="246">
                  <c:v>44719.25</c:v>
                </c:pt>
                <c:pt idx="247">
                  <c:v>44719.291666666664</c:v>
                </c:pt>
                <c:pt idx="248">
                  <c:v>44719.333333333336</c:v>
                </c:pt>
                <c:pt idx="249">
                  <c:v>44719.375</c:v>
                </c:pt>
                <c:pt idx="250">
                  <c:v>44719.416666666664</c:v>
                </c:pt>
                <c:pt idx="251">
                  <c:v>44719.458333333336</c:v>
                </c:pt>
                <c:pt idx="252">
                  <c:v>44719.5</c:v>
                </c:pt>
                <c:pt idx="253">
                  <c:v>44719.541666666664</c:v>
                </c:pt>
                <c:pt idx="254">
                  <c:v>44719.583333333336</c:v>
                </c:pt>
                <c:pt idx="255">
                  <c:v>44719.625</c:v>
                </c:pt>
                <c:pt idx="256">
                  <c:v>44719.666666666664</c:v>
                </c:pt>
                <c:pt idx="257">
                  <c:v>44719.708333333336</c:v>
                </c:pt>
                <c:pt idx="258">
                  <c:v>44719.75</c:v>
                </c:pt>
                <c:pt idx="259">
                  <c:v>44719.791666666664</c:v>
                </c:pt>
                <c:pt idx="260">
                  <c:v>44719.833333333336</c:v>
                </c:pt>
                <c:pt idx="261">
                  <c:v>44719.875</c:v>
                </c:pt>
                <c:pt idx="262">
                  <c:v>44719.916666666664</c:v>
                </c:pt>
                <c:pt idx="263">
                  <c:v>44719.958333333336</c:v>
                </c:pt>
                <c:pt idx="264">
                  <c:v>44720</c:v>
                </c:pt>
                <c:pt idx="265">
                  <c:v>44720.041666666664</c:v>
                </c:pt>
                <c:pt idx="266">
                  <c:v>44720.083333333336</c:v>
                </c:pt>
                <c:pt idx="267">
                  <c:v>44720.125</c:v>
                </c:pt>
                <c:pt idx="268">
                  <c:v>44720.166666666664</c:v>
                </c:pt>
                <c:pt idx="269">
                  <c:v>44720.208333333336</c:v>
                </c:pt>
                <c:pt idx="270">
                  <c:v>44720.25</c:v>
                </c:pt>
                <c:pt idx="271">
                  <c:v>44720.291666666664</c:v>
                </c:pt>
                <c:pt idx="272">
                  <c:v>44720.333333333336</c:v>
                </c:pt>
                <c:pt idx="273">
                  <c:v>44720.375</c:v>
                </c:pt>
                <c:pt idx="274">
                  <c:v>44720.416666666664</c:v>
                </c:pt>
                <c:pt idx="275">
                  <c:v>44720.458333333336</c:v>
                </c:pt>
                <c:pt idx="276">
                  <c:v>44720.5</c:v>
                </c:pt>
                <c:pt idx="277">
                  <c:v>44720.541666666664</c:v>
                </c:pt>
                <c:pt idx="278">
                  <c:v>44720.583333333336</c:v>
                </c:pt>
                <c:pt idx="279">
                  <c:v>44720.625</c:v>
                </c:pt>
                <c:pt idx="280">
                  <c:v>44720.666666666664</c:v>
                </c:pt>
                <c:pt idx="281">
                  <c:v>44720.708333333336</c:v>
                </c:pt>
                <c:pt idx="282">
                  <c:v>44720.75</c:v>
                </c:pt>
                <c:pt idx="283">
                  <c:v>44720.791666666664</c:v>
                </c:pt>
                <c:pt idx="284">
                  <c:v>44720.833333333336</c:v>
                </c:pt>
                <c:pt idx="285">
                  <c:v>44720.875</c:v>
                </c:pt>
                <c:pt idx="286">
                  <c:v>44720.916666666664</c:v>
                </c:pt>
                <c:pt idx="287">
                  <c:v>44720.958333333336</c:v>
                </c:pt>
                <c:pt idx="288">
                  <c:v>44721</c:v>
                </c:pt>
                <c:pt idx="289">
                  <c:v>44721.041666666664</c:v>
                </c:pt>
                <c:pt idx="290">
                  <c:v>44721.083333333336</c:v>
                </c:pt>
                <c:pt idx="291">
                  <c:v>44721.125</c:v>
                </c:pt>
                <c:pt idx="292">
                  <c:v>44721.166666666664</c:v>
                </c:pt>
                <c:pt idx="293">
                  <c:v>44721.208333333336</c:v>
                </c:pt>
                <c:pt idx="294">
                  <c:v>44721.25</c:v>
                </c:pt>
                <c:pt idx="295">
                  <c:v>44721.291666666664</c:v>
                </c:pt>
                <c:pt idx="296">
                  <c:v>44721.333333333336</c:v>
                </c:pt>
                <c:pt idx="297">
                  <c:v>44721.375</c:v>
                </c:pt>
                <c:pt idx="298">
                  <c:v>44721.416666666664</c:v>
                </c:pt>
                <c:pt idx="299">
                  <c:v>44721.458333333336</c:v>
                </c:pt>
                <c:pt idx="300">
                  <c:v>44721.5</c:v>
                </c:pt>
                <c:pt idx="301">
                  <c:v>44721.541666666664</c:v>
                </c:pt>
                <c:pt idx="302">
                  <c:v>44721.583333333336</c:v>
                </c:pt>
                <c:pt idx="303">
                  <c:v>44721.625</c:v>
                </c:pt>
                <c:pt idx="304">
                  <c:v>44721.666666666664</c:v>
                </c:pt>
                <c:pt idx="305">
                  <c:v>44721.708333333336</c:v>
                </c:pt>
                <c:pt idx="306">
                  <c:v>44721.750000057873</c:v>
                </c:pt>
                <c:pt idx="307">
                  <c:v>44721.79166678241</c:v>
                </c:pt>
                <c:pt idx="308">
                  <c:v>44721.833333506947</c:v>
                </c:pt>
                <c:pt idx="309">
                  <c:v>44721.875000231485</c:v>
                </c:pt>
                <c:pt idx="310">
                  <c:v>44721.916666956022</c:v>
                </c:pt>
                <c:pt idx="311">
                  <c:v>44721.958333680559</c:v>
                </c:pt>
                <c:pt idx="312">
                  <c:v>44722.000000405096</c:v>
                </c:pt>
                <c:pt idx="313">
                  <c:v>44722.041667129626</c:v>
                </c:pt>
                <c:pt idx="314">
                  <c:v>44722.083333854163</c:v>
                </c:pt>
                <c:pt idx="315">
                  <c:v>44722.125000578701</c:v>
                </c:pt>
                <c:pt idx="316">
                  <c:v>44722.166667303238</c:v>
                </c:pt>
                <c:pt idx="317">
                  <c:v>44722.208334027775</c:v>
                </c:pt>
                <c:pt idx="318">
                  <c:v>44722.250000752312</c:v>
                </c:pt>
                <c:pt idx="319">
                  <c:v>44722.291667476849</c:v>
                </c:pt>
                <c:pt idx="320">
                  <c:v>44722.333334201387</c:v>
                </c:pt>
                <c:pt idx="321">
                  <c:v>44722.375000925924</c:v>
                </c:pt>
                <c:pt idx="322">
                  <c:v>44722.416667650461</c:v>
                </c:pt>
                <c:pt idx="323">
                  <c:v>44722.458334374998</c:v>
                </c:pt>
                <c:pt idx="324">
                  <c:v>44722.500001099535</c:v>
                </c:pt>
                <c:pt idx="325">
                  <c:v>44722.541667824073</c:v>
                </c:pt>
                <c:pt idx="326">
                  <c:v>44722.58333454861</c:v>
                </c:pt>
                <c:pt idx="327">
                  <c:v>44722.625001273147</c:v>
                </c:pt>
                <c:pt idx="328">
                  <c:v>44722.666667997684</c:v>
                </c:pt>
                <c:pt idx="329">
                  <c:v>44722.708334722221</c:v>
                </c:pt>
                <c:pt idx="330">
                  <c:v>44722.750001446759</c:v>
                </c:pt>
                <c:pt idx="331">
                  <c:v>44722.791668171296</c:v>
                </c:pt>
                <c:pt idx="332">
                  <c:v>44722.833334895833</c:v>
                </c:pt>
                <c:pt idx="333">
                  <c:v>44722.87500162037</c:v>
                </c:pt>
                <c:pt idx="334">
                  <c:v>44722.916668344908</c:v>
                </c:pt>
                <c:pt idx="335">
                  <c:v>44722.958335069445</c:v>
                </c:pt>
                <c:pt idx="336">
                  <c:v>44723.000001793982</c:v>
                </c:pt>
                <c:pt idx="337">
                  <c:v>44723.041668518519</c:v>
                </c:pt>
                <c:pt idx="338">
                  <c:v>44723.083335243056</c:v>
                </c:pt>
                <c:pt idx="339">
                  <c:v>44723.125001967594</c:v>
                </c:pt>
                <c:pt idx="340">
                  <c:v>44723.166668692131</c:v>
                </c:pt>
                <c:pt idx="341">
                  <c:v>44723.208335416668</c:v>
                </c:pt>
                <c:pt idx="342">
                  <c:v>44723.250002141205</c:v>
                </c:pt>
                <c:pt idx="343">
                  <c:v>44723.291668865742</c:v>
                </c:pt>
                <c:pt idx="344">
                  <c:v>44723.33333559028</c:v>
                </c:pt>
                <c:pt idx="345">
                  <c:v>44723.375002314817</c:v>
                </c:pt>
                <c:pt idx="346">
                  <c:v>44723.416669039354</c:v>
                </c:pt>
                <c:pt idx="347">
                  <c:v>44723.458335763891</c:v>
                </c:pt>
                <c:pt idx="348">
                  <c:v>44723.500002488428</c:v>
                </c:pt>
                <c:pt idx="349">
                  <c:v>44723.541669212966</c:v>
                </c:pt>
                <c:pt idx="350">
                  <c:v>44723.583335937503</c:v>
                </c:pt>
                <c:pt idx="351">
                  <c:v>44723.62500266204</c:v>
                </c:pt>
                <c:pt idx="352">
                  <c:v>44723.666669386577</c:v>
                </c:pt>
                <c:pt idx="353">
                  <c:v>44723.708336111114</c:v>
                </c:pt>
                <c:pt idx="354">
                  <c:v>44723.750002835652</c:v>
                </c:pt>
                <c:pt idx="355">
                  <c:v>44723.791669560182</c:v>
                </c:pt>
                <c:pt idx="356">
                  <c:v>44723.833336284719</c:v>
                </c:pt>
                <c:pt idx="357">
                  <c:v>44723.875003009256</c:v>
                </c:pt>
                <c:pt idx="358">
                  <c:v>44723.916669733793</c:v>
                </c:pt>
                <c:pt idx="359">
                  <c:v>44723.95833645833</c:v>
                </c:pt>
                <c:pt idx="360">
                  <c:v>44724.000003182868</c:v>
                </c:pt>
                <c:pt idx="361">
                  <c:v>44724.041669907405</c:v>
                </c:pt>
                <c:pt idx="362">
                  <c:v>44724.083336631942</c:v>
                </c:pt>
                <c:pt idx="363">
                  <c:v>44724.125003356479</c:v>
                </c:pt>
                <c:pt idx="364">
                  <c:v>44724.166670081016</c:v>
                </c:pt>
                <c:pt idx="365">
                  <c:v>44724.208336805554</c:v>
                </c:pt>
                <c:pt idx="366">
                  <c:v>44724.250003530091</c:v>
                </c:pt>
                <c:pt idx="367">
                  <c:v>44724.291670254628</c:v>
                </c:pt>
                <c:pt idx="368">
                  <c:v>44724.333336979165</c:v>
                </c:pt>
                <c:pt idx="369">
                  <c:v>44724.375003703703</c:v>
                </c:pt>
                <c:pt idx="370">
                  <c:v>44724.41667042824</c:v>
                </c:pt>
                <c:pt idx="371">
                  <c:v>44724.458337152777</c:v>
                </c:pt>
                <c:pt idx="372">
                  <c:v>44724.500003877314</c:v>
                </c:pt>
                <c:pt idx="373">
                  <c:v>44724.541670601851</c:v>
                </c:pt>
                <c:pt idx="374">
                  <c:v>44724.583337326389</c:v>
                </c:pt>
                <c:pt idx="375">
                  <c:v>44724.625003993053</c:v>
                </c:pt>
                <c:pt idx="376">
                  <c:v>44724.66667071759</c:v>
                </c:pt>
                <c:pt idx="377">
                  <c:v>44724.708337442127</c:v>
                </c:pt>
                <c:pt idx="378">
                  <c:v>44724.750004166664</c:v>
                </c:pt>
                <c:pt idx="379">
                  <c:v>44724.791670891202</c:v>
                </c:pt>
                <c:pt idx="380">
                  <c:v>44724.833337615739</c:v>
                </c:pt>
                <c:pt idx="381">
                  <c:v>44724.875004340276</c:v>
                </c:pt>
                <c:pt idx="382">
                  <c:v>44724.916671064813</c:v>
                </c:pt>
                <c:pt idx="383">
                  <c:v>44724.95833778935</c:v>
                </c:pt>
                <c:pt idx="384">
                  <c:v>44725.000004513888</c:v>
                </c:pt>
                <c:pt idx="385">
                  <c:v>44725.041671238425</c:v>
                </c:pt>
                <c:pt idx="386">
                  <c:v>44725.083337962962</c:v>
                </c:pt>
                <c:pt idx="387">
                  <c:v>44725.125004687499</c:v>
                </c:pt>
                <c:pt idx="388">
                  <c:v>44725.166671412037</c:v>
                </c:pt>
                <c:pt idx="389">
                  <c:v>44725.208338136574</c:v>
                </c:pt>
                <c:pt idx="390">
                  <c:v>44725.250004861111</c:v>
                </c:pt>
                <c:pt idx="391">
                  <c:v>44725.291671585648</c:v>
                </c:pt>
                <c:pt idx="392">
                  <c:v>44725.333338310185</c:v>
                </c:pt>
                <c:pt idx="393">
                  <c:v>44725.375005034723</c:v>
                </c:pt>
                <c:pt idx="394">
                  <c:v>44725.41667175926</c:v>
                </c:pt>
                <c:pt idx="395">
                  <c:v>44725.458338483797</c:v>
                </c:pt>
                <c:pt idx="396">
                  <c:v>44725.500005208334</c:v>
                </c:pt>
                <c:pt idx="397">
                  <c:v>44725.541671932871</c:v>
                </c:pt>
                <c:pt idx="398">
                  <c:v>44725.583338657409</c:v>
                </c:pt>
                <c:pt idx="399">
                  <c:v>44725.625005381946</c:v>
                </c:pt>
                <c:pt idx="400">
                  <c:v>44725.666672106483</c:v>
                </c:pt>
                <c:pt idx="401">
                  <c:v>44725.70833883102</c:v>
                </c:pt>
                <c:pt idx="402">
                  <c:v>44725.750005555557</c:v>
                </c:pt>
                <c:pt idx="403">
                  <c:v>44725.791672280095</c:v>
                </c:pt>
                <c:pt idx="404">
                  <c:v>44725.833339004632</c:v>
                </c:pt>
                <c:pt idx="405">
                  <c:v>44725.875005729169</c:v>
                </c:pt>
                <c:pt idx="406">
                  <c:v>44725.916672453706</c:v>
                </c:pt>
                <c:pt idx="407">
                  <c:v>44725.958339178243</c:v>
                </c:pt>
                <c:pt idx="408">
                  <c:v>44726.000005902781</c:v>
                </c:pt>
                <c:pt idx="409">
                  <c:v>44726.041672627318</c:v>
                </c:pt>
                <c:pt idx="410">
                  <c:v>44726.083339351855</c:v>
                </c:pt>
                <c:pt idx="411">
                  <c:v>44726.125006076392</c:v>
                </c:pt>
                <c:pt idx="412">
                  <c:v>44726.16667280093</c:v>
                </c:pt>
                <c:pt idx="413">
                  <c:v>44726.208339525459</c:v>
                </c:pt>
                <c:pt idx="414">
                  <c:v>44726.250006249997</c:v>
                </c:pt>
                <c:pt idx="415">
                  <c:v>44726.291672974534</c:v>
                </c:pt>
                <c:pt idx="416">
                  <c:v>44726.333339699071</c:v>
                </c:pt>
                <c:pt idx="417">
                  <c:v>44726.375006423608</c:v>
                </c:pt>
                <c:pt idx="418">
                  <c:v>44726.416673148145</c:v>
                </c:pt>
                <c:pt idx="419">
                  <c:v>44726.458339872683</c:v>
                </c:pt>
                <c:pt idx="420">
                  <c:v>44726.50000659722</c:v>
                </c:pt>
                <c:pt idx="421">
                  <c:v>44726.541673321757</c:v>
                </c:pt>
                <c:pt idx="422">
                  <c:v>44726.583340046294</c:v>
                </c:pt>
                <c:pt idx="423">
                  <c:v>44726.625006770832</c:v>
                </c:pt>
                <c:pt idx="424">
                  <c:v>44726.666673495369</c:v>
                </c:pt>
                <c:pt idx="425">
                  <c:v>44726.708340219906</c:v>
                </c:pt>
                <c:pt idx="426">
                  <c:v>44726.750006944443</c:v>
                </c:pt>
                <c:pt idx="427">
                  <c:v>44726.79167366898</c:v>
                </c:pt>
                <c:pt idx="428">
                  <c:v>44726.833340393518</c:v>
                </c:pt>
                <c:pt idx="429">
                  <c:v>44726.875007118055</c:v>
                </c:pt>
                <c:pt idx="430">
                  <c:v>44726.916673842592</c:v>
                </c:pt>
                <c:pt idx="431">
                  <c:v>44726.958340567129</c:v>
                </c:pt>
                <c:pt idx="432">
                  <c:v>44727.000007291666</c:v>
                </c:pt>
                <c:pt idx="433">
                  <c:v>44727.041674016204</c:v>
                </c:pt>
                <c:pt idx="434">
                  <c:v>44727.083340740741</c:v>
                </c:pt>
                <c:pt idx="435">
                  <c:v>44727.125007465278</c:v>
                </c:pt>
                <c:pt idx="436">
                  <c:v>44727.166674189815</c:v>
                </c:pt>
                <c:pt idx="437">
                  <c:v>44727.208340914352</c:v>
                </c:pt>
                <c:pt idx="438">
                  <c:v>44727.25000763889</c:v>
                </c:pt>
                <c:pt idx="439">
                  <c:v>44727.291674363427</c:v>
                </c:pt>
                <c:pt idx="440">
                  <c:v>44727.333341087964</c:v>
                </c:pt>
                <c:pt idx="441">
                  <c:v>44727.375007812501</c:v>
                </c:pt>
                <c:pt idx="442">
                  <c:v>44727.416674537038</c:v>
                </c:pt>
                <c:pt idx="443">
                  <c:v>44727.458341261576</c:v>
                </c:pt>
                <c:pt idx="444">
                  <c:v>44727.500007986113</c:v>
                </c:pt>
                <c:pt idx="445">
                  <c:v>44727.54167471065</c:v>
                </c:pt>
                <c:pt idx="446">
                  <c:v>44727.583341435187</c:v>
                </c:pt>
                <c:pt idx="447">
                  <c:v>44727.625008159725</c:v>
                </c:pt>
                <c:pt idx="448">
                  <c:v>44727.666674884262</c:v>
                </c:pt>
                <c:pt idx="449">
                  <c:v>44727.708341608799</c:v>
                </c:pt>
                <c:pt idx="450">
                  <c:v>44727.750008333336</c:v>
                </c:pt>
                <c:pt idx="451">
                  <c:v>44727.791675057873</c:v>
                </c:pt>
                <c:pt idx="452">
                  <c:v>44727.833341782411</c:v>
                </c:pt>
                <c:pt idx="453">
                  <c:v>44727.875008506948</c:v>
                </c:pt>
                <c:pt idx="454">
                  <c:v>44727.916675231485</c:v>
                </c:pt>
                <c:pt idx="455">
                  <c:v>44727.958341956015</c:v>
                </c:pt>
                <c:pt idx="456">
                  <c:v>44728.000008680552</c:v>
                </c:pt>
                <c:pt idx="457">
                  <c:v>44728.041675405089</c:v>
                </c:pt>
                <c:pt idx="458">
                  <c:v>44728.083342129627</c:v>
                </c:pt>
                <c:pt idx="459">
                  <c:v>44728.125008854164</c:v>
                </c:pt>
                <c:pt idx="460">
                  <c:v>44728.166675578701</c:v>
                </c:pt>
                <c:pt idx="461">
                  <c:v>44728.208342303238</c:v>
                </c:pt>
                <c:pt idx="462">
                  <c:v>44728.250009027775</c:v>
                </c:pt>
                <c:pt idx="463">
                  <c:v>44728.291675752313</c:v>
                </c:pt>
                <c:pt idx="464">
                  <c:v>44728.33334247685</c:v>
                </c:pt>
                <c:pt idx="465">
                  <c:v>44728.375009201387</c:v>
                </c:pt>
                <c:pt idx="466">
                  <c:v>44728.416675925924</c:v>
                </c:pt>
                <c:pt idx="467">
                  <c:v>44728.458342650461</c:v>
                </c:pt>
                <c:pt idx="468">
                  <c:v>44728.500009374999</c:v>
                </c:pt>
                <c:pt idx="469">
                  <c:v>44728.541676099536</c:v>
                </c:pt>
                <c:pt idx="470">
                  <c:v>44728.583342824073</c:v>
                </c:pt>
                <c:pt idx="471">
                  <c:v>44728.62500954861</c:v>
                </c:pt>
                <c:pt idx="472">
                  <c:v>44728.666676273147</c:v>
                </c:pt>
                <c:pt idx="473">
                  <c:v>44728.708342997685</c:v>
                </c:pt>
                <c:pt idx="474">
                  <c:v>44728.750009722222</c:v>
                </c:pt>
                <c:pt idx="475">
                  <c:v>44728.791676446759</c:v>
                </c:pt>
                <c:pt idx="476">
                  <c:v>44728.833343171296</c:v>
                </c:pt>
                <c:pt idx="477">
                  <c:v>44728.875009895834</c:v>
                </c:pt>
                <c:pt idx="478">
                  <c:v>44728.916676620371</c:v>
                </c:pt>
                <c:pt idx="479">
                  <c:v>44728.958343344908</c:v>
                </c:pt>
                <c:pt idx="480">
                  <c:v>44729.000010069445</c:v>
                </c:pt>
                <c:pt idx="481">
                  <c:v>44729.041676793982</c:v>
                </c:pt>
                <c:pt idx="482">
                  <c:v>44729.08334351852</c:v>
                </c:pt>
                <c:pt idx="483">
                  <c:v>44729.125010243057</c:v>
                </c:pt>
                <c:pt idx="484">
                  <c:v>44729.166676967594</c:v>
                </c:pt>
                <c:pt idx="485">
                  <c:v>44729.208343692131</c:v>
                </c:pt>
                <c:pt idx="486">
                  <c:v>44729.250010416668</c:v>
                </c:pt>
                <c:pt idx="487">
                  <c:v>44729.291677141206</c:v>
                </c:pt>
                <c:pt idx="488">
                  <c:v>44729.333343865743</c:v>
                </c:pt>
                <c:pt idx="489">
                  <c:v>44729.37501059028</c:v>
                </c:pt>
                <c:pt idx="490">
                  <c:v>44729.416677314817</c:v>
                </c:pt>
                <c:pt idx="491">
                  <c:v>44729.458344039354</c:v>
                </c:pt>
                <c:pt idx="492">
                  <c:v>44729.500010763892</c:v>
                </c:pt>
                <c:pt idx="493">
                  <c:v>44729.541677488429</c:v>
                </c:pt>
                <c:pt idx="494">
                  <c:v>44729.583344212966</c:v>
                </c:pt>
                <c:pt idx="495">
                  <c:v>44729.625010937503</c:v>
                </c:pt>
                <c:pt idx="496">
                  <c:v>44729.66667766204</c:v>
                </c:pt>
                <c:pt idx="497">
                  <c:v>44729.708344386578</c:v>
                </c:pt>
                <c:pt idx="498">
                  <c:v>44729.750011111108</c:v>
                </c:pt>
                <c:pt idx="499">
                  <c:v>44729.791677835645</c:v>
                </c:pt>
                <c:pt idx="500">
                  <c:v>44729.833344560182</c:v>
                </c:pt>
                <c:pt idx="501">
                  <c:v>44729.875011284719</c:v>
                </c:pt>
                <c:pt idx="502">
                  <c:v>44729.916678009256</c:v>
                </c:pt>
                <c:pt idx="503">
                  <c:v>44729.958344733794</c:v>
                </c:pt>
                <c:pt idx="504">
                  <c:v>44730.000011458331</c:v>
                </c:pt>
                <c:pt idx="505">
                  <c:v>44730.041678182868</c:v>
                </c:pt>
                <c:pt idx="506">
                  <c:v>44730.083344907405</c:v>
                </c:pt>
                <c:pt idx="507">
                  <c:v>44730.125011631942</c:v>
                </c:pt>
                <c:pt idx="508">
                  <c:v>44730.16667835648</c:v>
                </c:pt>
                <c:pt idx="509">
                  <c:v>44730.208345081017</c:v>
                </c:pt>
                <c:pt idx="510">
                  <c:v>44730.250011805554</c:v>
                </c:pt>
                <c:pt idx="511">
                  <c:v>44730.291678530091</c:v>
                </c:pt>
                <c:pt idx="512">
                  <c:v>44730.333345254629</c:v>
                </c:pt>
                <c:pt idx="513">
                  <c:v>44730.375011979166</c:v>
                </c:pt>
                <c:pt idx="514">
                  <c:v>44730.416678703703</c:v>
                </c:pt>
                <c:pt idx="515">
                  <c:v>44730.45834542824</c:v>
                </c:pt>
                <c:pt idx="516">
                  <c:v>44730.500012152777</c:v>
                </c:pt>
                <c:pt idx="517">
                  <c:v>44730.541678819442</c:v>
                </c:pt>
                <c:pt idx="518">
                  <c:v>44730.583345543979</c:v>
                </c:pt>
                <c:pt idx="519">
                  <c:v>44730.625012268516</c:v>
                </c:pt>
                <c:pt idx="520">
                  <c:v>44730.666678993053</c:v>
                </c:pt>
                <c:pt idx="521">
                  <c:v>44730.70834571759</c:v>
                </c:pt>
                <c:pt idx="522">
                  <c:v>44730.750012442128</c:v>
                </c:pt>
                <c:pt idx="523">
                  <c:v>44730.791679166665</c:v>
                </c:pt>
                <c:pt idx="524">
                  <c:v>44730.833345891202</c:v>
                </c:pt>
                <c:pt idx="525">
                  <c:v>44730.875012615739</c:v>
                </c:pt>
                <c:pt idx="526">
                  <c:v>44730.916679340276</c:v>
                </c:pt>
                <c:pt idx="527">
                  <c:v>44730.958346064814</c:v>
                </c:pt>
                <c:pt idx="528">
                  <c:v>44731.000012789351</c:v>
                </c:pt>
                <c:pt idx="529">
                  <c:v>44731.041679513888</c:v>
                </c:pt>
                <c:pt idx="530">
                  <c:v>44731.083346238425</c:v>
                </c:pt>
                <c:pt idx="531">
                  <c:v>44731.125012962963</c:v>
                </c:pt>
                <c:pt idx="532">
                  <c:v>44731.1666796875</c:v>
                </c:pt>
                <c:pt idx="533">
                  <c:v>44731.208346412037</c:v>
                </c:pt>
                <c:pt idx="534">
                  <c:v>44731.250013136574</c:v>
                </c:pt>
                <c:pt idx="535">
                  <c:v>44731.291679861111</c:v>
                </c:pt>
                <c:pt idx="536">
                  <c:v>44731.333346585649</c:v>
                </c:pt>
                <c:pt idx="537">
                  <c:v>44731.375013310186</c:v>
                </c:pt>
                <c:pt idx="538">
                  <c:v>44731.416680034723</c:v>
                </c:pt>
                <c:pt idx="539">
                  <c:v>44731.45834675926</c:v>
                </c:pt>
                <c:pt idx="540">
                  <c:v>44731.500013483797</c:v>
                </c:pt>
                <c:pt idx="541">
                  <c:v>44731.541680208335</c:v>
                </c:pt>
                <c:pt idx="542">
                  <c:v>44731.583346932872</c:v>
                </c:pt>
                <c:pt idx="543">
                  <c:v>44731.625013657409</c:v>
                </c:pt>
                <c:pt idx="544">
                  <c:v>44731.666680381946</c:v>
                </c:pt>
                <c:pt idx="545">
                  <c:v>44731.708347106483</c:v>
                </c:pt>
                <c:pt idx="546">
                  <c:v>44731.750013831021</c:v>
                </c:pt>
                <c:pt idx="547">
                  <c:v>44731.791680555558</c:v>
                </c:pt>
                <c:pt idx="548">
                  <c:v>44731.833347280095</c:v>
                </c:pt>
                <c:pt idx="549">
                  <c:v>44731.875014004632</c:v>
                </c:pt>
                <c:pt idx="550">
                  <c:v>44731.916680729169</c:v>
                </c:pt>
                <c:pt idx="551">
                  <c:v>44731.958347453707</c:v>
                </c:pt>
                <c:pt idx="552">
                  <c:v>44732.000014178244</c:v>
                </c:pt>
                <c:pt idx="553">
                  <c:v>44732.041680902781</c:v>
                </c:pt>
                <c:pt idx="554">
                  <c:v>44732.083347627318</c:v>
                </c:pt>
                <c:pt idx="555">
                  <c:v>44732.125014351848</c:v>
                </c:pt>
                <c:pt idx="556">
                  <c:v>44732.166681076385</c:v>
                </c:pt>
                <c:pt idx="557">
                  <c:v>44732.208347800923</c:v>
                </c:pt>
                <c:pt idx="558">
                  <c:v>44732.25001452546</c:v>
                </c:pt>
                <c:pt idx="559">
                  <c:v>44732.291681249997</c:v>
                </c:pt>
                <c:pt idx="560">
                  <c:v>44732.333347974534</c:v>
                </c:pt>
                <c:pt idx="561">
                  <c:v>44732.375014699071</c:v>
                </c:pt>
                <c:pt idx="562">
                  <c:v>44732.416681423609</c:v>
                </c:pt>
                <c:pt idx="563">
                  <c:v>44732.458348148146</c:v>
                </c:pt>
                <c:pt idx="564">
                  <c:v>44732.500014872683</c:v>
                </c:pt>
                <c:pt idx="565">
                  <c:v>44732.54168159722</c:v>
                </c:pt>
                <c:pt idx="566">
                  <c:v>44732.583348321758</c:v>
                </c:pt>
                <c:pt idx="567">
                  <c:v>44732.625015046295</c:v>
                </c:pt>
                <c:pt idx="568">
                  <c:v>44732.666681770832</c:v>
                </c:pt>
                <c:pt idx="569">
                  <c:v>44732.708348495369</c:v>
                </c:pt>
                <c:pt idx="570">
                  <c:v>44732.750015219906</c:v>
                </c:pt>
                <c:pt idx="571">
                  <c:v>44732.791681944444</c:v>
                </c:pt>
                <c:pt idx="572">
                  <c:v>44732.833348668981</c:v>
                </c:pt>
                <c:pt idx="573">
                  <c:v>44732.875015393518</c:v>
                </c:pt>
                <c:pt idx="574">
                  <c:v>44732.916682118055</c:v>
                </c:pt>
                <c:pt idx="575">
                  <c:v>44732.958348842592</c:v>
                </c:pt>
                <c:pt idx="576">
                  <c:v>44733.00001556713</c:v>
                </c:pt>
                <c:pt idx="577">
                  <c:v>44733.041682291667</c:v>
                </c:pt>
                <c:pt idx="578">
                  <c:v>44733.083349016204</c:v>
                </c:pt>
                <c:pt idx="579">
                  <c:v>44733.125015740741</c:v>
                </c:pt>
                <c:pt idx="580">
                  <c:v>44733.166682465278</c:v>
                </c:pt>
                <c:pt idx="581">
                  <c:v>44733.208349189816</c:v>
                </c:pt>
                <c:pt idx="582">
                  <c:v>44733.250015914353</c:v>
                </c:pt>
                <c:pt idx="583">
                  <c:v>44733.29168263889</c:v>
                </c:pt>
                <c:pt idx="584">
                  <c:v>44733.333349363427</c:v>
                </c:pt>
                <c:pt idx="585">
                  <c:v>44733.375016087964</c:v>
                </c:pt>
                <c:pt idx="586">
                  <c:v>44733.416682812502</c:v>
                </c:pt>
                <c:pt idx="587">
                  <c:v>44733.458349537039</c:v>
                </c:pt>
                <c:pt idx="588">
                  <c:v>44733.500016261576</c:v>
                </c:pt>
                <c:pt idx="589">
                  <c:v>44733.541682986113</c:v>
                </c:pt>
                <c:pt idx="590">
                  <c:v>44733.583349710651</c:v>
                </c:pt>
                <c:pt idx="591">
                  <c:v>44733.625016435188</c:v>
                </c:pt>
                <c:pt idx="592">
                  <c:v>44733.666683159725</c:v>
                </c:pt>
                <c:pt idx="593">
                  <c:v>44733.708349884262</c:v>
                </c:pt>
                <c:pt idx="594">
                  <c:v>44733.750016608799</c:v>
                </c:pt>
                <c:pt idx="595">
                  <c:v>44733.791683333337</c:v>
                </c:pt>
                <c:pt idx="596">
                  <c:v>44733.833350057874</c:v>
                </c:pt>
                <c:pt idx="597">
                  <c:v>44733.875016782411</c:v>
                </c:pt>
                <c:pt idx="598">
                  <c:v>44733.916683506941</c:v>
                </c:pt>
                <c:pt idx="599">
                  <c:v>44733.958350231478</c:v>
                </c:pt>
                <c:pt idx="600">
                  <c:v>44734.000016956015</c:v>
                </c:pt>
                <c:pt idx="601">
                  <c:v>44734.041683680553</c:v>
                </c:pt>
                <c:pt idx="602">
                  <c:v>44734.08335040509</c:v>
                </c:pt>
                <c:pt idx="603">
                  <c:v>44734.125017129627</c:v>
                </c:pt>
                <c:pt idx="604">
                  <c:v>44734.166683854164</c:v>
                </c:pt>
                <c:pt idx="605">
                  <c:v>44734.208350578701</c:v>
                </c:pt>
                <c:pt idx="606">
                  <c:v>44734.250017303239</c:v>
                </c:pt>
                <c:pt idx="607">
                  <c:v>44734.291684027776</c:v>
                </c:pt>
                <c:pt idx="608">
                  <c:v>44734.333350752313</c:v>
                </c:pt>
                <c:pt idx="609">
                  <c:v>44734.37501747685</c:v>
                </c:pt>
                <c:pt idx="610">
                  <c:v>44734.416684201387</c:v>
                </c:pt>
                <c:pt idx="611">
                  <c:v>44734.458350925925</c:v>
                </c:pt>
                <c:pt idx="612">
                  <c:v>44734.500017650462</c:v>
                </c:pt>
                <c:pt idx="613">
                  <c:v>44734.541684317126</c:v>
                </c:pt>
                <c:pt idx="614">
                  <c:v>44734.583351041663</c:v>
                </c:pt>
                <c:pt idx="615">
                  <c:v>44734.6250177662</c:v>
                </c:pt>
                <c:pt idx="616">
                  <c:v>44734.666684490738</c:v>
                </c:pt>
                <c:pt idx="617">
                  <c:v>44734.708351215275</c:v>
                </c:pt>
                <c:pt idx="618">
                  <c:v>44734.750017939812</c:v>
                </c:pt>
                <c:pt idx="619">
                  <c:v>44734.791684664349</c:v>
                </c:pt>
                <c:pt idx="620">
                  <c:v>44734.833351388887</c:v>
                </c:pt>
                <c:pt idx="621">
                  <c:v>44734.875018113424</c:v>
                </c:pt>
                <c:pt idx="622">
                  <c:v>44734.916684837961</c:v>
                </c:pt>
                <c:pt idx="623">
                  <c:v>44734.958351562498</c:v>
                </c:pt>
                <c:pt idx="624">
                  <c:v>44735.000018287035</c:v>
                </c:pt>
                <c:pt idx="625">
                  <c:v>44735.041685011573</c:v>
                </c:pt>
                <c:pt idx="626">
                  <c:v>44735.08335173611</c:v>
                </c:pt>
                <c:pt idx="627">
                  <c:v>44735.125018460647</c:v>
                </c:pt>
                <c:pt idx="628">
                  <c:v>44735.166685185184</c:v>
                </c:pt>
                <c:pt idx="629">
                  <c:v>44735.208351909721</c:v>
                </c:pt>
                <c:pt idx="630">
                  <c:v>44735.250018634259</c:v>
                </c:pt>
                <c:pt idx="631">
                  <c:v>44735.291685358796</c:v>
                </c:pt>
                <c:pt idx="632">
                  <c:v>44735.333352083333</c:v>
                </c:pt>
                <c:pt idx="633">
                  <c:v>44735.37501880787</c:v>
                </c:pt>
                <c:pt idx="634">
                  <c:v>44735.416685532407</c:v>
                </c:pt>
                <c:pt idx="635">
                  <c:v>44735.458352256945</c:v>
                </c:pt>
                <c:pt idx="636">
                  <c:v>44735.500018981482</c:v>
                </c:pt>
                <c:pt idx="637">
                  <c:v>44735.541685706019</c:v>
                </c:pt>
                <c:pt idx="638">
                  <c:v>44735.583352430556</c:v>
                </c:pt>
                <c:pt idx="639">
                  <c:v>44735.625019155093</c:v>
                </c:pt>
                <c:pt idx="640">
                  <c:v>44735.666685879631</c:v>
                </c:pt>
                <c:pt idx="641">
                  <c:v>44735.708352604168</c:v>
                </c:pt>
                <c:pt idx="642">
                  <c:v>44735.750019328705</c:v>
                </c:pt>
                <c:pt idx="643">
                  <c:v>44735.791686053242</c:v>
                </c:pt>
                <c:pt idx="644">
                  <c:v>44735.83335277778</c:v>
                </c:pt>
                <c:pt idx="645">
                  <c:v>44735.875019502317</c:v>
                </c:pt>
                <c:pt idx="646">
                  <c:v>44735.916686226854</c:v>
                </c:pt>
                <c:pt idx="647">
                  <c:v>44735.958352951391</c:v>
                </c:pt>
                <c:pt idx="648">
                  <c:v>44736.000019675928</c:v>
                </c:pt>
                <c:pt idx="649">
                  <c:v>44736.041686400466</c:v>
                </c:pt>
                <c:pt idx="650">
                  <c:v>44736.083353125003</c:v>
                </c:pt>
                <c:pt idx="651">
                  <c:v>44736.12501984954</c:v>
                </c:pt>
                <c:pt idx="652">
                  <c:v>44736.166686574077</c:v>
                </c:pt>
                <c:pt idx="653">
                  <c:v>44736.208353298614</c:v>
                </c:pt>
                <c:pt idx="654">
                  <c:v>44736.250020023152</c:v>
                </c:pt>
                <c:pt idx="655">
                  <c:v>44736.291686747689</c:v>
                </c:pt>
                <c:pt idx="656">
                  <c:v>44736.333353472219</c:v>
                </c:pt>
                <c:pt idx="657">
                  <c:v>44736.375020196756</c:v>
                </c:pt>
                <c:pt idx="658">
                  <c:v>44736.416686921293</c:v>
                </c:pt>
                <c:pt idx="659">
                  <c:v>44736.45835364583</c:v>
                </c:pt>
                <c:pt idx="660">
                  <c:v>44736.500020370368</c:v>
                </c:pt>
                <c:pt idx="661">
                  <c:v>44736.541687094905</c:v>
                </c:pt>
                <c:pt idx="662">
                  <c:v>44736.583353819442</c:v>
                </c:pt>
                <c:pt idx="663">
                  <c:v>44736.625020543979</c:v>
                </c:pt>
                <c:pt idx="664">
                  <c:v>44736.666687268516</c:v>
                </c:pt>
                <c:pt idx="665">
                  <c:v>44736.708353993054</c:v>
                </c:pt>
                <c:pt idx="666">
                  <c:v>44736.750020717591</c:v>
                </c:pt>
                <c:pt idx="667">
                  <c:v>44736.791687442128</c:v>
                </c:pt>
                <c:pt idx="668">
                  <c:v>44736.833354166665</c:v>
                </c:pt>
                <c:pt idx="669">
                  <c:v>44736.875020891202</c:v>
                </c:pt>
                <c:pt idx="670">
                  <c:v>44736.91668761574</c:v>
                </c:pt>
                <c:pt idx="671">
                  <c:v>44736.958354340277</c:v>
                </c:pt>
                <c:pt idx="672">
                  <c:v>44737.000021064814</c:v>
                </c:pt>
                <c:pt idx="673">
                  <c:v>44737.041687789351</c:v>
                </c:pt>
                <c:pt idx="674">
                  <c:v>44737.083354513888</c:v>
                </c:pt>
                <c:pt idx="675">
                  <c:v>44737.125021238426</c:v>
                </c:pt>
                <c:pt idx="676">
                  <c:v>44737.166687962963</c:v>
                </c:pt>
                <c:pt idx="677">
                  <c:v>44737.2083546875</c:v>
                </c:pt>
                <c:pt idx="678">
                  <c:v>44737.250021412037</c:v>
                </c:pt>
                <c:pt idx="679">
                  <c:v>44737.291688136575</c:v>
                </c:pt>
                <c:pt idx="680">
                  <c:v>44737.333354861112</c:v>
                </c:pt>
                <c:pt idx="681">
                  <c:v>44737.375021585649</c:v>
                </c:pt>
                <c:pt idx="682">
                  <c:v>44737.416688310186</c:v>
                </c:pt>
                <c:pt idx="683">
                  <c:v>44737.458355034723</c:v>
                </c:pt>
                <c:pt idx="684">
                  <c:v>44737.500021759261</c:v>
                </c:pt>
                <c:pt idx="685">
                  <c:v>44737.541688483798</c:v>
                </c:pt>
                <c:pt idx="686">
                  <c:v>44737.583355208335</c:v>
                </c:pt>
                <c:pt idx="687">
                  <c:v>44737.625021932872</c:v>
                </c:pt>
                <c:pt idx="688">
                  <c:v>44737.666688657409</c:v>
                </c:pt>
                <c:pt idx="689">
                  <c:v>44737.708355381947</c:v>
                </c:pt>
                <c:pt idx="690">
                  <c:v>44737.750022106484</c:v>
                </c:pt>
                <c:pt idx="691">
                  <c:v>44737.791688831021</c:v>
                </c:pt>
                <c:pt idx="692">
                  <c:v>44737.833355555558</c:v>
                </c:pt>
                <c:pt idx="693">
                  <c:v>44737.875022280095</c:v>
                </c:pt>
                <c:pt idx="694">
                  <c:v>44737.916689004633</c:v>
                </c:pt>
                <c:pt idx="695">
                  <c:v>44737.95835572917</c:v>
                </c:pt>
              </c:numCache>
            </c:numRef>
          </c:xVal>
          <c:yVal>
            <c:numRef>
              <c:f>'data asli x100'!$C$8:$C$703</c:f>
              <c:numCache>
                <c:formatCode>0.00</c:formatCode>
                <c:ptCount val="696"/>
                <c:pt idx="0">
                  <c:v>136</c:v>
                </c:pt>
                <c:pt idx="1">
                  <c:v>165.5</c:v>
                </c:pt>
                <c:pt idx="2">
                  <c:v>198.3</c:v>
                </c:pt>
                <c:pt idx="3">
                  <c:v>224.7</c:v>
                </c:pt>
                <c:pt idx="4">
                  <c:v>239</c:v>
                </c:pt>
                <c:pt idx="5">
                  <c:v>243.00000000000003</c:v>
                </c:pt>
                <c:pt idx="6">
                  <c:v>231.70000000000002</c:v>
                </c:pt>
                <c:pt idx="7">
                  <c:v>212.1</c:v>
                </c:pt>
                <c:pt idx="8">
                  <c:v>188.39999999999998</c:v>
                </c:pt>
                <c:pt idx="9">
                  <c:v>163.69999999999999</c:v>
                </c:pt>
                <c:pt idx="10">
                  <c:v>145.4</c:v>
                </c:pt>
                <c:pt idx="11">
                  <c:v>135.4</c:v>
                </c:pt>
                <c:pt idx="12">
                  <c:v>142</c:v>
                </c:pt>
                <c:pt idx="13">
                  <c:v>156.1</c:v>
                </c:pt>
                <c:pt idx="14">
                  <c:v>173.10000000000002</c:v>
                </c:pt>
                <c:pt idx="15">
                  <c:v>188.9</c:v>
                </c:pt>
                <c:pt idx="16">
                  <c:v>194.9</c:v>
                </c:pt>
                <c:pt idx="17">
                  <c:v>190</c:v>
                </c:pt>
                <c:pt idx="18">
                  <c:v>173.3</c:v>
                </c:pt>
                <c:pt idx="19">
                  <c:v>155</c:v>
                </c:pt>
                <c:pt idx="20">
                  <c:v>132.4</c:v>
                </c:pt>
                <c:pt idx="21">
                  <c:v>110.80000000000001</c:v>
                </c:pt>
                <c:pt idx="22">
                  <c:v>96.899999999999991</c:v>
                </c:pt>
                <c:pt idx="23">
                  <c:v>99.1</c:v>
                </c:pt>
                <c:pt idx="24">
                  <c:v>113.79999999999998</c:v>
                </c:pt>
                <c:pt idx="25">
                  <c:v>143.9</c:v>
                </c:pt>
                <c:pt idx="26">
                  <c:v>184.7</c:v>
                </c:pt>
                <c:pt idx="27">
                  <c:v>222.29999999999998</c:v>
                </c:pt>
                <c:pt idx="28">
                  <c:v>249.10000000000002</c:v>
                </c:pt>
                <c:pt idx="29">
                  <c:v>258.10000000000002</c:v>
                </c:pt>
                <c:pt idx="30">
                  <c:v>251.9</c:v>
                </c:pt>
                <c:pt idx="31">
                  <c:v>232.6</c:v>
                </c:pt>
                <c:pt idx="32">
                  <c:v>202.4</c:v>
                </c:pt>
                <c:pt idx="33">
                  <c:v>171.9</c:v>
                </c:pt>
                <c:pt idx="34">
                  <c:v>144.1</c:v>
                </c:pt>
                <c:pt idx="35">
                  <c:v>125.29999999999998</c:v>
                </c:pt>
                <c:pt idx="36">
                  <c:v>123.2</c:v>
                </c:pt>
                <c:pt idx="37">
                  <c:v>133.20000000000002</c:v>
                </c:pt>
                <c:pt idx="38">
                  <c:v>150</c:v>
                </c:pt>
                <c:pt idx="39">
                  <c:v>169.3</c:v>
                </c:pt>
                <c:pt idx="40">
                  <c:v>183.29999999999998</c:v>
                </c:pt>
                <c:pt idx="41">
                  <c:v>184</c:v>
                </c:pt>
                <c:pt idx="42">
                  <c:v>174.2</c:v>
                </c:pt>
                <c:pt idx="43">
                  <c:v>158.29999999999998</c:v>
                </c:pt>
                <c:pt idx="44">
                  <c:v>133.20000000000002</c:v>
                </c:pt>
                <c:pt idx="45">
                  <c:v>106.69999999999999</c:v>
                </c:pt>
                <c:pt idx="46">
                  <c:v>81.3</c:v>
                </c:pt>
                <c:pt idx="47">
                  <c:v>75.400000000000006</c:v>
                </c:pt>
                <c:pt idx="48">
                  <c:v>90.600000000000009</c:v>
                </c:pt>
                <c:pt idx="49">
                  <c:v>123.10000000000001</c:v>
                </c:pt>
                <c:pt idx="50">
                  <c:v>162.69999999999999</c:v>
                </c:pt>
                <c:pt idx="51">
                  <c:v>205.50000000000003</c:v>
                </c:pt>
                <c:pt idx="52">
                  <c:v>245.6</c:v>
                </c:pt>
                <c:pt idx="53">
                  <c:v>271.39999999999998</c:v>
                </c:pt>
                <c:pt idx="54">
                  <c:v>272.8</c:v>
                </c:pt>
                <c:pt idx="55">
                  <c:v>255.20000000000002</c:v>
                </c:pt>
                <c:pt idx="56">
                  <c:v>222.8</c:v>
                </c:pt>
                <c:pt idx="57">
                  <c:v>182.8</c:v>
                </c:pt>
                <c:pt idx="58">
                  <c:v>148.5</c:v>
                </c:pt>
                <c:pt idx="59">
                  <c:v>122</c:v>
                </c:pt>
                <c:pt idx="60">
                  <c:v>113.6</c:v>
                </c:pt>
                <c:pt idx="61">
                  <c:v>123.4</c:v>
                </c:pt>
                <c:pt idx="62">
                  <c:v>143.4</c:v>
                </c:pt>
                <c:pt idx="63">
                  <c:v>164.1</c:v>
                </c:pt>
                <c:pt idx="64">
                  <c:v>177.8</c:v>
                </c:pt>
                <c:pt idx="65">
                  <c:v>182.1</c:v>
                </c:pt>
                <c:pt idx="66">
                  <c:v>178.7</c:v>
                </c:pt>
                <c:pt idx="67">
                  <c:v>162.60000000000002</c:v>
                </c:pt>
                <c:pt idx="68">
                  <c:v>139.9</c:v>
                </c:pt>
                <c:pt idx="69">
                  <c:v>114.6</c:v>
                </c:pt>
                <c:pt idx="70">
                  <c:v>88.5</c:v>
                </c:pt>
                <c:pt idx="71">
                  <c:v>70.199999999999989</c:v>
                </c:pt>
                <c:pt idx="72">
                  <c:v>74.3</c:v>
                </c:pt>
                <c:pt idx="73">
                  <c:v>100.89999999999999</c:v>
                </c:pt>
                <c:pt idx="74">
                  <c:v>139.5</c:v>
                </c:pt>
                <c:pt idx="75">
                  <c:v>188.39999999999998</c:v>
                </c:pt>
                <c:pt idx="76">
                  <c:v>235.2</c:v>
                </c:pt>
                <c:pt idx="77">
                  <c:v>269.60000000000002</c:v>
                </c:pt>
                <c:pt idx="78">
                  <c:v>281.5</c:v>
                </c:pt>
                <c:pt idx="79">
                  <c:v>273.8</c:v>
                </c:pt>
                <c:pt idx="80">
                  <c:v>246</c:v>
                </c:pt>
                <c:pt idx="81">
                  <c:v>202.8</c:v>
                </c:pt>
                <c:pt idx="82">
                  <c:v>165.3</c:v>
                </c:pt>
                <c:pt idx="83">
                  <c:v>134.5</c:v>
                </c:pt>
                <c:pt idx="84">
                  <c:v>118</c:v>
                </c:pt>
                <c:pt idx="85">
                  <c:v>115.19999999999999</c:v>
                </c:pt>
                <c:pt idx="86">
                  <c:v>126.1</c:v>
                </c:pt>
                <c:pt idx="87">
                  <c:v>147</c:v>
                </c:pt>
                <c:pt idx="88">
                  <c:v>166.79999999999998</c:v>
                </c:pt>
                <c:pt idx="89">
                  <c:v>177.1</c:v>
                </c:pt>
                <c:pt idx="90">
                  <c:v>176.5</c:v>
                </c:pt>
                <c:pt idx="91">
                  <c:v>165.3</c:v>
                </c:pt>
                <c:pt idx="92">
                  <c:v>144.4</c:v>
                </c:pt>
                <c:pt idx="93">
                  <c:v>122.6</c:v>
                </c:pt>
                <c:pt idx="94">
                  <c:v>95.6</c:v>
                </c:pt>
                <c:pt idx="95">
                  <c:v>73.8</c:v>
                </c:pt>
                <c:pt idx="96">
                  <c:v>68.7</c:v>
                </c:pt>
                <c:pt idx="97">
                  <c:v>86.4</c:v>
                </c:pt>
                <c:pt idx="98">
                  <c:v>124.6</c:v>
                </c:pt>
                <c:pt idx="99">
                  <c:v>170.1</c:v>
                </c:pt>
                <c:pt idx="100">
                  <c:v>219.3</c:v>
                </c:pt>
                <c:pt idx="101">
                  <c:v>259.5</c:v>
                </c:pt>
                <c:pt idx="102">
                  <c:v>281.8</c:v>
                </c:pt>
                <c:pt idx="103">
                  <c:v>284</c:v>
                </c:pt>
                <c:pt idx="104">
                  <c:v>265.7</c:v>
                </c:pt>
                <c:pt idx="105">
                  <c:v>228.79999999999998</c:v>
                </c:pt>
                <c:pt idx="106">
                  <c:v>188.2</c:v>
                </c:pt>
                <c:pt idx="107">
                  <c:v>151.5</c:v>
                </c:pt>
                <c:pt idx="108">
                  <c:v>127</c:v>
                </c:pt>
                <c:pt idx="109">
                  <c:v>116.9</c:v>
                </c:pt>
                <c:pt idx="110">
                  <c:v>122.50000000000001</c:v>
                </c:pt>
                <c:pt idx="111">
                  <c:v>137.5</c:v>
                </c:pt>
                <c:pt idx="112">
                  <c:v>159.4</c:v>
                </c:pt>
                <c:pt idx="113">
                  <c:v>178.4</c:v>
                </c:pt>
                <c:pt idx="114">
                  <c:v>183.9</c:v>
                </c:pt>
                <c:pt idx="115">
                  <c:v>174.5</c:v>
                </c:pt>
                <c:pt idx="116">
                  <c:v>155.4</c:v>
                </c:pt>
                <c:pt idx="117">
                  <c:v>129.5</c:v>
                </c:pt>
                <c:pt idx="118">
                  <c:v>96.3</c:v>
                </c:pt>
                <c:pt idx="119">
                  <c:v>76.2</c:v>
                </c:pt>
                <c:pt idx="120">
                  <c:v>65.8</c:v>
                </c:pt>
                <c:pt idx="121">
                  <c:v>75</c:v>
                </c:pt>
                <c:pt idx="122">
                  <c:v>106.1</c:v>
                </c:pt>
                <c:pt idx="123">
                  <c:v>149.30000000000001</c:v>
                </c:pt>
                <c:pt idx="124">
                  <c:v>199.9</c:v>
                </c:pt>
                <c:pt idx="125">
                  <c:v>243.5</c:v>
                </c:pt>
                <c:pt idx="126">
                  <c:v>274.5</c:v>
                </c:pt>
                <c:pt idx="127">
                  <c:v>284.60000000000002</c:v>
                </c:pt>
                <c:pt idx="128">
                  <c:v>275.8</c:v>
                </c:pt>
                <c:pt idx="129">
                  <c:v>250.59999999999997</c:v>
                </c:pt>
                <c:pt idx="130">
                  <c:v>212.3</c:v>
                </c:pt>
                <c:pt idx="131">
                  <c:v>174.9</c:v>
                </c:pt>
                <c:pt idx="132">
                  <c:v>142.9</c:v>
                </c:pt>
                <c:pt idx="133">
                  <c:v>126.1</c:v>
                </c:pt>
                <c:pt idx="134">
                  <c:v>123.10000000000001</c:v>
                </c:pt>
                <c:pt idx="135">
                  <c:v>137.20000000000002</c:v>
                </c:pt>
                <c:pt idx="136">
                  <c:v>158.80000000000001</c:v>
                </c:pt>
                <c:pt idx="137">
                  <c:v>176.89999999999998</c:v>
                </c:pt>
                <c:pt idx="138">
                  <c:v>181.29999999999998</c:v>
                </c:pt>
                <c:pt idx="139">
                  <c:v>177.7</c:v>
                </c:pt>
                <c:pt idx="140">
                  <c:v>164.1</c:v>
                </c:pt>
                <c:pt idx="141">
                  <c:v>140.79999999999998</c:v>
                </c:pt>
                <c:pt idx="142">
                  <c:v>115.10000000000001</c:v>
                </c:pt>
                <c:pt idx="143">
                  <c:v>90.4</c:v>
                </c:pt>
                <c:pt idx="144">
                  <c:v>74</c:v>
                </c:pt>
                <c:pt idx="145">
                  <c:v>75.400000000000006</c:v>
                </c:pt>
                <c:pt idx="146">
                  <c:v>94.699999999999989</c:v>
                </c:pt>
                <c:pt idx="147">
                  <c:v>130.5</c:v>
                </c:pt>
                <c:pt idx="148">
                  <c:v>175.4</c:v>
                </c:pt>
                <c:pt idx="149">
                  <c:v>218.5</c:v>
                </c:pt>
                <c:pt idx="150">
                  <c:v>254.70000000000002</c:v>
                </c:pt>
                <c:pt idx="151">
                  <c:v>275.8</c:v>
                </c:pt>
                <c:pt idx="152">
                  <c:v>277.3</c:v>
                </c:pt>
                <c:pt idx="153">
                  <c:v>259.8</c:v>
                </c:pt>
                <c:pt idx="154">
                  <c:v>227.8</c:v>
                </c:pt>
                <c:pt idx="155">
                  <c:v>188.7</c:v>
                </c:pt>
                <c:pt idx="156">
                  <c:v>156.20000000000002</c:v>
                </c:pt>
                <c:pt idx="157">
                  <c:v>134.9</c:v>
                </c:pt>
                <c:pt idx="158">
                  <c:v>128</c:v>
                </c:pt>
                <c:pt idx="159">
                  <c:v>135</c:v>
                </c:pt>
                <c:pt idx="160">
                  <c:v>152.69999999999999</c:v>
                </c:pt>
                <c:pt idx="161">
                  <c:v>168</c:v>
                </c:pt>
                <c:pt idx="162">
                  <c:v>177.89999999999998</c:v>
                </c:pt>
                <c:pt idx="163">
                  <c:v>176.6</c:v>
                </c:pt>
                <c:pt idx="164">
                  <c:v>168.3</c:v>
                </c:pt>
                <c:pt idx="165">
                  <c:v>147.5</c:v>
                </c:pt>
                <c:pt idx="166">
                  <c:v>126.29999999999998</c:v>
                </c:pt>
                <c:pt idx="167">
                  <c:v>102.3</c:v>
                </c:pt>
                <c:pt idx="168">
                  <c:v>79.7</c:v>
                </c:pt>
                <c:pt idx="169">
                  <c:v>73.400000000000006</c:v>
                </c:pt>
                <c:pt idx="170">
                  <c:v>85.7</c:v>
                </c:pt>
                <c:pt idx="171">
                  <c:v>115.99999999999999</c:v>
                </c:pt>
                <c:pt idx="172">
                  <c:v>154</c:v>
                </c:pt>
                <c:pt idx="173">
                  <c:v>198.9</c:v>
                </c:pt>
                <c:pt idx="174">
                  <c:v>235.6</c:v>
                </c:pt>
                <c:pt idx="175">
                  <c:v>259.5</c:v>
                </c:pt>
                <c:pt idx="176">
                  <c:v>268.89999999999998</c:v>
                </c:pt>
                <c:pt idx="177">
                  <c:v>258.59999999999997</c:v>
                </c:pt>
                <c:pt idx="178">
                  <c:v>233.9</c:v>
                </c:pt>
                <c:pt idx="179">
                  <c:v>199.10000000000002</c:v>
                </c:pt>
                <c:pt idx="180">
                  <c:v>169.79999999999998</c:v>
                </c:pt>
                <c:pt idx="181">
                  <c:v>143.55000000000001</c:v>
                </c:pt>
                <c:pt idx="182">
                  <c:v>131.9</c:v>
                </c:pt>
                <c:pt idx="183">
                  <c:v>130.4</c:v>
                </c:pt>
                <c:pt idx="184">
                  <c:v>142.1</c:v>
                </c:pt>
                <c:pt idx="185">
                  <c:v>159.4</c:v>
                </c:pt>
                <c:pt idx="186">
                  <c:v>174.8</c:v>
                </c:pt>
                <c:pt idx="187">
                  <c:v>182</c:v>
                </c:pt>
                <c:pt idx="188">
                  <c:v>177.1</c:v>
                </c:pt>
                <c:pt idx="189">
                  <c:v>158.80000000000001</c:v>
                </c:pt>
                <c:pt idx="190">
                  <c:v>136</c:v>
                </c:pt>
                <c:pt idx="191">
                  <c:v>112.4</c:v>
                </c:pt>
                <c:pt idx="192">
                  <c:v>90.5</c:v>
                </c:pt>
                <c:pt idx="193">
                  <c:v>78.600000000000009</c:v>
                </c:pt>
                <c:pt idx="194">
                  <c:v>84.5</c:v>
                </c:pt>
                <c:pt idx="195">
                  <c:v>107</c:v>
                </c:pt>
                <c:pt idx="196">
                  <c:v>141.30000000000001</c:v>
                </c:pt>
                <c:pt idx="197">
                  <c:v>179.20000000000002</c:v>
                </c:pt>
                <c:pt idx="198">
                  <c:v>217.89999999999998</c:v>
                </c:pt>
                <c:pt idx="199">
                  <c:v>244.20000000000002</c:v>
                </c:pt>
                <c:pt idx="200">
                  <c:v>256.3</c:v>
                </c:pt>
                <c:pt idx="201">
                  <c:v>255.20000000000002</c:v>
                </c:pt>
                <c:pt idx="202">
                  <c:v>240.60000000000002</c:v>
                </c:pt>
                <c:pt idx="203">
                  <c:v>211.50000000000003</c:v>
                </c:pt>
                <c:pt idx="204">
                  <c:v>180.5</c:v>
                </c:pt>
                <c:pt idx="205">
                  <c:v>156.4</c:v>
                </c:pt>
                <c:pt idx="206">
                  <c:v>143.9</c:v>
                </c:pt>
                <c:pt idx="207">
                  <c:v>140.79999999999998</c:v>
                </c:pt>
                <c:pt idx="208">
                  <c:v>147.9</c:v>
                </c:pt>
                <c:pt idx="209">
                  <c:v>159.30000000000001</c:v>
                </c:pt>
                <c:pt idx="210">
                  <c:v>172.10000000000002</c:v>
                </c:pt>
                <c:pt idx="211">
                  <c:v>180.8</c:v>
                </c:pt>
                <c:pt idx="212">
                  <c:v>180.5</c:v>
                </c:pt>
                <c:pt idx="213">
                  <c:v>166.70000000000002</c:v>
                </c:pt>
                <c:pt idx="214">
                  <c:v>146</c:v>
                </c:pt>
                <c:pt idx="215">
                  <c:v>125.4</c:v>
                </c:pt>
                <c:pt idx="216">
                  <c:v>104.69999999999999</c:v>
                </c:pt>
                <c:pt idx="217">
                  <c:v>90.600000000000009</c:v>
                </c:pt>
                <c:pt idx="218">
                  <c:v>87.1</c:v>
                </c:pt>
                <c:pt idx="219">
                  <c:v>102.4</c:v>
                </c:pt>
                <c:pt idx="220">
                  <c:v>131.4</c:v>
                </c:pt>
                <c:pt idx="221">
                  <c:v>166.79999999999998</c:v>
                </c:pt>
                <c:pt idx="222">
                  <c:v>199.3</c:v>
                </c:pt>
                <c:pt idx="223">
                  <c:v>225</c:v>
                </c:pt>
                <c:pt idx="224">
                  <c:v>240.20000000000002</c:v>
                </c:pt>
                <c:pt idx="225">
                  <c:v>242.20000000000002</c:v>
                </c:pt>
                <c:pt idx="226">
                  <c:v>235.70000000000002</c:v>
                </c:pt>
                <c:pt idx="227">
                  <c:v>218.29999999999998</c:v>
                </c:pt>
                <c:pt idx="228">
                  <c:v>192.3</c:v>
                </c:pt>
                <c:pt idx="229">
                  <c:v>170.5</c:v>
                </c:pt>
                <c:pt idx="230">
                  <c:v>155.6</c:v>
                </c:pt>
                <c:pt idx="231">
                  <c:v>147.30000000000001</c:v>
                </c:pt>
                <c:pt idx="232">
                  <c:v>147.9</c:v>
                </c:pt>
                <c:pt idx="233">
                  <c:v>157.29999999999998</c:v>
                </c:pt>
                <c:pt idx="234">
                  <c:v>167.3</c:v>
                </c:pt>
                <c:pt idx="235">
                  <c:v>178.9</c:v>
                </c:pt>
                <c:pt idx="236">
                  <c:v>183.20000000000002</c:v>
                </c:pt>
                <c:pt idx="237">
                  <c:v>175.5</c:v>
                </c:pt>
                <c:pt idx="238">
                  <c:v>155.6</c:v>
                </c:pt>
                <c:pt idx="239">
                  <c:v>137.5</c:v>
                </c:pt>
                <c:pt idx="240">
                  <c:v>119.7</c:v>
                </c:pt>
                <c:pt idx="241">
                  <c:v>105.80000000000001</c:v>
                </c:pt>
                <c:pt idx="242">
                  <c:v>102.8</c:v>
                </c:pt>
                <c:pt idx="243">
                  <c:v>110.00000000000001</c:v>
                </c:pt>
                <c:pt idx="244">
                  <c:v>130.69999999999999</c:v>
                </c:pt>
                <c:pt idx="245">
                  <c:v>159.30000000000001</c:v>
                </c:pt>
                <c:pt idx="246">
                  <c:v>188.6</c:v>
                </c:pt>
                <c:pt idx="247">
                  <c:v>209.60000000000002</c:v>
                </c:pt>
                <c:pt idx="248">
                  <c:v>224.10000000000002</c:v>
                </c:pt>
                <c:pt idx="249">
                  <c:v>230.29999999999998</c:v>
                </c:pt>
                <c:pt idx="250">
                  <c:v>224.7</c:v>
                </c:pt>
                <c:pt idx="251">
                  <c:v>212.4</c:v>
                </c:pt>
                <c:pt idx="252">
                  <c:v>198.6</c:v>
                </c:pt>
                <c:pt idx="253">
                  <c:v>180.8</c:v>
                </c:pt>
                <c:pt idx="254">
                  <c:v>162.9</c:v>
                </c:pt>
                <c:pt idx="255">
                  <c:v>153.5</c:v>
                </c:pt>
                <c:pt idx="256">
                  <c:v>150.19999999999999</c:v>
                </c:pt>
                <c:pt idx="257">
                  <c:v>151.10000000000002</c:v>
                </c:pt>
                <c:pt idx="258">
                  <c:v>159.5</c:v>
                </c:pt>
                <c:pt idx="259">
                  <c:v>172.4</c:v>
                </c:pt>
                <c:pt idx="260">
                  <c:v>179.6</c:v>
                </c:pt>
                <c:pt idx="261">
                  <c:v>176.6</c:v>
                </c:pt>
                <c:pt idx="262">
                  <c:v>164</c:v>
                </c:pt>
                <c:pt idx="263">
                  <c:v>149.5</c:v>
                </c:pt>
                <c:pt idx="264">
                  <c:v>137.30000000000001</c:v>
                </c:pt>
                <c:pt idx="265">
                  <c:v>127.1</c:v>
                </c:pt>
                <c:pt idx="266">
                  <c:v>123.4</c:v>
                </c:pt>
                <c:pt idx="267">
                  <c:v>127.3</c:v>
                </c:pt>
                <c:pt idx="268">
                  <c:v>135.20000000000002</c:v>
                </c:pt>
                <c:pt idx="269">
                  <c:v>152.6</c:v>
                </c:pt>
                <c:pt idx="270">
                  <c:v>173.9</c:v>
                </c:pt>
                <c:pt idx="271">
                  <c:v>190.5</c:v>
                </c:pt>
                <c:pt idx="272">
                  <c:v>203.9</c:v>
                </c:pt>
                <c:pt idx="273">
                  <c:v>208.70000000000002</c:v>
                </c:pt>
                <c:pt idx="274">
                  <c:v>207.7</c:v>
                </c:pt>
                <c:pt idx="275">
                  <c:v>203.6</c:v>
                </c:pt>
                <c:pt idx="276">
                  <c:v>197.6</c:v>
                </c:pt>
                <c:pt idx="277">
                  <c:v>187.3</c:v>
                </c:pt>
                <c:pt idx="278">
                  <c:v>176.5</c:v>
                </c:pt>
                <c:pt idx="279">
                  <c:v>163.19999999999999</c:v>
                </c:pt>
                <c:pt idx="280">
                  <c:v>157.80000000000001</c:v>
                </c:pt>
                <c:pt idx="281">
                  <c:v>153.80000000000001</c:v>
                </c:pt>
                <c:pt idx="282">
                  <c:v>154.4</c:v>
                </c:pt>
                <c:pt idx="283">
                  <c:v>162.1</c:v>
                </c:pt>
                <c:pt idx="284">
                  <c:v>170.4</c:v>
                </c:pt>
                <c:pt idx="285">
                  <c:v>172.10000000000002</c:v>
                </c:pt>
                <c:pt idx="286">
                  <c:v>169.3</c:v>
                </c:pt>
                <c:pt idx="287">
                  <c:v>161</c:v>
                </c:pt>
                <c:pt idx="288">
                  <c:v>149.6</c:v>
                </c:pt>
                <c:pt idx="289">
                  <c:v>143.70000000000002</c:v>
                </c:pt>
                <c:pt idx="290">
                  <c:v>143.1</c:v>
                </c:pt>
                <c:pt idx="291">
                  <c:v>146.6</c:v>
                </c:pt>
                <c:pt idx="292">
                  <c:v>153.9</c:v>
                </c:pt>
                <c:pt idx="293">
                  <c:v>163.6</c:v>
                </c:pt>
                <c:pt idx="294">
                  <c:v>170.70000000000002</c:v>
                </c:pt>
                <c:pt idx="295">
                  <c:v>179.7</c:v>
                </c:pt>
                <c:pt idx="296">
                  <c:v>184.3</c:v>
                </c:pt>
                <c:pt idx="297">
                  <c:v>187.4</c:v>
                </c:pt>
                <c:pt idx="298">
                  <c:v>189.9</c:v>
                </c:pt>
                <c:pt idx="299">
                  <c:v>192.4</c:v>
                </c:pt>
                <c:pt idx="300">
                  <c:v>189.39999999999998</c:v>
                </c:pt>
                <c:pt idx="301">
                  <c:v>183.5</c:v>
                </c:pt>
                <c:pt idx="302">
                  <c:v>178.9</c:v>
                </c:pt>
                <c:pt idx="303">
                  <c:v>167.4</c:v>
                </c:pt>
                <c:pt idx="304">
                  <c:v>157.6</c:v>
                </c:pt>
                <c:pt idx="305">
                  <c:v>150.89999999999998</c:v>
                </c:pt>
                <c:pt idx="306">
                  <c:v>146.80000000000001</c:v>
                </c:pt>
                <c:pt idx="307">
                  <c:v>148.4</c:v>
                </c:pt>
                <c:pt idx="308">
                  <c:v>152.69999999999999</c:v>
                </c:pt>
                <c:pt idx="309">
                  <c:v>154.4</c:v>
                </c:pt>
                <c:pt idx="310">
                  <c:v>158.4</c:v>
                </c:pt>
                <c:pt idx="311">
                  <c:v>156.9</c:v>
                </c:pt>
                <c:pt idx="312">
                  <c:v>162</c:v>
                </c:pt>
                <c:pt idx="313">
                  <c:v>167.6</c:v>
                </c:pt>
                <c:pt idx="314">
                  <c:v>166.9</c:v>
                </c:pt>
                <c:pt idx="315">
                  <c:v>169.9</c:v>
                </c:pt>
                <c:pt idx="316">
                  <c:v>171.4</c:v>
                </c:pt>
                <c:pt idx="317">
                  <c:v>171.4</c:v>
                </c:pt>
                <c:pt idx="318">
                  <c:v>171.2</c:v>
                </c:pt>
                <c:pt idx="319">
                  <c:v>173</c:v>
                </c:pt>
                <c:pt idx="320">
                  <c:v>175.2</c:v>
                </c:pt>
                <c:pt idx="321">
                  <c:v>172.3</c:v>
                </c:pt>
                <c:pt idx="322">
                  <c:v>171.5</c:v>
                </c:pt>
                <c:pt idx="323">
                  <c:v>173.9</c:v>
                </c:pt>
                <c:pt idx="324">
                  <c:v>178.5</c:v>
                </c:pt>
                <c:pt idx="325">
                  <c:v>182.20000000000002</c:v>
                </c:pt>
                <c:pt idx="326">
                  <c:v>182.29999999999998</c:v>
                </c:pt>
                <c:pt idx="327">
                  <c:v>176.6</c:v>
                </c:pt>
                <c:pt idx="328">
                  <c:v>168.4</c:v>
                </c:pt>
                <c:pt idx="329">
                  <c:v>154.80000000000001</c:v>
                </c:pt>
                <c:pt idx="330">
                  <c:v>142.19999999999999</c:v>
                </c:pt>
                <c:pt idx="331">
                  <c:v>136.5</c:v>
                </c:pt>
                <c:pt idx="332">
                  <c:v>137.30000000000001</c:v>
                </c:pt>
                <c:pt idx="333">
                  <c:v>139.30000000000001</c:v>
                </c:pt>
                <c:pt idx="334">
                  <c:v>145.79999999999998</c:v>
                </c:pt>
                <c:pt idx="335">
                  <c:v>156.1</c:v>
                </c:pt>
                <c:pt idx="336">
                  <c:v>169.6</c:v>
                </c:pt>
                <c:pt idx="337">
                  <c:v>181.6</c:v>
                </c:pt>
                <c:pt idx="338">
                  <c:v>190.3</c:v>
                </c:pt>
                <c:pt idx="339">
                  <c:v>196.8</c:v>
                </c:pt>
                <c:pt idx="340">
                  <c:v>201.2</c:v>
                </c:pt>
                <c:pt idx="341">
                  <c:v>200</c:v>
                </c:pt>
                <c:pt idx="342">
                  <c:v>191.3</c:v>
                </c:pt>
                <c:pt idx="343">
                  <c:v>182</c:v>
                </c:pt>
                <c:pt idx="344">
                  <c:v>172.2</c:v>
                </c:pt>
                <c:pt idx="345">
                  <c:v>164.79999999999998</c:v>
                </c:pt>
                <c:pt idx="346">
                  <c:v>160</c:v>
                </c:pt>
                <c:pt idx="347">
                  <c:v>158.1</c:v>
                </c:pt>
                <c:pt idx="348">
                  <c:v>160.80000000000001</c:v>
                </c:pt>
                <c:pt idx="349">
                  <c:v>166.4</c:v>
                </c:pt>
                <c:pt idx="350">
                  <c:v>174.3</c:v>
                </c:pt>
                <c:pt idx="351">
                  <c:v>178</c:v>
                </c:pt>
                <c:pt idx="352">
                  <c:v>171.8</c:v>
                </c:pt>
                <c:pt idx="353">
                  <c:v>161.69999999999999</c:v>
                </c:pt>
                <c:pt idx="354">
                  <c:v>149.30000000000001</c:v>
                </c:pt>
                <c:pt idx="355">
                  <c:v>136.80000000000001</c:v>
                </c:pt>
                <c:pt idx="356">
                  <c:v>124.30000000000001</c:v>
                </c:pt>
                <c:pt idx="357">
                  <c:v>119.8</c:v>
                </c:pt>
                <c:pt idx="358">
                  <c:v>123.8</c:v>
                </c:pt>
                <c:pt idx="359">
                  <c:v>138.79999999999998</c:v>
                </c:pt>
                <c:pt idx="360">
                  <c:v>159.20000000000002</c:v>
                </c:pt>
                <c:pt idx="361">
                  <c:v>181.9</c:v>
                </c:pt>
                <c:pt idx="362">
                  <c:v>204.8</c:v>
                </c:pt>
                <c:pt idx="363">
                  <c:v>223.8</c:v>
                </c:pt>
                <c:pt idx="364">
                  <c:v>234.79999999999998</c:v>
                </c:pt>
                <c:pt idx="365">
                  <c:v>230.9</c:v>
                </c:pt>
                <c:pt idx="366">
                  <c:v>220.00000000000003</c:v>
                </c:pt>
                <c:pt idx="367">
                  <c:v>200.89999999999998</c:v>
                </c:pt>
                <c:pt idx="368">
                  <c:v>179.7</c:v>
                </c:pt>
                <c:pt idx="369">
                  <c:v>161</c:v>
                </c:pt>
                <c:pt idx="370">
                  <c:v>148</c:v>
                </c:pt>
                <c:pt idx="371">
                  <c:v>140</c:v>
                </c:pt>
                <c:pt idx="372">
                  <c:v>145.4</c:v>
                </c:pt>
                <c:pt idx="373">
                  <c:v>151.6</c:v>
                </c:pt>
                <c:pt idx="374">
                  <c:v>160.69999999999999</c:v>
                </c:pt>
                <c:pt idx="375">
                  <c:v>169</c:v>
                </c:pt>
                <c:pt idx="376">
                  <c:v>169</c:v>
                </c:pt>
                <c:pt idx="377">
                  <c:v>161.9</c:v>
                </c:pt>
                <c:pt idx="378">
                  <c:v>147.19999999999999</c:v>
                </c:pt>
                <c:pt idx="379">
                  <c:v>130.1</c:v>
                </c:pt>
                <c:pt idx="380">
                  <c:v>112.6</c:v>
                </c:pt>
                <c:pt idx="381">
                  <c:v>102.49999999999999</c:v>
                </c:pt>
                <c:pt idx="382">
                  <c:v>102.8</c:v>
                </c:pt>
                <c:pt idx="383">
                  <c:v>115.3</c:v>
                </c:pt>
                <c:pt idx="384">
                  <c:v>140.9</c:v>
                </c:pt>
                <c:pt idx="385">
                  <c:v>171.4</c:v>
                </c:pt>
                <c:pt idx="386">
                  <c:v>202.59999999999997</c:v>
                </c:pt>
                <c:pt idx="387">
                  <c:v>231.5</c:v>
                </c:pt>
                <c:pt idx="388">
                  <c:v>252.1</c:v>
                </c:pt>
                <c:pt idx="389">
                  <c:v>259.7</c:v>
                </c:pt>
                <c:pt idx="390">
                  <c:v>254.5</c:v>
                </c:pt>
                <c:pt idx="391">
                  <c:v>233.8</c:v>
                </c:pt>
                <c:pt idx="392">
                  <c:v>206.1</c:v>
                </c:pt>
                <c:pt idx="393">
                  <c:v>175.6</c:v>
                </c:pt>
                <c:pt idx="394">
                  <c:v>152.6</c:v>
                </c:pt>
                <c:pt idx="395">
                  <c:v>137.5</c:v>
                </c:pt>
                <c:pt idx="396">
                  <c:v>133.69999999999999</c:v>
                </c:pt>
                <c:pt idx="397">
                  <c:v>140.9</c:v>
                </c:pt>
                <c:pt idx="398">
                  <c:v>151.89999999999998</c:v>
                </c:pt>
                <c:pt idx="399">
                  <c:v>161.30000000000001</c:v>
                </c:pt>
                <c:pt idx="400">
                  <c:v>165</c:v>
                </c:pt>
                <c:pt idx="401">
                  <c:v>159.60000000000002</c:v>
                </c:pt>
                <c:pt idx="402">
                  <c:v>147.19999999999999</c:v>
                </c:pt>
                <c:pt idx="403">
                  <c:v>130.80000000000001</c:v>
                </c:pt>
                <c:pt idx="404">
                  <c:v>112.6</c:v>
                </c:pt>
                <c:pt idx="405">
                  <c:v>94.399999999999991</c:v>
                </c:pt>
                <c:pt idx="406">
                  <c:v>88.4</c:v>
                </c:pt>
                <c:pt idx="407">
                  <c:v>93.600000000000009</c:v>
                </c:pt>
                <c:pt idx="408">
                  <c:v>115.9</c:v>
                </c:pt>
                <c:pt idx="409">
                  <c:v>149</c:v>
                </c:pt>
                <c:pt idx="410">
                  <c:v>187.1</c:v>
                </c:pt>
                <c:pt idx="411">
                  <c:v>225.70000000000002</c:v>
                </c:pt>
                <c:pt idx="412">
                  <c:v>255.39999999999998</c:v>
                </c:pt>
                <c:pt idx="413">
                  <c:v>273</c:v>
                </c:pt>
                <c:pt idx="414">
                  <c:v>274.7</c:v>
                </c:pt>
                <c:pt idx="415">
                  <c:v>259.8</c:v>
                </c:pt>
                <c:pt idx="416">
                  <c:v>231.9</c:v>
                </c:pt>
                <c:pt idx="417">
                  <c:v>199</c:v>
                </c:pt>
                <c:pt idx="418">
                  <c:v>169.2</c:v>
                </c:pt>
                <c:pt idx="419">
                  <c:v>142.19999999999999</c:v>
                </c:pt>
                <c:pt idx="420">
                  <c:v>129.69999999999999</c:v>
                </c:pt>
                <c:pt idx="421">
                  <c:v>129</c:v>
                </c:pt>
                <c:pt idx="422">
                  <c:v>138.6</c:v>
                </c:pt>
                <c:pt idx="423">
                  <c:v>149.70000000000002</c:v>
                </c:pt>
                <c:pt idx="424">
                  <c:v>157.80000000000001</c:v>
                </c:pt>
                <c:pt idx="425">
                  <c:v>157.5</c:v>
                </c:pt>
                <c:pt idx="426">
                  <c:v>146.9</c:v>
                </c:pt>
                <c:pt idx="427">
                  <c:v>131.9</c:v>
                </c:pt>
                <c:pt idx="428">
                  <c:v>113.39999999999999</c:v>
                </c:pt>
                <c:pt idx="429">
                  <c:v>94.699999999999989</c:v>
                </c:pt>
                <c:pt idx="430">
                  <c:v>78.100000000000009</c:v>
                </c:pt>
                <c:pt idx="431">
                  <c:v>74.8</c:v>
                </c:pt>
                <c:pt idx="432">
                  <c:v>88.9</c:v>
                </c:pt>
                <c:pt idx="433">
                  <c:v>119.39999999999999</c:v>
                </c:pt>
                <c:pt idx="434">
                  <c:v>161.4</c:v>
                </c:pt>
                <c:pt idx="435">
                  <c:v>208.9</c:v>
                </c:pt>
                <c:pt idx="436">
                  <c:v>247.40000000000003</c:v>
                </c:pt>
                <c:pt idx="437">
                  <c:v>276.90000000000003</c:v>
                </c:pt>
                <c:pt idx="438">
                  <c:v>288</c:v>
                </c:pt>
                <c:pt idx="439">
                  <c:v>281.2</c:v>
                </c:pt>
                <c:pt idx="440">
                  <c:v>256.8</c:v>
                </c:pt>
                <c:pt idx="441">
                  <c:v>222.5</c:v>
                </c:pt>
                <c:pt idx="442">
                  <c:v>190.39999999999998</c:v>
                </c:pt>
                <c:pt idx="443">
                  <c:v>158.5</c:v>
                </c:pt>
                <c:pt idx="444">
                  <c:v>138.1</c:v>
                </c:pt>
                <c:pt idx="445">
                  <c:v>128.1</c:v>
                </c:pt>
                <c:pt idx="446">
                  <c:v>129.5</c:v>
                </c:pt>
                <c:pt idx="447">
                  <c:v>142.5</c:v>
                </c:pt>
                <c:pt idx="448">
                  <c:v>149.19999999999999</c:v>
                </c:pt>
                <c:pt idx="449">
                  <c:v>155.9</c:v>
                </c:pt>
                <c:pt idx="450">
                  <c:v>151.1</c:v>
                </c:pt>
                <c:pt idx="451">
                  <c:v>136.80000000000001</c:v>
                </c:pt>
                <c:pt idx="452">
                  <c:v>119</c:v>
                </c:pt>
                <c:pt idx="453">
                  <c:v>100.1</c:v>
                </c:pt>
                <c:pt idx="454">
                  <c:v>83</c:v>
                </c:pt>
                <c:pt idx="455">
                  <c:v>65.3</c:v>
                </c:pt>
                <c:pt idx="456">
                  <c:v>65.2</c:v>
                </c:pt>
                <c:pt idx="457">
                  <c:v>86.8</c:v>
                </c:pt>
                <c:pt idx="458">
                  <c:v>125.2</c:v>
                </c:pt>
                <c:pt idx="459">
                  <c:v>174.8</c:v>
                </c:pt>
                <c:pt idx="460">
                  <c:v>225.89999999999998</c:v>
                </c:pt>
                <c:pt idx="461">
                  <c:v>264.5</c:v>
                </c:pt>
                <c:pt idx="462">
                  <c:v>287</c:v>
                </c:pt>
                <c:pt idx="463">
                  <c:v>288.89999999999998</c:v>
                </c:pt>
                <c:pt idx="464">
                  <c:v>271.09999999999997</c:v>
                </c:pt>
                <c:pt idx="465">
                  <c:v>242.20000000000002</c:v>
                </c:pt>
                <c:pt idx="466">
                  <c:v>210.8</c:v>
                </c:pt>
                <c:pt idx="467">
                  <c:v>178.5</c:v>
                </c:pt>
                <c:pt idx="468">
                  <c:v>155</c:v>
                </c:pt>
                <c:pt idx="469">
                  <c:v>138.19999999999999</c:v>
                </c:pt>
                <c:pt idx="470">
                  <c:v>132.5</c:v>
                </c:pt>
                <c:pt idx="471">
                  <c:v>138.5</c:v>
                </c:pt>
                <c:pt idx="472">
                  <c:v>149.80000000000001</c:v>
                </c:pt>
                <c:pt idx="473">
                  <c:v>157.69999999999999</c:v>
                </c:pt>
                <c:pt idx="474">
                  <c:v>158.4</c:v>
                </c:pt>
                <c:pt idx="475">
                  <c:v>147.5</c:v>
                </c:pt>
                <c:pt idx="476">
                  <c:v>129.5</c:v>
                </c:pt>
                <c:pt idx="477">
                  <c:v>105.4</c:v>
                </c:pt>
                <c:pt idx="478">
                  <c:v>80.800000000000011</c:v>
                </c:pt>
                <c:pt idx="479">
                  <c:v>62.6</c:v>
                </c:pt>
                <c:pt idx="480">
                  <c:v>56.000000000000007</c:v>
                </c:pt>
                <c:pt idx="481">
                  <c:v>68.5</c:v>
                </c:pt>
                <c:pt idx="482">
                  <c:v>95.8</c:v>
                </c:pt>
                <c:pt idx="483">
                  <c:v>142.6</c:v>
                </c:pt>
                <c:pt idx="484">
                  <c:v>192.1</c:v>
                </c:pt>
                <c:pt idx="485">
                  <c:v>237.5</c:v>
                </c:pt>
                <c:pt idx="486">
                  <c:v>272.5</c:v>
                </c:pt>
                <c:pt idx="487">
                  <c:v>286.2</c:v>
                </c:pt>
                <c:pt idx="488">
                  <c:v>281.5</c:v>
                </c:pt>
                <c:pt idx="489">
                  <c:v>261</c:v>
                </c:pt>
                <c:pt idx="490">
                  <c:v>227.3</c:v>
                </c:pt>
                <c:pt idx="491">
                  <c:v>195.79999999999998</c:v>
                </c:pt>
                <c:pt idx="492">
                  <c:v>171</c:v>
                </c:pt>
                <c:pt idx="493">
                  <c:v>152.4</c:v>
                </c:pt>
                <c:pt idx="494">
                  <c:v>141.9</c:v>
                </c:pt>
                <c:pt idx="495">
                  <c:v>139</c:v>
                </c:pt>
                <c:pt idx="496">
                  <c:v>150.5</c:v>
                </c:pt>
                <c:pt idx="497">
                  <c:v>161.4</c:v>
                </c:pt>
                <c:pt idx="498">
                  <c:v>168.70000000000002</c:v>
                </c:pt>
                <c:pt idx="499">
                  <c:v>162.1</c:v>
                </c:pt>
                <c:pt idx="500">
                  <c:v>150.5</c:v>
                </c:pt>
                <c:pt idx="501">
                  <c:v>125.4</c:v>
                </c:pt>
                <c:pt idx="502">
                  <c:v>101.2</c:v>
                </c:pt>
                <c:pt idx="503">
                  <c:v>81.5</c:v>
                </c:pt>
                <c:pt idx="504">
                  <c:v>68.8</c:v>
                </c:pt>
                <c:pt idx="505">
                  <c:v>61.5</c:v>
                </c:pt>
                <c:pt idx="506">
                  <c:v>77.8</c:v>
                </c:pt>
                <c:pt idx="507">
                  <c:v>111.00000000000001</c:v>
                </c:pt>
                <c:pt idx="508">
                  <c:v>159.69999999999999</c:v>
                </c:pt>
                <c:pt idx="509">
                  <c:v>208.5</c:v>
                </c:pt>
                <c:pt idx="510">
                  <c:v>246.60000000000002</c:v>
                </c:pt>
                <c:pt idx="511">
                  <c:v>268.5</c:v>
                </c:pt>
                <c:pt idx="512">
                  <c:v>270.40000000000003</c:v>
                </c:pt>
                <c:pt idx="513">
                  <c:v>264.8</c:v>
                </c:pt>
                <c:pt idx="514">
                  <c:v>242.70000000000002</c:v>
                </c:pt>
                <c:pt idx="515">
                  <c:v>208.1</c:v>
                </c:pt>
                <c:pt idx="516">
                  <c:v>178.9</c:v>
                </c:pt>
                <c:pt idx="517">
                  <c:v>162.79999999999998</c:v>
                </c:pt>
                <c:pt idx="518">
                  <c:v>146.69999999999999</c:v>
                </c:pt>
                <c:pt idx="519">
                  <c:v>144.5</c:v>
                </c:pt>
                <c:pt idx="520">
                  <c:v>151.5</c:v>
                </c:pt>
                <c:pt idx="521">
                  <c:v>162.20000000000002</c:v>
                </c:pt>
                <c:pt idx="522">
                  <c:v>171.2</c:v>
                </c:pt>
                <c:pt idx="523">
                  <c:v>173.4</c:v>
                </c:pt>
                <c:pt idx="524">
                  <c:v>165.79999999999998</c:v>
                </c:pt>
                <c:pt idx="525">
                  <c:v>150</c:v>
                </c:pt>
                <c:pt idx="526">
                  <c:v>129.1</c:v>
                </c:pt>
                <c:pt idx="527">
                  <c:v>105.80000000000001</c:v>
                </c:pt>
                <c:pt idx="528">
                  <c:v>83.399999999999991</c:v>
                </c:pt>
                <c:pt idx="529">
                  <c:v>71.2</c:v>
                </c:pt>
                <c:pt idx="530">
                  <c:v>72.8</c:v>
                </c:pt>
                <c:pt idx="531">
                  <c:v>91</c:v>
                </c:pt>
                <c:pt idx="532">
                  <c:v>126.8</c:v>
                </c:pt>
                <c:pt idx="533">
                  <c:v>176.5</c:v>
                </c:pt>
                <c:pt idx="534">
                  <c:v>219.70000000000002</c:v>
                </c:pt>
                <c:pt idx="535">
                  <c:v>253.2</c:v>
                </c:pt>
                <c:pt idx="536">
                  <c:v>264.2</c:v>
                </c:pt>
                <c:pt idx="537">
                  <c:v>258</c:v>
                </c:pt>
                <c:pt idx="538">
                  <c:v>244.3</c:v>
                </c:pt>
                <c:pt idx="539">
                  <c:v>217.1</c:v>
                </c:pt>
                <c:pt idx="540">
                  <c:v>189.7</c:v>
                </c:pt>
                <c:pt idx="541">
                  <c:v>165.6</c:v>
                </c:pt>
                <c:pt idx="542">
                  <c:v>147.9</c:v>
                </c:pt>
                <c:pt idx="543">
                  <c:v>140.5</c:v>
                </c:pt>
                <c:pt idx="544">
                  <c:v>146.70000000000002</c:v>
                </c:pt>
                <c:pt idx="545">
                  <c:v>160.80000000000001</c:v>
                </c:pt>
                <c:pt idx="546">
                  <c:v>174.70000000000002</c:v>
                </c:pt>
                <c:pt idx="547">
                  <c:v>182.4</c:v>
                </c:pt>
                <c:pt idx="548">
                  <c:v>182.1</c:v>
                </c:pt>
                <c:pt idx="549">
                  <c:v>168.3</c:v>
                </c:pt>
                <c:pt idx="550">
                  <c:v>148.5</c:v>
                </c:pt>
                <c:pt idx="551">
                  <c:v>128.69999999999999</c:v>
                </c:pt>
                <c:pt idx="552">
                  <c:v>111.80000000000001</c:v>
                </c:pt>
                <c:pt idx="553">
                  <c:v>93.899999999999991</c:v>
                </c:pt>
                <c:pt idx="554">
                  <c:v>89.2</c:v>
                </c:pt>
                <c:pt idx="555">
                  <c:v>97.3</c:v>
                </c:pt>
                <c:pt idx="556">
                  <c:v>118.6</c:v>
                </c:pt>
                <c:pt idx="557">
                  <c:v>152.4</c:v>
                </c:pt>
                <c:pt idx="558">
                  <c:v>195.9</c:v>
                </c:pt>
                <c:pt idx="559">
                  <c:v>232.10000000000002</c:v>
                </c:pt>
                <c:pt idx="560">
                  <c:v>250.4</c:v>
                </c:pt>
                <c:pt idx="561">
                  <c:v>250.1</c:v>
                </c:pt>
                <c:pt idx="562">
                  <c:v>241.1</c:v>
                </c:pt>
                <c:pt idx="563">
                  <c:v>223.8</c:v>
                </c:pt>
                <c:pt idx="564">
                  <c:v>199.8</c:v>
                </c:pt>
                <c:pt idx="565">
                  <c:v>176.6</c:v>
                </c:pt>
                <c:pt idx="566">
                  <c:v>155</c:v>
                </c:pt>
                <c:pt idx="567">
                  <c:v>140.69999999999999</c:v>
                </c:pt>
                <c:pt idx="568">
                  <c:v>141.4</c:v>
                </c:pt>
                <c:pt idx="569">
                  <c:v>154.5</c:v>
                </c:pt>
                <c:pt idx="570">
                  <c:v>170</c:v>
                </c:pt>
                <c:pt idx="571">
                  <c:v>181.7</c:v>
                </c:pt>
                <c:pt idx="572">
                  <c:v>188.1</c:v>
                </c:pt>
                <c:pt idx="573">
                  <c:v>184.4</c:v>
                </c:pt>
                <c:pt idx="574">
                  <c:v>171.9</c:v>
                </c:pt>
                <c:pt idx="575">
                  <c:v>153.69999999999999</c:v>
                </c:pt>
                <c:pt idx="576">
                  <c:v>134.9</c:v>
                </c:pt>
                <c:pt idx="577">
                  <c:v>121.9</c:v>
                </c:pt>
                <c:pt idx="578">
                  <c:v>111.60000000000001</c:v>
                </c:pt>
                <c:pt idx="579">
                  <c:v>113.9</c:v>
                </c:pt>
                <c:pt idx="580">
                  <c:v>122</c:v>
                </c:pt>
                <c:pt idx="581">
                  <c:v>143.5</c:v>
                </c:pt>
                <c:pt idx="582">
                  <c:v>176.8</c:v>
                </c:pt>
                <c:pt idx="583">
                  <c:v>208.8</c:v>
                </c:pt>
                <c:pt idx="584">
                  <c:v>230.29999999999998</c:v>
                </c:pt>
                <c:pt idx="585">
                  <c:v>237.9</c:v>
                </c:pt>
                <c:pt idx="586">
                  <c:v>233.8</c:v>
                </c:pt>
                <c:pt idx="587">
                  <c:v>222.10000000000002</c:v>
                </c:pt>
                <c:pt idx="588">
                  <c:v>204.2</c:v>
                </c:pt>
                <c:pt idx="589">
                  <c:v>184.9</c:v>
                </c:pt>
                <c:pt idx="590">
                  <c:v>161.4</c:v>
                </c:pt>
                <c:pt idx="591">
                  <c:v>142.5</c:v>
                </c:pt>
                <c:pt idx="592">
                  <c:v>137.9</c:v>
                </c:pt>
                <c:pt idx="593">
                  <c:v>143.1</c:v>
                </c:pt>
                <c:pt idx="594">
                  <c:v>152.4</c:v>
                </c:pt>
                <c:pt idx="595">
                  <c:v>167.6</c:v>
                </c:pt>
                <c:pt idx="596">
                  <c:v>178</c:v>
                </c:pt>
                <c:pt idx="597">
                  <c:v>183.1</c:v>
                </c:pt>
                <c:pt idx="598">
                  <c:v>181</c:v>
                </c:pt>
                <c:pt idx="599">
                  <c:v>167.9</c:v>
                </c:pt>
                <c:pt idx="600">
                  <c:v>156.9</c:v>
                </c:pt>
                <c:pt idx="601">
                  <c:v>143.30000000000001</c:v>
                </c:pt>
                <c:pt idx="602">
                  <c:v>133.80000000000001</c:v>
                </c:pt>
                <c:pt idx="603">
                  <c:v>134</c:v>
                </c:pt>
                <c:pt idx="604">
                  <c:v>138.1</c:v>
                </c:pt>
                <c:pt idx="605">
                  <c:v>146.70000000000002</c:v>
                </c:pt>
                <c:pt idx="606">
                  <c:v>165.7</c:v>
                </c:pt>
                <c:pt idx="607">
                  <c:v>191.2</c:v>
                </c:pt>
                <c:pt idx="608">
                  <c:v>208.70000000000002</c:v>
                </c:pt>
                <c:pt idx="609">
                  <c:v>218.5</c:v>
                </c:pt>
                <c:pt idx="610">
                  <c:v>221.89999999999998</c:v>
                </c:pt>
                <c:pt idx="611">
                  <c:v>217</c:v>
                </c:pt>
                <c:pt idx="612">
                  <c:v>205.7</c:v>
                </c:pt>
                <c:pt idx="613">
                  <c:v>185.5</c:v>
                </c:pt>
                <c:pt idx="614">
                  <c:v>165.3</c:v>
                </c:pt>
                <c:pt idx="615">
                  <c:v>146.4</c:v>
                </c:pt>
                <c:pt idx="616">
                  <c:v>133.4</c:v>
                </c:pt>
                <c:pt idx="617">
                  <c:v>127.89999999999999</c:v>
                </c:pt>
                <c:pt idx="618">
                  <c:v>133.69999999999999</c:v>
                </c:pt>
                <c:pt idx="619">
                  <c:v>142.9</c:v>
                </c:pt>
                <c:pt idx="620">
                  <c:v>154</c:v>
                </c:pt>
                <c:pt idx="621">
                  <c:v>164.39999999999998</c:v>
                </c:pt>
                <c:pt idx="622">
                  <c:v>176.1</c:v>
                </c:pt>
                <c:pt idx="623">
                  <c:v>179.6</c:v>
                </c:pt>
                <c:pt idx="624">
                  <c:v>179</c:v>
                </c:pt>
                <c:pt idx="625">
                  <c:v>172.4</c:v>
                </c:pt>
                <c:pt idx="626">
                  <c:v>161.69999999999999</c:v>
                </c:pt>
                <c:pt idx="627">
                  <c:v>156.6</c:v>
                </c:pt>
                <c:pt idx="628">
                  <c:v>153.19999999999999</c:v>
                </c:pt>
                <c:pt idx="629">
                  <c:v>156.80000000000001</c:v>
                </c:pt>
                <c:pt idx="630">
                  <c:v>166.5</c:v>
                </c:pt>
                <c:pt idx="631">
                  <c:v>178.4</c:v>
                </c:pt>
                <c:pt idx="632">
                  <c:v>193.79999999999998</c:v>
                </c:pt>
                <c:pt idx="633">
                  <c:v>197.3</c:v>
                </c:pt>
                <c:pt idx="634">
                  <c:v>197</c:v>
                </c:pt>
                <c:pt idx="635">
                  <c:v>194.4</c:v>
                </c:pt>
                <c:pt idx="636">
                  <c:v>182.4</c:v>
                </c:pt>
                <c:pt idx="637">
                  <c:v>173.5</c:v>
                </c:pt>
                <c:pt idx="638">
                  <c:v>163.69999999999999</c:v>
                </c:pt>
                <c:pt idx="639">
                  <c:v>148.10000000000002</c:v>
                </c:pt>
                <c:pt idx="640">
                  <c:v>133.20000000000002</c:v>
                </c:pt>
                <c:pt idx="641">
                  <c:v>124.70000000000002</c:v>
                </c:pt>
                <c:pt idx="642">
                  <c:v>119.6</c:v>
                </c:pt>
                <c:pt idx="643">
                  <c:v>121.39999999999999</c:v>
                </c:pt>
                <c:pt idx="644">
                  <c:v>131.80000000000001</c:v>
                </c:pt>
                <c:pt idx="645">
                  <c:v>146.6</c:v>
                </c:pt>
                <c:pt idx="646">
                  <c:v>160</c:v>
                </c:pt>
                <c:pt idx="647">
                  <c:v>169.9</c:v>
                </c:pt>
                <c:pt idx="648">
                  <c:v>177</c:v>
                </c:pt>
                <c:pt idx="649">
                  <c:v>180.5</c:v>
                </c:pt>
                <c:pt idx="650">
                  <c:v>182.9</c:v>
                </c:pt>
                <c:pt idx="651">
                  <c:v>182.6</c:v>
                </c:pt>
                <c:pt idx="652">
                  <c:v>178.8</c:v>
                </c:pt>
                <c:pt idx="653">
                  <c:v>173.70000000000002</c:v>
                </c:pt>
                <c:pt idx="654">
                  <c:v>169.70000000000002</c:v>
                </c:pt>
                <c:pt idx="655">
                  <c:v>172.8</c:v>
                </c:pt>
                <c:pt idx="656">
                  <c:v>175.6</c:v>
                </c:pt>
                <c:pt idx="657">
                  <c:v>180</c:v>
                </c:pt>
                <c:pt idx="658">
                  <c:v>183.1</c:v>
                </c:pt>
                <c:pt idx="659">
                  <c:v>180.9</c:v>
                </c:pt>
                <c:pt idx="660">
                  <c:v>176</c:v>
                </c:pt>
                <c:pt idx="661">
                  <c:v>170.9</c:v>
                </c:pt>
                <c:pt idx="662">
                  <c:v>161.69999999999999</c:v>
                </c:pt>
                <c:pt idx="663">
                  <c:v>152.4</c:v>
                </c:pt>
                <c:pt idx="664">
                  <c:v>141.9</c:v>
                </c:pt>
                <c:pt idx="665">
                  <c:v>131.4</c:v>
                </c:pt>
                <c:pt idx="666">
                  <c:v>122.10000000000001</c:v>
                </c:pt>
                <c:pt idx="667">
                  <c:v>117.10000000000001</c:v>
                </c:pt>
                <c:pt idx="668">
                  <c:v>114.9</c:v>
                </c:pt>
                <c:pt idx="669">
                  <c:v>124.4</c:v>
                </c:pt>
                <c:pt idx="670">
                  <c:v>138.5</c:v>
                </c:pt>
                <c:pt idx="671">
                  <c:v>156.69999999999999</c:v>
                </c:pt>
                <c:pt idx="672">
                  <c:v>171.9</c:v>
                </c:pt>
                <c:pt idx="673">
                  <c:v>188.7</c:v>
                </c:pt>
                <c:pt idx="674">
                  <c:v>200.70000000000002</c:v>
                </c:pt>
                <c:pt idx="675">
                  <c:v>205.29999999999998</c:v>
                </c:pt>
                <c:pt idx="676">
                  <c:v>203.79999999999998</c:v>
                </c:pt>
                <c:pt idx="677">
                  <c:v>197.2</c:v>
                </c:pt>
                <c:pt idx="678">
                  <c:v>192</c:v>
                </c:pt>
                <c:pt idx="679">
                  <c:v>184.7</c:v>
                </c:pt>
                <c:pt idx="680">
                  <c:v>175.7</c:v>
                </c:pt>
                <c:pt idx="681">
                  <c:v>168.4</c:v>
                </c:pt>
                <c:pt idx="682">
                  <c:v>163.5</c:v>
                </c:pt>
                <c:pt idx="683">
                  <c:v>165.39999999999998</c:v>
                </c:pt>
                <c:pt idx="684">
                  <c:v>166.79999999999998</c:v>
                </c:pt>
                <c:pt idx="685">
                  <c:v>167.2</c:v>
                </c:pt>
                <c:pt idx="686">
                  <c:v>166.79999999999998</c:v>
                </c:pt>
                <c:pt idx="687">
                  <c:v>158.80000000000001</c:v>
                </c:pt>
                <c:pt idx="688">
                  <c:v>149.5</c:v>
                </c:pt>
                <c:pt idx="689">
                  <c:v>139.9</c:v>
                </c:pt>
                <c:pt idx="690">
                  <c:v>126.2</c:v>
                </c:pt>
                <c:pt idx="691">
                  <c:v>114.39999999999999</c:v>
                </c:pt>
                <c:pt idx="692">
                  <c:v>111.4</c:v>
                </c:pt>
                <c:pt idx="693">
                  <c:v>112.99999999999999</c:v>
                </c:pt>
                <c:pt idx="694">
                  <c:v>120.39999999999999</c:v>
                </c:pt>
                <c:pt idx="695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0-41D5-AFB5-4E5895F5FFC6}"/>
            </c:ext>
          </c:extLst>
        </c:ser>
        <c:ser>
          <c:idx val="4"/>
          <c:order val="1"/>
          <c:tx>
            <c:strRef>
              <c:f>ChartDatA!$P$9</c:f>
              <c:strCache>
                <c:ptCount val="1"/>
                <c:pt idx="0">
                  <c:v>MSL</c:v>
                </c:pt>
              </c:strCache>
            </c:strRef>
          </c:tx>
          <c:spPr>
            <a:ln w="28575">
              <a:solidFill>
                <a:schemeClr val="tx1"/>
              </a:solidFill>
              <a:prstDash val="sysDash"/>
            </a:ln>
          </c:spPr>
          <c:marker>
            <c:symbol val="circle"/>
            <c:size val="7"/>
            <c:spPr>
              <a:solidFill>
                <a:schemeClr val="tx1"/>
              </a:solidFill>
              <a:ln w="28575">
                <a:solidFill>
                  <a:schemeClr val="tx1"/>
                </a:solidFill>
                <a:prstDash val="sysDash"/>
              </a:ln>
            </c:spPr>
          </c:marker>
          <c:xVal>
            <c:numRef>
              <c:f>ChartDatA!$L$10:$L$11</c:f>
              <c:numCache>
                <c:formatCode>m/d/yyyy\ h:mm</c:formatCode>
                <c:ptCount val="2"/>
                <c:pt idx="0">
                  <c:v>44709</c:v>
                </c:pt>
                <c:pt idx="1">
                  <c:v>44737.95835572917</c:v>
                </c:pt>
              </c:numCache>
            </c:numRef>
          </c:xVal>
          <c:yVal>
            <c:numRef>
              <c:f>ChartDatA!$P$10:$P$11</c:f>
              <c:numCache>
                <c:formatCode>General</c:formatCode>
                <c:ptCount val="2"/>
                <c:pt idx="0">
                  <c:v>166.16831896551724</c:v>
                </c:pt>
                <c:pt idx="1">
                  <c:v>166.16831896551724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0-41D5-AFB5-4E5895F5F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174080"/>
        <c:axId val="403904000"/>
      </c:scatterChart>
      <c:valAx>
        <c:axId val="4001740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Tanggal/Bulan</a:t>
                </a:r>
              </a:p>
            </c:rich>
          </c:tx>
          <c:layout>
            <c:manualLayout>
              <c:xMode val="edge"/>
              <c:yMode val="edge"/>
              <c:x val="0.47850898962900806"/>
              <c:y val="0.91784370401547088"/>
            </c:manualLayout>
          </c:layout>
          <c:overlay val="0"/>
          <c:spPr>
            <a:noFill/>
            <a:ln w="25400">
              <a:noFill/>
            </a:ln>
          </c:spPr>
        </c:title>
        <c:numFmt formatCode="d/mm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904000"/>
        <c:crossesAt val="-50"/>
        <c:crossBetween val="midCat"/>
        <c:majorUnit val="0.99856317249314397"/>
      </c:valAx>
      <c:valAx>
        <c:axId val="403904000"/>
        <c:scaling>
          <c:orientation val="minMax"/>
          <c:max val="500"/>
          <c:min val="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Elev. Muka Air (Cm) </a:t>
                </a:r>
              </a:p>
            </c:rich>
          </c:tx>
          <c:layout>
            <c:manualLayout>
              <c:xMode val="edge"/>
              <c:yMode val="edge"/>
              <c:x val="1.9309267013892174E-2"/>
              <c:y val="0.34452994995058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0174080"/>
        <c:crosses val="autoZero"/>
        <c:crossBetween val="midCat"/>
        <c:majorUnit val="100"/>
        <c:minorUnit val="20"/>
      </c:valAx>
      <c:spPr>
        <a:noFill/>
        <a:ln w="254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paperSize="9" firstPageNumber="0" orientation="landscape" horizontalDpi="-3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Gambar 1. Grafik Perbandingan Hasil Pengamatan 
dan Peramalan Pasut  </a:t>
            </a:r>
          </a:p>
        </c:rich>
      </c:tx>
      <c:layout>
        <c:manualLayout>
          <c:xMode val="edge"/>
          <c:yMode val="edge"/>
          <c:x val="0.21894418496104551"/>
          <c:y val="3.01837270341207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310587556481234E-2"/>
          <c:y val="0.20210019079536518"/>
          <c:w val="0.89673947038902913"/>
          <c:h val="0.65485711173303385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'Forcasting Pasut'!$E$18:$E$377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'Forcasting Pasut'!$Q$18:$Q$377</c:f>
              <c:numCache>
                <c:formatCode>0</c:formatCode>
                <c:ptCount val="360"/>
                <c:pt idx="0">
                  <c:v>136</c:v>
                </c:pt>
                <c:pt idx="1">
                  <c:v>165.5</c:v>
                </c:pt>
                <c:pt idx="2">
                  <c:v>198.3</c:v>
                </c:pt>
                <c:pt idx="3">
                  <c:v>224.7</c:v>
                </c:pt>
                <c:pt idx="4">
                  <c:v>239</c:v>
                </c:pt>
                <c:pt idx="5">
                  <c:v>243.00000000000003</c:v>
                </c:pt>
                <c:pt idx="6">
                  <c:v>231.70000000000002</c:v>
                </c:pt>
                <c:pt idx="7">
                  <c:v>212.1</c:v>
                </c:pt>
                <c:pt idx="8">
                  <c:v>188.39999999999998</c:v>
                </c:pt>
                <c:pt idx="9">
                  <c:v>163.69999999999999</c:v>
                </c:pt>
                <c:pt idx="10">
                  <c:v>145.4</c:v>
                </c:pt>
                <c:pt idx="11">
                  <c:v>135.4</c:v>
                </c:pt>
                <c:pt idx="12">
                  <c:v>142</c:v>
                </c:pt>
                <c:pt idx="13">
                  <c:v>156.1</c:v>
                </c:pt>
                <c:pt idx="14">
                  <c:v>173.10000000000002</c:v>
                </c:pt>
                <c:pt idx="15">
                  <c:v>188.9</c:v>
                </c:pt>
                <c:pt idx="16">
                  <c:v>194.9</c:v>
                </c:pt>
                <c:pt idx="17">
                  <c:v>190</c:v>
                </c:pt>
                <c:pt idx="18">
                  <c:v>173.3</c:v>
                </c:pt>
                <c:pt idx="19">
                  <c:v>155</c:v>
                </c:pt>
                <c:pt idx="20">
                  <c:v>132.4</c:v>
                </c:pt>
                <c:pt idx="21">
                  <c:v>110.80000000000001</c:v>
                </c:pt>
                <c:pt idx="22">
                  <c:v>96.899999999999991</c:v>
                </c:pt>
                <c:pt idx="23">
                  <c:v>99.1</c:v>
                </c:pt>
                <c:pt idx="24">
                  <c:v>113.79999999999998</c:v>
                </c:pt>
                <c:pt idx="25">
                  <c:v>143.9</c:v>
                </c:pt>
                <c:pt idx="26">
                  <c:v>184.7</c:v>
                </c:pt>
                <c:pt idx="27">
                  <c:v>222.29999999999998</c:v>
                </c:pt>
                <c:pt idx="28">
                  <c:v>249.10000000000002</c:v>
                </c:pt>
                <c:pt idx="29">
                  <c:v>258.10000000000002</c:v>
                </c:pt>
                <c:pt idx="30">
                  <c:v>251.9</c:v>
                </c:pt>
                <c:pt idx="31">
                  <c:v>232.6</c:v>
                </c:pt>
                <c:pt idx="32">
                  <c:v>202.4</c:v>
                </c:pt>
                <c:pt idx="33">
                  <c:v>171.9</c:v>
                </c:pt>
                <c:pt idx="34">
                  <c:v>144.1</c:v>
                </c:pt>
                <c:pt idx="35">
                  <c:v>125.29999999999998</c:v>
                </c:pt>
                <c:pt idx="36">
                  <c:v>123.2</c:v>
                </c:pt>
                <c:pt idx="37">
                  <c:v>133.20000000000002</c:v>
                </c:pt>
                <c:pt idx="38">
                  <c:v>150</c:v>
                </c:pt>
                <c:pt idx="39">
                  <c:v>169.3</c:v>
                </c:pt>
                <c:pt idx="40">
                  <c:v>183.29999999999998</c:v>
                </c:pt>
                <c:pt idx="41">
                  <c:v>184</c:v>
                </c:pt>
                <c:pt idx="42">
                  <c:v>174.2</c:v>
                </c:pt>
                <c:pt idx="43">
                  <c:v>158.29999999999998</c:v>
                </c:pt>
                <c:pt idx="44">
                  <c:v>133.20000000000002</c:v>
                </c:pt>
                <c:pt idx="45">
                  <c:v>106.69999999999999</c:v>
                </c:pt>
                <c:pt idx="46">
                  <c:v>81.3</c:v>
                </c:pt>
                <c:pt idx="47">
                  <c:v>75.400000000000006</c:v>
                </c:pt>
                <c:pt idx="48">
                  <c:v>90.600000000000009</c:v>
                </c:pt>
                <c:pt idx="49">
                  <c:v>123.10000000000001</c:v>
                </c:pt>
                <c:pt idx="50">
                  <c:v>162.69999999999999</c:v>
                </c:pt>
                <c:pt idx="51">
                  <c:v>205.50000000000003</c:v>
                </c:pt>
                <c:pt idx="52">
                  <c:v>245.6</c:v>
                </c:pt>
                <c:pt idx="53">
                  <c:v>271.39999999999998</c:v>
                </c:pt>
                <c:pt idx="54">
                  <c:v>272.8</c:v>
                </c:pt>
                <c:pt idx="55">
                  <c:v>255.20000000000002</c:v>
                </c:pt>
                <c:pt idx="56">
                  <c:v>222.8</c:v>
                </c:pt>
                <c:pt idx="57">
                  <c:v>182.8</c:v>
                </c:pt>
                <c:pt idx="58">
                  <c:v>148.5</c:v>
                </c:pt>
                <c:pt idx="59">
                  <c:v>122</c:v>
                </c:pt>
                <c:pt idx="60">
                  <c:v>113.6</c:v>
                </c:pt>
                <c:pt idx="61">
                  <c:v>123.4</c:v>
                </c:pt>
                <c:pt idx="62">
                  <c:v>143.4</c:v>
                </c:pt>
                <c:pt idx="63">
                  <c:v>164.1</c:v>
                </c:pt>
                <c:pt idx="64">
                  <c:v>177.8</c:v>
                </c:pt>
                <c:pt idx="65">
                  <c:v>182.1</c:v>
                </c:pt>
                <c:pt idx="66">
                  <c:v>178.7</c:v>
                </c:pt>
                <c:pt idx="67">
                  <c:v>162.60000000000002</c:v>
                </c:pt>
                <c:pt idx="68">
                  <c:v>139.9</c:v>
                </c:pt>
                <c:pt idx="69">
                  <c:v>114.6</c:v>
                </c:pt>
                <c:pt idx="70">
                  <c:v>88.5</c:v>
                </c:pt>
                <c:pt idx="71">
                  <c:v>70.199999999999989</c:v>
                </c:pt>
                <c:pt idx="72">
                  <c:v>74.3</c:v>
                </c:pt>
                <c:pt idx="73">
                  <c:v>100.89999999999999</c:v>
                </c:pt>
                <c:pt idx="74">
                  <c:v>139.5</c:v>
                </c:pt>
                <c:pt idx="75">
                  <c:v>188.39999999999998</c:v>
                </c:pt>
                <c:pt idx="76">
                  <c:v>235.2</c:v>
                </c:pt>
                <c:pt idx="77">
                  <c:v>269.60000000000002</c:v>
                </c:pt>
                <c:pt idx="78">
                  <c:v>281.5</c:v>
                </c:pt>
                <c:pt idx="79">
                  <c:v>273.8</c:v>
                </c:pt>
                <c:pt idx="80">
                  <c:v>246</c:v>
                </c:pt>
                <c:pt idx="81">
                  <c:v>202.8</c:v>
                </c:pt>
                <c:pt idx="82">
                  <c:v>165.3</c:v>
                </c:pt>
                <c:pt idx="83">
                  <c:v>134.5</c:v>
                </c:pt>
                <c:pt idx="84">
                  <c:v>118</c:v>
                </c:pt>
                <c:pt idx="85">
                  <c:v>115.19999999999999</c:v>
                </c:pt>
                <c:pt idx="86">
                  <c:v>126.1</c:v>
                </c:pt>
                <c:pt idx="87">
                  <c:v>147</c:v>
                </c:pt>
                <c:pt idx="88">
                  <c:v>166.79999999999998</c:v>
                </c:pt>
                <c:pt idx="89">
                  <c:v>177.1</c:v>
                </c:pt>
                <c:pt idx="90">
                  <c:v>176.5</c:v>
                </c:pt>
                <c:pt idx="91">
                  <c:v>165.3</c:v>
                </c:pt>
                <c:pt idx="92">
                  <c:v>144.4</c:v>
                </c:pt>
                <c:pt idx="93">
                  <c:v>122.6</c:v>
                </c:pt>
                <c:pt idx="94">
                  <c:v>95.6</c:v>
                </c:pt>
                <c:pt idx="95">
                  <c:v>73.8</c:v>
                </c:pt>
                <c:pt idx="96">
                  <c:v>68.7</c:v>
                </c:pt>
                <c:pt idx="97">
                  <c:v>86.4</c:v>
                </c:pt>
                <c:pt idx="98">
                  <c:v>124.6</c:v>
                </c:pt>
                <c:pt idx="99">
                  <c:v>170.1</c:v>
                </c:pt>
                <c:pt idx="100">
                  <c:v>219.3</c:v>
                </c:pt>
                <c:pt idx="101">
                  <c:v>259.5</c:v>
                </c:pt>
                <c:pt idx="102">
                  <c:v>281.8</c:v>
                </c:pt>
                <c:pt idx="103">
                  <c:v>284</c:v>
                </c:pt>
                <c:pt idx="104">
                  <c:v>265.7</c:v>
                </c:pt>
                <c:pt idx="105">
                  <c:v>228.79999999999998</c:v>
                </c:pt>
                <c:pt idx="106">
                  <c:v>188.2</c:v>
                </c:pt>
                <c:pt idx="107">
                  <c:v>151.5</c:v>
                </c:pt>
                <c:pt idx="108">
                  <c:v>127</c:v>
                </c:pt>
                <c:pt idx="109">
                  <c:v>116.9</c:v>
                </c:pt>
                <c:pt idx="110">
                  <c:v>122.50000000000001</c:v>
                </c:pt>
                <c:pt idx="111">
                  <c:v>137.5</c:v>
                </c:pt>
                <c:pt idx="112">
                  <c:v>159.4</c:v>
                </c:pt>
                <c:pt idx="113">
                  <c:v>178.4</c:v>
                </c:pt>
                <c:pt idx="114">
                  <c:v>183.9</c:v>
                </c:pt>
                <c:pt idx="115">
                  <c:v>174.5</c:v>
                </c:pt>
                <c:pt idx="116">
                  <c:v>155.4</c:v>
                </c:pt>
                <c:pt idx="117">
                  <c:v>129.5</c:v>
                </c:pt>
                <c:pt idx="118">
                  <c:v>96.3</c:v>
                </c:pt>
                <c:pt idx="119">
                  <c:v>76.2</c:v>
                </c:pt>
                <c:pt idx="120">
                  <c:v>65.8</c:v>
                </c:pt>
                <c:pt idx="121">
                  <c:v>75</c:v>
                </c:pt>
                <c:pt idx="122">
                  <c:v>106.1</c:v>
                </c:pt>
                <c:pt idx="123">
                  <c:v>149.30000000000001</c:v>
                </c:pt>
                <c:pt idx="124">
                  <c:v>199.9</c:v>
                </c:pt>
                <c:pt idx="125">
                  <c:v>243.5</c:v>
                </c:pt>
                <c:pt idx="126">
                  <c:v>274.5</c:v>
                </c:pt>
                <c:pt idx="127">
                  <c:v>284.60000000000002</c:v>
                </c:pt>
                <c:pt idx="128">
                  <c:v>275.8</c:v>
                </c:pt>
                <c:pt idx="129">
                  <c:v>250.59999999999997</c:v>
                </c:pt>
                <c:pt idx="130">
                  <c:v>212.3</c:v>
                </c:pt>
                <c:pt idx="131">
                  <c:v>174.9</c:v>
                </c:pt>
                <c:pt idx="132">
                  <c:v>142.9</c:v>
                </c:pt>
                <c:pt idx="133">
                  <c:v>126.1</c:v>
                </c:pt>
                <c:pt idx="134">
                  <c:v>123.10000000000001</c:v>
                </c:pt>
                <c:pt idx="135">
                  <c:v>137.20000000000002</c:v>
                </c:pt>
                <c:pt idx="136">
                  <c:v>158.80000000000001</c:v>
                </c:pt>
                <c:pt idx="137">
                  <c:v>176.89999999999998</c:v>
                </c:pt>
                <c:pt idx="138">
                  <c:v>181.29999999999998</c:v>
                </c:pt>
                <c:pt idx="139">
                  <c:v>177.7</c:v>
                </c:pt>
                <c:pt idx="140">
                  <c:v>164.1</c:v>
                </c:pt>
                <c:pt idx="141">
                  <c:v>140.79999999999998</c:v>
                </c:pt>
                <c:pt idx="142">
                  <c:v>115.10000000000001</c:v>
                </c:pt>
                <c:pt idx="143">
                  <c:v>90.4</c:v>
                </c:pt>
                <c:pt idx="144">
                  <c:v>74</c:v>
                </c:pt>
                <c:pt idx="145">
                  <c:v>75.400000000000006</c:v>
                </c:pt>
                <c:pt idx="146">
                  <c:v>94.699999999999989</c:v>
                </c:pt>
                <c:pt idx="147">
                  <c:v>130.5</c:v>
                </c:pt>
                <c:pt idx="148">
                  <c:v>175.4</c:v>
                </c:pt>
                <c:pt idx="149">
                  <c:v>218.5</c:v>
                </c:pt>
                <c:pt idx="150">
                  <c:v>254.70000000000002</c:v>
                </c:pt>
                <c:pt idx="151">
                  <c:v>275.8</c:v>
                </c:pt>
                <c:pt idx="152">
                  <c:v>277.3</c:v>
                </c:pt>
                <c:pt idx="153">
                  <c:v>259.8</c:v>
                </c:pt>
                <c:pt idx="154">
                  <c:v>227.8</c:v>
                </c:pt>
                <c:pt idx="155">
                  <c:v>188.7</c:v>
                </c:pt>
                <c:pt idx="156">
                  <c:v>156.20000000000002</c:v>
                </c:pt>
                <c:pt idx="157">
                  <c:v>134.9</c:v>
                </c:pt>
                <c:pt idx="158">
                  <c:v>128</c:v>
                </c:pt>
                <c:pt idx="159">
                  <c:v>135</c:v>
                </c:pt>
                <c:pt idx="160">
                  <c:v>152.69999999999999</c:v>
                </c:pt>
                <c:pt idx="161">
                  <c:v>168</c:v>
                </c:pt>
                <c:pt idx="162">
                  <c:v>177.89999999999998</c:v>
                </c:pt>
                <c:pt idx="163">
                  <c:v>176.6</c:v>
                </c:pt>
                <c:pt idx="164">
                  <c:v>168.3</c:v>
                </c:pt>
                <c:pt idx="165">
                  <c:v>147.5</c:v>
                </c:pt>
                <c:pt idx="166">
                  <c:v>126.29999999999998</c:v>
                </c:pt>
                <c:pt idx="167">
                  <c:v>102.3</c:v>
                </c:pt>
                <c:pt idx="168">
                  <c:v>79.7</c:v>
                </c:pt>
                <c:pt idx="169">
                  <c:v>73.400000000000006</c:v>
                </c:pt>
                <c:pt idx="170">
                  <c:v>85.7</c:v>
                </c:pt>
                <c:pt idx="171">
                  <c:v>115.99999999999999</c:v>
                </c:pt>
                <c:pt idx="172">
                  <c:v>154</c:v>
                </c:pt>
                <c:pt idx="173">
                  <c:v>198.9</c:v>
                </c:pt>
                <c:pt idx="174">
                  <c:v>235.6</c:v>
                </c:pt>
                <c:pt idx="175">
                  <c:v>259.5</c:v>
                </c:pt>
                <c:pt idx="176">
                  <c:v>268.89999999999998</c:v>
                </c:pt>
                <c:pt idx="177">
                  <c:v>258.59999999999997</c:v>
                </c:pt>
                <c:pt idx="178">
                  <c:v>233.9</c:v>
                </c:pt>
                <c:pt idx="179">
                  <c:v>199.10000000000002</c:v>
                </c:pt>
                <c:pt idx="180">
                  <c:v>169.79999999999998</c:v>
                </c:pt>
                <c:pt idx="181">
                  <c:v>143.55000000000001</c:v>
                </c:pt>
                <c:pt idx="182">
                  <c:v>131.9</c:v>
                </c:pt>
                <c:pt idx="183">
                  <c:v>130.4</c:v>
                </c:pt>
                <c:pt idx="184">
                  <c:v>142.1</c:v>
                </c:pt>
                <c:pt idx="185">
                  <c:v>159.4</c:v>
                </c:pt>
                <c:pt idx="186">
                  <c:v>174.8</c:v>
                </c:pt>
                <c:pt idx="187">
                  <c:v>182</c:v>
                </c:pt>
                <c:pt idx="188">
                  <c:v>177.1</c:v>
                </c:pt>
                <c:pt idx="189">
                  <c:v>158.80000000000001</c:v>
                </c:pt>
                <c:pt idx="190">
                  <c:v>136</c:v>
                </c:pt>
                <c:pt idx="191">
                  <c:v>112.4</c:v>
                </c:pt>
                <c:pt idx="192">
                  <c:v>90.5</c:v>
                </c:pt>
                <c:pt idx="193">
                  <c:v>78.600000000000009</c:v>
                </c:pt>
                <c:pt idx="194">
                  <c:v>84.5</c:v>
                </c:pt>
                <c:pt idx="195">
                  <c:v>107</c:v>
                </c:pt>
                <c:pt idx="196">
                  <c:v>141.30000000000001</c:v>
                </c:pt>
                <c:pt idx="197">
                  <c:v>179.20000000000002</c:v>
                </c:pt>
                <c:pt idx="198">
                  <c:v>217.89999999999998</c:v>
                </c:pt>
                <c:pt idx="199">
                  <c:v>244.20000000000002</c:v>
                </c:pt>
                <c:pt idx="200">
                  <c:v>256.3</c:v>
                </c:pt>
                <c:pt idx="201">
                  <c:v>255.20000000000002</c:v>
                </c:pt>
                <c:pt idx="202">
                  <c:v>240.60000000000002</c:v>
                </c:pt>
                <c:pt idx="203">
                  <c:v>211.50000000000003</c:v>
                </c:pt>
                <c:pt idx="204">
                  <c:v>180.5</c:v>
                </c:pt>
                <c:pt idx="205">
                  <c:v>156.4</c:v>
                </c:pt>
                <c:pt idx="206">
                  <c:v>143.9</c:v>
                </c:pt>
                <c:pt idx="207">
                  <c:v>140.79999999999998</c:v>
                </c:pt>
                <c:pt idx="208">
                  <c:v>147.9</c:v>
                </c:pt>
                <c:pt idx="209">
                  <c:v>159.30000000000001</c:v>
                </c:pt>
                <c:pt idx="210">
                  <c:v>172.10000000000002</c:v>
                </c:pt>
                <c:pt idx="211">
                  <c:v>180.8</c:v>
                </c:pt>
                <c:pt idx="212">
                  <c:v>180.5</c:v>
                </c:pt>
                <c:pt idx="213">
                  <c:v>166.70000000000002</c:v>
                </c:pt>
                <c:pt idx="214">
                  <c:v>146</c:v>
                </c:pt>
                <c:pt idx="215">
                  <c:v>125.4</c:v>
                </c:pt>
                <c:pt idx="216">
                  <c:v>104.69999999999999</c:v>
                </c:pt>
                <c:pt idx="217">
                  <c:v>90.600000000000009</c:v>
                </c:pt>
                <c:pt idx="218">
                  <c:v>87.1</c:v>
                </c:pt>
                <c:pt idx="219">
                  <c:v>102.4</c:v>
                </c:pt>
                <c:pt idx="220">
                  <c:v>131.4</c:v>
                </c:pt>
                <c:pt idx="221">
                  <c:v>166.79999999999998</c:v>
                </c:pt>
                <c:pt idx="222">
                  <c:v>199.3</c:v>
                </c:pt>
                <c:pt idx="223">
                  <c:v>225</c:v>
                </c:pt>
                <c:pt idx="224">
                  <c:v>240.20000000000002</c:v>
                </c:pt>
                <c:pt idx="225">
                  <c:v>242.20000000000002</c:v>
                </c:pt>
                <c:pt idx="226">
                  <c:v>235.70000000000002</c:v>
                </c:pt>
                <c:pt idx="227">
                  <c:v>218.29999999999998</c:v>
                </c:pt>
                <c:pt idx="228">
                  <c:v>192.3</c:v>
                </c:pt>
                <c:pt idx="229">
                  <c:v>170.5</c:v>
                </c:pt>
                <c:pt idx="230">
                  <c:v>155.6</c:v>
                </c:pt>
                <c:pt idx="231">
                  <c:v>147.30000000000001</c:v>
                </c:pt>
                <c:pt idx="232">
                  <c:v>147.9</c:v>
                </c:pt>
                <c:pt idx="233">
                  <c:v>157.29999999999998</c:v>
                </c:pt>
                <c:pt idx="234">
                  <c:v>167.3</c:v>
                </c:pt>
                <c:pt idx="235">
                  <c:v>178.9</c:v>
                </c:pt>
                <c:pt idx="236">
                  <c:v>183.20000000000002</c:v>
                </c:pt>
                <c:pt idx="237">
                  <c:v>175.5</c:v>
                </c:pt>
                <c:pt idx="238">
                  <c:v>155.6</c:v>
                </c:pt>
                <c:pt idx="239">
                  <c:v>137.5</c:v>
                </c:pt>
                <c:pt idx="240">
                  <c:v>119.7</c:v>
                </c:pt>
                <c:pt idx="241">
                  <c:v>105.80000000000001</c:v>
                </c:pt>
                <c:pt idx="242">
                  <c:v>102.8</c:v>
                </c:pt>
                <c:pt idx="243">
                  <c:v>110.00000000000001</c:v>
                </c:pt>
                <c:pt idx="244">
                  <c:v>130.69999999999999</c:v>
                </c:pt>
                <c:pt idx="245">
                  <c:v>159.30000000000001</c:v>
                </c:pt>
                <c:pt idx="246">
                  <c:v>188.6</c:v>
                </c:pt>
                <c:pt idx="247">
                  <c:v>209.60000000000002</c:v>
                </c:pt>
                <c:pt idx="248">
                  <c:v>224.10000000000002</c:v>
                </c:pt>
                <c:pt idx="249">
                  <c:v>230.29999999999998</c:v>
                </c:pt>
                <c:pt idx="250">
                  <c:v>224.7</c:v>
                </c:pt>
                <c:pt idx="251">
                  <c:v>212.4</c:v>
                </c:pt>
                <c:pt idx="252">
                  <c:v>198.6</c:v>
                </c:pt>
                <c:pt idx="253">
                  <c:v>180.8</c:v>
                </c:pt>
                <c:pt idx="254">
                  <c:v>162.9</c:v>
                </c:pt>
                <c:pt idx="255">
                  <c:v>153.5</c:v>
                </c:pt>
                <c:pt idx="256">
                  <c:v>150.19999999999999</c:v>
                </c:pt>
                <c:pt idx="257">
                  <c:v>151.10000000000002</c:v>
                </c:pt>
                <c:pt idx="258">
                  <c:v>159.5</c:v>
                </c:pt>
                <c:pt idx="259">
                  <c:v>172.4</c:v>
                </c:pt>
                <c:pt idx="260">
                  <c:v>179.6</c:v>
                </c:pt>
                <c:pt idx="261">
                  <c:v>176.6</c:v>
                </c:pt>
                <c:pt idx="262">
                  <c:v>164</c:v>
                </c:pt>
                <c:pt idx="263">
                  <c:v>149.5</c:v>
                </c:pt>
                <c:pt idx="264">
                  <c:v>137.30000000000001</c:v>
                </c:pt>
                <c:pt idx="265">
                  <c:v>127.1</c:v>
                </c:pt>
                <c:pt idx="266">
                  <c:v>123.4</c:v>
                </c:pt>
                <c:pt idx="267">
                  <c:v>127.3</c:v>
                </c:pt>
                <c:pt idx="268">
                  <c:v>135.20000000000002</c:v>
                </c:pt>
                <c:pt idx="269">
                  <c:v>152.6</c:v>
                </c:pt>
                <c:pt idx="270">
                  <c:v>173.9</c:v>
                </c:pt>
                <c:pt idx="271">
                  <c:v>190.5</c:v>
                </c:pt>
                <c:pt idx="272">
                  <c:v>203.9</c:v>
                </c:pt>
                <c:pt idx="273">
                  <c:v>208.70000000000002</c:v>
                </c:pt>
                <c:pt idx="274">
                  <c:v>207.7</c:v>
                </c:pt>
                <c:pt idx="275">
                  <c:v>203.6</c:v>
                </c:pt>
                <c:pt idx="276">
                  <c:v>197.6</c:v>
                </c:pt>
                <c:pt idx="277">
                  <c:v>187.3</c:v>
                </c:pt>
                <c:pt idx="278">
                  <c:v>176.5</c:v>
                </c:pt>
                <c:pt idx="279">
                  <c:v>163.19999999999999</c:v>
                </c:pt>
                <c:pt idx="280">
                  <c:v>157.80000000000001</c:v>
                </c:pt>
                <c:pt idx="281">
                  <c:v>153.80000000000001</c:v>
                </c:pt>
                <c:pt idx="282">
                  <c:v>154.4</c:v>
                </c:pt>
                <c:pt idx="283">
                  <c:v>162.1</c:v>
                </c:pt>
                <c:pt idx="284">
                  <c:v>170.4</c:v>
                </c:pt>
                <c:pt idx="285">
                  <c:v>172.10000000000002</c:v>
                </c:pt>
                <c:pt idx="286">
                  <c:v>169.3</c:v>
                </c:pt>
                <c:pt idx="287">
                  <c:v>161</c:v>
                </c:pt>
                <c:pt idx="288">
                  <c:v>149.6</c:v>
                </c:pt>
                <c:pt idx="289">
                  <c:v>143.70000000000002</c:v>
                </c:pt>
                <c:pt idx="290">
                  <c:v>143.1</c:v>
                </c:pt>
                <c:pt idx="291">
                  <c:v>146.6</c:v>
                </c:pt>
                <c:pt idx="292">
                  <c:v>153.9</c:v>
                </c:pt>
                <c:pt idx="293">
                  <c:v>163.6</c:v>
                </c:pt>
                <c:pt idx="294">
                  <c:v>170.70000000000002</c:v>
                </c:pt>
                <c:pt idx="295">
                  <c:v>179.7</c:v>
                </c:pt>
                <c:pt idx="296">
                  <c:v>184.3</c:v>
                </c:pt>
                <c:pt idx="297">
                  <c:v>187.4</c:v>
                </c:pt>
                <c:pt idx="298">
                  <c:v>189.9</c:v>
                </c:pt>
                <c:pt idx="299">
                  <c:v>192.4</c:v>
                </c:pt>
                <c:pt idx="300">
                  <c:v>189.39999999999998</c:v>
                </c:pt>
                <c:pt idx="301">
                  <c:v>183.5</c:v>
                </c:pt>
                <c:pt idx="302">
                  <c:v>178.9</c:v>
                </c:pt>
                <c:pt idx="303">
                  <c:v>167.4</c:v>
                </c:pt>
                <c:pt idx="304">
                  <c:v>157.6</c:v>
                </c:pt>
                <c:pt idx="305">
                  <c:v>150.89999999999998</c:v>
                </c:pt>
                <c:pt idx="306">
                  <c:v>146.80000000000001</c:v>
                </c:pt>
                <c:pt idx="307">
                  <c:v>148.4</c:v>
                </c:pt>
                <c:pt idx="308">
                  <c:v>152.69999999999999</c:v>
                </c:pt>
                <c:pt idx="309">
                  <c:v>154.4</c:v>
                </c:pt>
                <c:pt idx="310">
                  <c:v>158.4</c:v>
                </c:pt>
                <c:pt idx="311">
                  <c:v>156.9</c:v>
                </c:pt>
                <c:pt idx="312">
                  <c:v>162</c:v>
                </c:pt>
                <c:pt idx="313">
                  <c:v>167.6</c:v>
                </c:pt>
                <c:pt idx="314">
                  <c:v>166.9</c:v>
                </c:pt>
                <c:pt idx="315">
                  <c:v>169.9</c:v>
                </c:pt>
                <c:pt idx="316">
                  <c:v>171.4</c:v>
                </c:pt>
                <c:pt idx="317">
                  <c:v>171.4</c:v>
                </c:pt>
                <c:pt idx="318">
                  <c:v>171.2</c:v>
                </c:pt>
                <c:pt idx="319">
                  <c:v>173</c:v>
                </c:pt>
                <c:pt idx="320">
                  <c:v>175.2</c:v>
                </c:pt>
                <c:pt idx="321">
                  <c:v>172.3</c:v>
                </c:pt>
                <c:pt idx="322">
                  <c:v>171.5</c:v>
                </c:pt>
                <c:pt idx="323">
                  <c:v>173.9</c:v>
                </c:pt>
                <c:pt idx="324">
                  <c:v>178.5</c:v>
                </c:pt>
                <c:pt idx="325">
                  <c:v>182.20000000000002</c:v>
                </c:pt>
                <c:pt idx="326">
                  <c:v>182.29999999999998</c:v>
                </c:pt>
                <c:pt idx="327">
                  <c:v>176.6</c:v>
                </c:pt>
                <c:pt idx="328">
                  <c:v>168.4</c:v>
                </c:pt>
                <c:pt idx="329">
                  <c:v>154.80000000000001</c:v>
                </c:pt>
                <c:pt idx="330">
                  <c:v>142.19999999999999</c:v>
                </c:pt>
                <c:pt idx="331">
                  <c:v>136.5</c:v>
                </c:pt>
                <c:pt idx="332">
                  <c:v>137.30000000000001</c:v>
                </c:pt>
                <c:pt idx="333">
                  <c:v>139.30000000000001</c:v>
                </c:pt>
                <c:pt idx="334">
                  <c:v>145.79999999999998</c:v>
                </c:pt>
                <c:pt idx="335">
                  <c:v>156.1</c:v>
                </c:pt>
                <c:pt idx="336">
                  <c:v>169.6</c:v>
                </c:pt>
                <c:pt idx="337">
                  <c:v>181.6</c:v>
                </c:pt>
                <c:pt idx="338">
                  <c:v>190.3</c:v>
                </c:pt>
                <c:pt idx="339">
                  <c:v>196.8</c:v>
                </c:pt>
                <c:pt idx="340">
                  <c:v>201.2</c:v>
                </c:pt>
                <c:pt idx="341">
                  <c:v>200</c:v>
                </c:pt>
                <c:pt idx="342">
                  <c:v>191.3</c:v>
                </c:pt>
                <c:pt idx="343">
                  <c:v>182</c:v>
                </c:pt>
                <c:pt idx="344">
                  <c:v>172.2</c:v>
                </c:pt>
                <c:pt idx="345">
                  <c:v>164.79999999999998</c:v>
                </c:pt>
                <c:pt idx="346">
                  <c:v>160</c:v>
                </c:pt>
                <c:pt idx="347">
                  <c:v>158.1</c:v>
                </c:pt>
                <c:pt idx="348">
                  <c:v>160.80000000000001</c:v>
                </c:pt>
                <c:pt idx="349">
                  <c:v>166.4</c:v>
                </c:pt>
                <c:pt idx="350">
                  <c:v>174.3</c:v>
                </c:pt>
                <c:pt idx="351">
                  <c:v>178</c:v>
                </c:pt>
                <c:pt idx="352">
                  <c:v>171.8</c:v>
                </c:pt>
                <c:pt idx="353">
                  <c:v>161.69999999999999</c:v>
                </c:pt>
                <c:pt idx="354">
                  <c:v>149.30000000000001</c:v>
                </c:pt>
                <c:pt idx="355">
                  <c:v>136.80000000000001</c:v>
                </c:pt>
                <c:pt idx="356">
                  <c:v>124.30000000000001</c:v>
                </c:pt>
                <c:pt idx="357">
                  <c:v>119.8</c:v>
                </c:pt>
                <c:pt idx="358">
                  <c:v>123.8</c:v>
                </c:pt>
                <c:pt idx="359">
                  <c:v>138.79999999999998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7-4A3A-9ECB-513659800DFD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lgDash"/>
            </a:ln>
          </c:spPr>
          <c:marker>
            <c:symbol val="squar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'Forcasting Pasut'!$E$18:$E$377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'Forcasting Pasut'!$O$18:$O$377</c:f>
              <c:numCache>
                <c:formatCode>0</c:formatCode>
                <c:ptCount val="360"/>
                <c:pt idx="0">
                  <c:v>154.99409993682019</c:v>
                </c:pt>
                <c:pt idx="1">
                  <c:v>131.23577411973375</c:v>
                </c:pt>
                <c:pt idx="2">
                  <c:v>110.88380032329698</c:v>
                </c:pt>
                <c:pt idx="3">
                  <c:v>101.80630999945072</c:v>
                </c:pt>
                <c:pt idx="4">
                  <c:v>106.11589694736924</c:v>
                </c:pt>
                <c:pt idx="5">
                  <c:v>120.72687092719077</c:v>
                </c:pt>
                <c:pt idx="6">
                  <c:v>141.23231832817203</c:v>
                </c:pt>
                <c:pt idx="7">
                  <c:v>165.03274013423135</c:v>
                </c:pt>
                <c:pt idx="8">
                  <c:v>190.87548836104943</c:v>
                </c:pt>
                <c:pt idx="9">
                  <c:v>215.89569452755623</c:v>
                </c:pt>
                <c:pt idx="10">
                  <c:v>233.98299540622347</c:v>
                </c:pt>
                <c:pt idx="11">
                  <c:v>238.1120831924855</c:v>
                </c:pt>
                <c:pt idx="12">
                  <c:v>225.27316193830475</c:v>
                </c:pt>
                <c:pt idx="13">
                  <c:v>199.70887169383013</c:v>
                </c:pt>
                <c:pt idx="14">
                  <c:v>171.23652131559172</c:v>
                </c:pt>
                <c:pt idx="15">
                  <c:v>149.63089167541989</c:v>
                </c:pt>
                <c:pt idx="16">
                  <c:v>139.47432000847687</c:v>
                </c:pt>
                <c:pt idx="17">
                  <c:v>139.3413918197848</c:v>
                </c:pt>
                <c:pt idx="18">
                  <c:v>145.2112243234707</c:v>
                </c:pt>
                <c:pt idx="19">
                  <c:v>154.35516847288861</c:v>
                </c:pt>
                <c:pt idx="20">
                  <c:v>166.02576400296795</c:v>
                </c:pt>
                <c:pt idx="21">
                  <c:v>178.86355187286563</c:v>
                </c:pt>
                <c:pt idx="22">
                  <c:v>188.45948966313813</c:v>
                </c:pt>
                <c:pt idx="23">
                  <c:v>188.48071547832049</c:v>
                </c:pt>
                <c:pt idx="24">
                  <c:v>175.17753288861567</c:v>
                </c:pt>
                <c:pt idx="25">
                  <c:v>151.42684616896065</c:v>
                </c:pt>
                <c:pt idx="26">
                  <c:v>126.35880886457643</c:v>
                </c:pt>
                <c:pt idx="27">
                  <c:v>110.31341484081648</c:v>
                </c:pt>
                <c:pt idx="28">
                  <c:v>108.97685876164709</c:v>
                </c:pt>
                <c:pt idx="29">
                  <c:v>121.21744707725709</c:v>
                </c:pt>
                <c:pt idx="30">
                  <c:v>141.76677210184991</c:v>
                </c:pt>
                <c:pt idx="31">
                  <c:v>165.66784313674171</c:v>
                </c:pt>
                <c:pt idx="32">
                  <c:v>190.28304774478835</c:v>
                </c:pt>
                <c:pt idx="33">
                  <c:v>213.55802108681317</c:v>
                </c:pt>
                <c:pt idx="34">
                  <c:v>231.23913480663816</c:v>
                </c:pt>
                <c:pt idx="35">
                  <c:v>236.89263481993413</c:v>
                </c:pt>
                <c:pt idx="36">
                  <c:v>225.72721827489349</c:v>
                </c:pt>
                <c:pt idx="37">
                  <c:v>199.14913627487684</c:v>
                </c:pt>
                <c:pt idx="38">
                  <c:v>165.6963696275792</c:v>
                </c:pt>
                <c:pt idx="39">
                  <c:v>136.88575778394383</c:v>
                </c:pt>
                <c:pt idx="40">
                  <c:v>120.94457727631674</c:v>
                </c:pt>
                <c:pt idx="41">
                  <c:v>119.24298838852158</c:v>
                </c:pt>
                <c:pt idx="42">
                  <c:v>127.77588232572363</c:v>
                </c:pt>
                <c:pt idx="43">
                  <c:v>141.60066260145874</c:v>
                </c:pt>
                <c:pt idx="44">
                  <c:v>157.87953607018889</c:v>
                </c:pt>
                <c:pt idx="45">
                  <c:v>175.11438960624761</c:v>
                </c:pt>
                <c:pt idx="46">
                  <c:v>190.27790852513658</c:v>
                </c:pt>
                <c:pt idx="47">
                  <c:v>197.76525454087246</c:v>
                </c:pt>
                <c:pt idx="48">
                  <c:v>192.23564095560852</c:v>
                </c:pt>
                <c:pt idx="49">
                  <c:v>173.29525963788356</c:v>
                </c:pt>
                <c:pt idx="50">
                  <c:v>147.64606128075224</c:v>
                </c:pt>
                <c:pt idx="51">
                  <c:v>126.16528736496451</c:v>
                </c:pt>
                <c:pt idx="52">
                  <c:v>117.77267961179307</c:v>
                </c:pt>
                <c:pt idx="53">
                  <c:v>124.79465001604225</c:v>
                </c:pt>
                <c:pt idx="54">
                  <c:v>143.17646860227885</c:v>
                </c:pt>
                <c:pt idx="55">
                  <c:v>166.61603968702579</c:v>
                </c:pt>
                <c:pt idx="56">
                  <c:v>190.5068338599844</c:v>
                </c:pt>
                <c:pt idx="57">
                  <c:v>212.38572172898978</c:v>
                </c:pt>
                <c:pt idx="58">
                  <c:v>229.43719177918274</c:v>
                </c:pt>
                <c:pt idx="59">
                  <c:v>236.67342070359666</c:v>
                </c:pt>
                <c:pt idx="60">
                  <c:v>228.68563188749397</c:v>
                </c:pt>
                <c:pt idx="61">
                  <c:v>204.06764502257502</c:v>
                </c:pt>
                <c:pt idx="62">
                  <c:v>168.48701934932836</c:v>
                </c:pt>
                <c:pt idx="63">
                  <c:v>133.06143772175227</c:v>
                </c:pt>
                <c:pt idx="64">
                  <c:v>108.68174588041744</c:v>
                </c:pt>
                <c:pt idx="65">
                  <c:v>100.51400638854744</c:v>
                </c:pt>
                <c:pt idx="66">
                  <c:v>106.74635238649162</c:v>
                </c:pt>
                <c:pt idx="67">
                  <c:v>121.89122198004203</c:v>
                </c:pt>
                <c:pt idx="68">
                  <c:v>141.13736749101437</c:v>
                </c:pt>
                <c:pt idx="69">
                  <c:v>161.88272778274009</c:v>
                </c:pt>
                <c:pt idx="70">
                  <c:v>181.83899235527031</c:v>
                </c:pt>
                <c:pt idx="71">
                  <c:v>196.7023448813602</c:v>
                </c:pt>
                <c:pt idx="72">
                  <c:v>200.7983226290805</c:v>
                </c:pt>
                <c:pt idx="73">
                  <c:v>190.95084936092533</c:v>
                </c:pt>
                <c:pt idx="74">
                  <c:v>170.21751476597717</c:v>
                </c:pt>
                <c:pt idx="75">
                  <c:v>147.6697754629248</c:v>
                </c:pt>
                <c:pt idx="76">
                  <c:v>133.66416790844474</c:v>
                </c:pt>
                <c:pt idx="77">
                  <c:v>134.03983231240016</c:v>
                </c:pt>
                <c:pt idx="78">
                  <c:v>147.65023735957936</c:v>
                </c:pt>
                <c:pt idx="79">
                  <c:v>168.68810816080963</c:v>
                </c:pt>
                <c:pt idx="80">
                  <c:v>191.16891620648099</c:v>
                </c:pt>
                <c:pt idx="81">
                  <c:v>211.49506346912347</c:v>
                </c:pt>
                <c:pt idx="82">
                  <c:v>227.43689115617843</c:v>
                </c:pt>
                <c:pt idx="83">
                  <c:v>235.65803591583196</c:v>
                </c:pt>
                <c:pt idx="84">
                  <c:v>231.35098972942288</c:v>
                </c:pt>
                <c:pt idx="85">
                  <c:v>211.25731378424695</c:v>
                </c:pt>
                <c:pt idx="86">
                  <c:v>177.6091373336306</c:v>
                </c:pt>
                <c:pt idx="87">
                  <c:v>139.05895980919135</c:v>
                </c:pt>
                <c:pt idx="88">
                  <c:v>107.00916329840626</c:v>
                </c:pt>
                <c:pt idx="89">
                  <c:v>89.783167266952887</c:v>
                </c:pt>
                <c:pt idx="90">
                  <c:v>89.022699144205163</c:v>
                </c:pt>
                <c:pt idx="91">
                  <c:v>100.73145387395138</c:v>
                </c:pt>
                <c:pt idx="92">
                  <c:v>119.3717698988219</c:v>
                </c:pt>
                <c:pt idx="93">
                  <c:v>141.09851145529223</c:v>
                </c:pt>
                <c:pt idx="94">
                  <c:v>163.64132262494928</c:v>
                </c:pt>
                <c:pt idx="95">
                  <c:v>183.98075422831991</c:v>
                </c:pt>
                <c:pt idx="96">
                  <c:v>197.20669952785013</c:v>
                </c:pt>
                <c:pt idx="97">
                  <c:v>198.63227512922001</c:v>
                </c:pt>
                <c:pt idx="98">
                  <c:v>187.69762546881898</c:v>
                </c:pt>
                <c:pt idx="99">
                  <c:v>169.95162115507839</c:v>
                </c:pt>
                <c:pt idx="100">
                  <c:v>154.72719294625969</c:v>
                </c:pt>
                <c:pt idx="101">
                  <c:v>149.86556640260164</c:v>
                </c:pt>
                <c:pt idx="102">
                  <c:v>157.49699994434204</c:v>
                </c:pt>
                <c:pt idx="103">
                  <c:v>173.96104994563376</c:v>
                </c:pt>
                <c:pt idx="104">
                  <c:v>193.33218326272245</c:v>
                </c:pt>
                <c:pt idx="105">
                  <c:v>211.09570486115243</c:v>
                </c:pt>
                <c:pt idx="106">
                  <c:v>224.94534678488168</c:v>
                </c:pt>
                <c:pt idx="107">
                  <c:v>232.86572284379986</c:v>
                </c:pt>
                <c:pt idx="108">
                  <c:v>231.43172544145648</c:v>
                </c:pt>
                <c:pt idx="109">
                  <c:v>216.91390599020249</c:v>
                </c:pt>
                <c:pt idx="110">
                  <c:v>188.71414794538762</c:v>
                </c:pt>
                <c:pt idx="111">
                  <c:v>151.92419478173341</c:v>
                </c:pt>
                <c:pt idx="112">
                  <c:v>116.14212229636267</c:v>
                </c:pt>
                <c:pt idx="113">
                  <c:v>90.871438257325167</c:v>
                </c:pt>
                <c:pt idx="114">
                  <c:v>80.88447500289476</c:v>
                </c:pt>
                <c:pt idx="115">
                  <c:v>84.981517491603483</c:v>
                </c:pt>
                <c:pt idx="116">
                  <c:v>98.589451174273592</c:v>
                </c:pt>
                <c:pt idx="117">
                  <c:v>117.43416774792367</c:v>
                </c:pt>
                <c:pt idx="118">
                  <c:v>139.04280496161576</c:v>
                </c:pt>
                <c:pt idx="119">
                  <c:v>161.37839387165701</c:v>
                </c:pt>
                <c:pt idx="120">
                  <c:v>180.89917895482299</c:v>
                </c:pt>
                <c:pt idx="121">
                  <c:v>192.84579573278072</c:v>
                </c:pt>
                <c:pt idx="122">
                  <c:v>194.14443977870843</c:v>
                </c:pt>
                <c:pt idx="123">
                  <c:v>186.39345943928453</c:v>
                </c:pt>
                <c:pt idx="124">
                  <c:v>175.88793512958088</c:v>
                </c:pt>
                <c:pt idx="125">
                  <c:v>170.11223640128665</c:v>
                </c:pt>
                <c:pt idx="126">
                  <c:v>173.28516913210601</c:v>
                </c:pt>
                <c:pt idx="127">
                  <c:v>184.40241768756562</c:v>
                </c:pt>
                <c:pt idx="128">
                  <c:v>198.99238883489608</c:v>
                </c:pt>
                <c:pt idx="129">
                  <c:v>212.60239261837032</c:v>
                </c:pt>
                <c:pt idx="130">
                  <c:v>222.83952076377739</c:v>
                </c:pt>
                <c:pt idx="131">
                  <c:v>228.60309412427762</c:v>
                </c:pt>
                <c:pt idx="132">
                  <c:v>228.08441554599884</c:v>
                </c:pt>
                <c:pt idx="133">
                  <c:v>218.28579932982109</c:v>
                </c:pt>
                <c:pt idx="134">
                  <c:v>197.1222879792297</c:v>
                </c:pt>
                <c:pt idx="135">
                  <c:v>166.32968569419941</c:v>
                </c:pt>
                <c:pt idx="136">
                  <c:v>132.241419828207</c:v>
                </c:pt>
                <c:pt idx="137">
                  <c:v>103.20661476626259</c:v>
                </c:pt>
                <c:pt idx="138">
                  <c:v>85.412241113184777</c:v>
                </c:pt>
                <c:pt idx="139">
                  <c:v>80.314891303752773</c:v>
                </c:pt>
                <c:pt idx="140">
                  <c:v>85.434013730695952</c:v>
                </c:pt>
                <c:pt idx="141">
                  <c:v>97.308319595315609</c:v>
                </c:pt>
                <c:pt idx="142">
                  <c:v>113.74415523457381</c:v>
                </c:pt>
                <c:pt idx="143">
                  <c:v>133.57473700283543</c:v>
                </c:pt>
                <c:pt idx="144">
                  <c:v>154.82132936996362</c:v>
                </c:pt>
                <c:pt idx="145">
                  <c:v>173.7536678749486</c:v>
                </c:pt>
                <c:pt idx="146">
                  <c:v>186.35130635813596</c:v>
                </c:pt>
                <c:pt idx="147">
                  <c:v>191.10314029701573</c:v>
                </c:pt>
                <c:pt idx="148">
                  <c:v>190.50516787201514</c:v>
                </c:pt>
                <c:pt idx="149">
                  <c:v>189.60649989425426</c:v>
                </c:pt>
                <c:pt idx="150">
                  <c:v>192.59236877380991</c:v>
                </c:pt>
                <c:pt idx="151">
                  <c:v>200.17022253640059</c:v>
                </c:pt>
                <c:pt idx="152">
                  <c:v>209.76604474812933</c:v>
                </c:pt>
                <c:pt idx="153">
                  <c:v>217.99496975137637</c:v>
                </c:pt>
                <c:pt idx="154">
                  <c:v>222.96326365807022</c:v>
                </c:pt>
                <c:pt idx="155">
                  <c:v>224.43513109519492</c:v>
                </c:pt>
                <c:pt idx="156">
                  <c:v>222.18411433585322</c:v>
                </c:pt>
                <c:pt idx="157">
                  <c:v>214.66344798984281</c:v>
                </c:pt>
                <c:pt idx="158">
                  <c:v>199.72115359895975</c:v>
                </c:pt>
                <c:pt idx="159">
                  <c:v>176.91017197234379</c:v>
                </c:pt>
                <c:pt idx="160">
                  <c:v>149.17744001084574</c:v>
                </c:pt>
                <c:pt idx="161">
                  <c:v>122.1127799356677</c:v>
                </c:pt>
                <c:pt idx="162">
                  <c:v>101.13357669904579</c:v>
                </c:pt>
                <c:pt idx="163">
                  <c:v>88.8677175920172</c:v>
                </c:pt>
                <c:pt idx="164">
                  <c:v>84.78100450273925</c:v>
                </c:pt>
                <c:pt idx="165">
                  <c:v>87.01532102129066</c:v>
                </c:pt>
                <c:pt idx="166">
                  <c:v>94.46686971838804</c:v>
                </c:pt>
                <c:pt idx="167">
                  <c:v>107.15424765237805</c:v>
                </c:pt>
                <c:pt idx="168">
                  <c:v>124.79302536862168</c:v>
                </c:pt>
                <c:pt idx="169">
                  <c:v>145.32884581298208</c:v>
                </c:pt>
                <c:pt idx="170">
                  <c:v>165.19732531918388</c:v>
                </c:pt>
                <c:pt idx="171">
                  <c:v>181.30635092150843</c:v>
                </c:pt>
                <c:pt idx="172">
                  <c:v>192.95244534030522</c:v>
                </c:pt>
                <c:pt idx="173">
                  <c:v>201.84979902246812</c:v>
                </c:pt>
                <c:pt idx="174">
                  <c:v>210.19976085800241</c:v>
                </c:pt>
                <c:pt idx="175">
                  <c:v>218.55596045927015</c:v>
                </c:pt>
                <c:pt idx="176">
                  <c:v>225.38570509580222</c:v>
                </c:pt>
                <c:pt idx="177">
                  <c:v>228.58113327824225</c:v>
                </c:pt>
                <c:pt idx="178">
                  <c:v>227.35007120182198</c:v>
                </c:pt>
                <c:pt idx="179">
                  <c:v>222.6641595981082</c:v>
                </c:pt>
                <c:pt idx="180">
                  <c:v>215.94850798839869</c:v>
                </c:pt>
                <c:pt idx="181">
                  <c:v>207.4462535959218</c:v>
                </c:pt>
                <c:pt idx="182">
                  <c:v>195.97270475607388</c:v>
                </c:pt>
                <c:pt idx="183">
                  <c:v>180.34984733481954</c:v>
                </c:pt>
                <c:pt idx="184">
                  <c:v>161.11718013873872</c:v>
                </c:pt>
                <c:pt idx="185">
                  <c:v>140.82117669747564</c:v>
                </c:pt>
                <c:pt idx="186">
                  <c:v>122.56421571861394</c:v>
                </c:pt>
                <c:pt idx="187">
                  <c:v>108.17330182985975</c:v>
                </c:pt>
                <c:pt idx="188">
                  <c:v>97.68329013283244</c:v>
                </c:pt>
                <c:pt idx="189">
                  <c:v>90.511948213070909</c:v>
                </c:pt>
                <c:pt idx="190">
                  <c:v>87.047032991804514</c:v>
                </c:pt>
                <c:pt idx="191">
                  <c:v>88.991823895296278</c:v>
                </c:pt>
                <c:pt idx="192">
                  <c:v>98.068325913785827</c:v>
                </c:pt>
                <c:pt idx="193">
                  <c:v>114.30516834830078</c:v>
                </c:pt>
                <c:pt idx="194">
                  <c:v>135.54435585882885</c:v>
                </c:pt>
                <c:pt idx="195">
                  <c:v>158.61437070508615</c:v>
                </c:pt>
                <c:pt idx="196">
                  <c:v>181.02976321134813</c:v>
                </c:pt>
                <c:pt idx="197">
                  <c:v>201.65059144726828</c:v>
                </c:pt>
                <c:pt idx="198">
                  <c:v>219.85774221750282</c:v>
                </c:pt>
                <c:pt idx="199">
                  <c:v>234.32472295107905</c:v>
                </c:pt>
                <c:pt idx="200">
                  <c:v>242.86445203914144</c:v>
                </c:pt>
                <c:pt idx="201">
                  <c:v>243.70939112972786</c:v>
                </c:pt>
                <c:pt idx="202">
                  <c:v>237.06938500143033</c:v>
                </c:pt>
                <c:pt idx="203">
                  <c:v>225.42011585073271</c:v>
                </c:pt>
                <c:pt idx="204">
                  <c:v>212.11022351967142</c:v>
                </c:pt>
                <c:pt idx="205">
                  <c:v>199.43287305352342</c:v>
                </c:pt>
                <c:pt idx="206">
                  <c:v>187.77163569418957</c:v>
                </c:pt>
                <c:pt idx="207">
                  <c:v>176.36792368133689</c:v>
                </c:pt>
                <c:pt idx="208">
                  <c:v>164.733382856513</c:v>
                </c:pt>
                <c:pt idx="209">
                  <c:v>153.24240759341237</c:v>
                </c:pt>
                <c:pt idx="210">
                  <c:v>142.43136754322876</c:v>
                </c:pt>
                <c:pt idx="211">
                  <c:v>131.96513665197318</c:v>
                </c:pt>
                <c:pt idx="212">
                  <c:v>120.63652368261548</c:v>
                </c:pt>
                <c:pt idx="213">
                  <c:v>107.71048289713291</c:v>
                </c:pt>
                <c:pt idx="214">
                  <c:v>94.460491171981118</c:v>
                </c:pt>
                <c:pt idx="215">
                  <c:v>84.355016876965067</c:v>
                </c:pt>
                <c:pt idx="216">
                  <c:v>81.477395852264522</c:v>
                </c:pt>
                <c:pt idx="217">
                  <c:v>88.344314678385928</c:v>
                </c:pt>
                <c:pt idx="218">
                  <c:v>104.80413045356593</c:v>
                </c:pt>
                <c:pt idx="219">
                  <c:v>128.66015299426368</c:v>
                </c:pt>
                <c:pt idx="220">
                  <c:v>157.1046145923452</c:v>
                </c:pt>
                <c:pt idx="221">
                  <c:v>187.48990805947128</c:v>
                </c:pt>
                <c:pt idx="222">
                  <c:v>216.91239655084814</c:v>
                </c:pt>
                <c:pt idx="223">
                  <c:v>241.53189936136332</c:v>
                </c:pt>
                <c:pt idx="224">
                  <c:v>256.98398862035151</c:v>
                </c:pt>
                <c:pt idx="225">
                  <c:v>260.169565156982</c:v>
                </c:pt>
                <c:pt idx="226">
                  <c:v>251.17042048761829</c:v>
                </c:pt>
                <c:pt idx="227">
                  <c:v>233.6014794642202</c:v>
                </c:pt>
                <c:pt idx="228">
                  <c:v>212.89085049704758</c:v>
                </c:pt>
                <c:pt idx="229">
                  <c:v>193.70946948813838</c:v>
                </c:pt>
                <c:pt idx="230">
                  <c:v>178.41809633312454</c:v>
                </c:pt>
                <c:pt idx="231">
                  <c:v>167.35921049314791</c:v>
                </c:pt>
                <c:pt idx="232">
                  <c:v>160.12478524348904</c:v>
                </c:pt>
                <c:pt idx="233">
                  <c:v>156.23062331829638</c:v>
                </c:pt>
                <c:pt idx="234">
                  <c:v>154.56786498930535</c:v>
                </c:pt>
                <c:pt idx="235">
                  <c:v>152.57701506905926</c:v>
                </c:pt>
                <c:pt idx="236">
                  <c:v>146.64314585655129</c:v>
                </c:pt>
                <c:pt idx="237">
                  <c:v>134.09964719953743</c:v>
                </c:pt>
                <c:pt idx="238">
                  <c:v>115.50021748740436</c:v>
                </c:pt>
                <c:pt idx="239">
                  <c:v>95.210757266347727</c:v>
                </c:pt>
                <c:pt idx="240">
                  <c:v>79.589007049480301</c:v>
                </c:pt>
                <c:pt idx="241">
                  <c:v>73.994839872962473</c:v>
                </c:pt>
                <c:pt idx="242">
                  <c:v>80.770416512387982</c:v>
                </c:pt>
                <c:pt idx="243">
                  <c:v>99.318205177172928</c:v>
                </c:pt>
                <c:pt idx="244">
                  <c:v>127.48561826172489</c:v>
                </c:pt>
                <c:pt idx="245">
                  <c:v>162.49859725472999</c:v>
                </c:pt>
                <c:pt idx="246">
                  <c:v>200.57093307682143</c:v>
                </c:pt>
                <c:pt idx="247">
                  <c:v>236.09616694780533</c:v>
                </c:pt>
                <c:pt idx="248">
                  <c:v>262.13458476291623</c:v>
                </c:pt>
                <c:pt idx="249">
                  <c:v>272.82033734004261</c:v>
                </c:pt>
                <c:pt idx="250">
                  <c:v>266.32144727525656</c:v>
                </c:pt>
                <c:pt idx="251">
                  <c:v>246.0590842064673</c:v>
                </c:pt>
                <c:pt idx="252">
                  <c:v>219.0532823801141</c:v>
                </c:pt>
                <c:pt idx="253">
                  <c:v>192.533384612665</c:v>
                </c:pt>
                <c:pt idx="254">
                  <c:v>171.25037880435508</c:v>
                </c:pt>
                <c:pt idx="255">
                  <c:v>157.0651541399003</c:v>
                </c:pt>
                <c:pt idx="256">
                  <c:v>150.22728677747241</c:v>
                </c:pt>
                <c:pt idx="257">
                  <c:v>150.39593840635578</c:v>
                </c:pt>
                <c:pt idx="258">
                  <c:v>156.17003335341343</c:v>
                </c:pt>
                <c:pt idx="259">
                  <c:v>163.89937176659072</c:v>
                </c:pt>
                <c:pt idx="260">
                  <c:v>167.74821037762592</c:v>
                </c:pt>
                <c:pt idx="261">
                  <c:v>162.05357305369876</c:v>
                </c:pt>
                <c:pt idx="262">
                  <c:v>144.75938839034109</c:v>
                </c:pt>
                <c:pt idx="263">
                  <c:v>119.31218908714976</c:v>
                </c:pt>
                <c:pt idx="264">
                  <c:v>93.340868868659186</c:v>
                </c:pt>
                <c:pt idx="265">
                  <c:v>74.972379368089349</c:v>
                </c:pt>
                <c:pt idx="266">
                  <c:v>69.460972265366848</c:v>
                </c:pt>
                <c:pt idx="267">
                  <c:v>78.261718279109388</c:v>
                </c:pt>
                <c:pt idx="268">
                  <c:v>100.33226032983943</c:v>
                </c:pt>
                <c:pt idx="269">
                  <c:v>133.57315002734205</c:v>
                </c:pt>
                <c:pt idx="270">
                  <c:v>174.69003013220157</c:v>
                </c:pt>
                <c:pt idx="271">
                  <c:v>217.92302933779305</c:v>
                </c:pt>
                <c:pt idx="272">
                  <c:v>254.79169860301181</c:v>
                </c:pt>
                <c:pt idx="273">
                  <c:v>276.41927997361586</c:v>
                </c:pt>
                <c:pt idx="274">
                  <c:v>277.55765256574534</c:v>
                </c:pt>
                <c:pt idx="275">
                  <c:v>259.46954348571728</c:v>
                </c:pt>
                <c:pt idx="276">
                  <c:v>229.33513678728576</c:v>
                </c:pt>
                <c:pt idx="277">
                  <c:v>196.51961882543605</c:v>
                </c:pt>
                <c:pt idx="278">
                  <c:v>168.46924752752724</c:v>
                </c:pt>
                <c:pt idx="279">
                  <c:v>148.98019491509518</c:v>
                </c:pt>
                <c:pt idx="280">
                  <c:v>139.19805217219749</c:v>
                </c:pt>
                <c:pt idx="281">
                  <c:v>139.27679965228074</c:v>
                </c:pt>
                <c:pt idx="282">
                  <c:v>148.46720403869105</c:v>
                </c:pt>
                <c:pt idx="283">
                  <c:v>163.57751948222293</c:v>
                </c:pt>
                <c:pt idx="284">
                  <c:v>177.99932784036338</c:v>
                </c:pt>
                <c:pt idx="285">
                  <c:v>183.45290588719328</c:v>
                </c:pt>
                <c:pt idx="286">
                  <c:v>174.15328998556834</c:v>
                </c:pt>
                <c:pt idx="287">
                  <c:v>150.5360870525061</c:v>
                </c:pt>
                <c:pt idx="288">
                  <c:v>119.55393537490306</c:v>
                </c:pt>
                <c:pt idx="289">
                  <c:v>91.154876816285693</c:v>
                </c:pt>
                <c:pt idx="290">
                  <c:v>73.573335995191144</c:v>
                </c:pt>
                <c:pt idx="291">
                  <c:v>70.751507451546473</c:v>
                </c:pt>
                <c:pt idx="292">
                  <c:v>82.994922263440628</c:v>
                </c:pt>
                <c:pt idx="293">
                  <c:v>109.01576229759256</c:v>
                </c:pt>
                <c:pt idx="294">
                  <c:v>146.64946545577902</c:v>
                </c:pt>
                <c:pt idx="295">
                  <c:v>191.49363918786261</c:v>
                </c:pt>
                <c:pt idx="296">
                  <c:v>235.46591394989926</c:v>
                </c:pt>
                <c:pt idx="297">
                  <c:v>267.96078875228272</c:v>
                </c:pt>
                <c:pt idx="298">
                  <c:v>280.06119954330285</c:v>
                </c:pt>
                <c:pt idx="299">
                  <c:v>269.17697845358498</c:v>
                </c:pt>
                <c:pt idx="300">
                  <c:v>240.54965848933935</c:v>
                </c:pt>
                <c:pt idx="301">
                  <c:v>204.33643416801183</c:v>
                </c:pt>
                <c:pt idx="302">
                  <c:v>170.48433839612937</c:v>
                </c:pt>
                <c:pt idx="303">
                  <c:v>145.14722792090311</c:v>
                </c:pt>
                <c:pt idx="304">
                  <c:v>130.62235092126534</c:v>
                </c:pt>
                <c:pt idx="305">
                  <c:v>127.45300445409096</c:v>
                </c:pt>
                <c:pt idx="306">
                  <c:v>135.65377746754993</c:v>
                </c:pt>
                <c:pt idx="307">
                  <c:v>153.51470879040099</c:v>
                </c:pt>
                <c:pt idx="308">
                  <c:v>175.53942584628186</c:v>
                </c:pt>
                <c:pt idx="309">
                  <c:v>192.5873619840151</c:v>
                </c:pt>
                <c:pt idx="310">
                  <c:v>195.56400684114135</c:v>
                </c:pt>
                <c:pt idx="311">
                  <c:v>180.5722403776077</c:v>
                </c:pt>
                <c:pt idx="312">
                  <c:v>151.60707483947132</c:v>
                </c:pt>
                <c:pt idx="313">
                  <c:v>118.53801605400523</c:v>
                </c:pt>
                <c:pt idx="314">
                  <c:v>91.882734498909514</c:v>
                </c:pt>
                <c:pt idx="315">
                  <c:v>78.319091848576022</c:v>
                </c:pt>
                <c:pt idx="316">
                  <c:v>79.807737130915868</c:v>
                </c:pt>
                <c:pt idx="317">
                  <c:v>95.71301310361622</c:v>
                </c:pt>
                <c:pt idx="318">
                  <c:v>124.77003531402104</c:v>
                </c:pt>
                <c:pt idx="319">
                  <c:v>164.52596783476929</c:v>
                </c:pt>
                <c:pt idx="320">
                  <c:v>209.09508389014673</c:v>
                </c:pt>
                <c:pt idx="321">
                  <c:v>248.42651568512096</c:v>
                </c:pt>
                <c:pt idx="322">
                  <c:v>271.3156538733686</c:v>
                </c:pt>
                <c:pt idx="323">
                  <c:v>270.8778093041683</c:v>
                </c:pt>
                <c:pt idx="324">
                  <c:v>248.49292689701295</c:v>
                </c:pt>
                <c:pt idx="325">
                  <c:v>213.02937581251021</c:v>
                </c:pt>
                <c:pt idx="326">
                  <c:v>175.88677127997664</c:v>
                </c:pt>
                <c:pt idx="327">
                  <c:v>145.68765133950978</c:v>
                </c:pt>
                <c:pt idx="328">
                  <c:v>126.30529021062311</c:v>
                </c:pt>
                <c:pt idx="329">
                  <c:v>118.57726611365796</c:v>
                </c:pt>
                <c:pt idx="330">
                  <c:v>122.75255441417342</c:v>
                </c:pt>
                <c:pt idx="331">
                  <c:v>138.57502529643983</c:v>
                </c:pt>
                <c:pt idx="332">
                  <c:v>162.93219771189931</c:v>
                </c:pt>
                <c:pt idx="333">
                  <c:v>188.10157863578524</c:v>
                </c:pt>
                <c:pt idx="334">
                  <c:v>203.61928477856483</c:v>
                </c:pt>
                <c:pt idx="335">
                  <c:v>201.52006672849416</c:v>
                </c:pt>
                <c:pt idx="336">
                  <c:v>181.24043908023322</c:v>
                </c:pt>
                <c:pt idx="337">
                  <c:v>150.22585228260547</c:v>
                </c:pt>
                <c:pt idx="338">
                  <c:v>119.64811426398768</c:v>
                </c:pt>
                <c:pt idx="339">
                  <c:v>98.596421451692521</c:v>
                </c:pt>
                <c:pt idx="340">
                  <c:v>91.03826224314416</c:v>
                </c:pt>
                <c:pt idx="341">
                  <c:v>96.979985758538788</c:v>
                </c:pt>
                <c:pt idx="342">
                  <c:v>115.38678131110738</c:v>
                </c:pt>
                <c:pt idx="343">
                  <c:v>145.2286779904191</c:v>
                </c:pt>
                <c:pt idx="344">
                  <c:v>183.5370424508497</c:v>
                </c:pt>
                <c:pt idx="345">
                  <c:v>222.99308285755433</c:v>
                </c:pt>
                <c:pt idx="346">
                  <c:v>252.63223330833185</c:v>
                </c:pt>
                <c:pt idx="347">
                  <c:v>262.54386530491666</c:v>
                </c:pt>
                <c:pt idx="348">
                  <c:v>249.48734674003364</c:v>
                </c:pt>
                <c:pt idx="349">
                  <c:v>218.96929263211896</c:v>
                </c:pt>
                <c:pt idx="350">
                  <c:v>181.99599221916665</c:v>
                </c:pt>
                <c:pt idx="351">
                  <c:v>149.0644417472391</c:v>
                </c:pt>
                <c:pt idx="352">
                  <c:v>126.00166681409006</c:v>
                </c:pt>
                <c:pt idx="353">
                  <c:v>114.18071277986442</c:v>
                </c:pt>
                <c:pt idx="354">
                  <c:v>113.49548686060453</c:v>
                </c:pt>
                <c:pt idx="355">
                  <c:v>124.22886195033232</c:v>
                </c:pt>
                <c:pt idx="356">
                  <c:v>145.6617922509665</c:v>
                </c:pt>
                <c:pt idx="357">
                  <c:v>173.14182928917108</c:v>
                </c:pt>
                <c:pt idx="358">
                  <c:v>197.45054702944427</c:v>
                </c:pt>
                <c:pt idx="359">
                  <c:v>208.47156329603405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7-4A3A-9ECB-513659800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50208"/>
        <c:axId val="283152768"/>
      </c:scatterChart>
      <c:valAx>
        <c:axId val="283150208"/>
        <c:scaling>
          <c:orientation val="minMax"/>
          <c:max val="360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Waktu (jam)</a:t>
                </a:r>
              </a:p>
            </c:rich>
          </c:tx>
          <c:layout>
            <c:manualLayout>
              <c:xMode val="edge"/>
              <c:yMode val="edge"/>
              <c:x val="0.47981381133692025"/>
              <c:y val="0.930448220999402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152768"/>
        <c:crossesAt val="-50"/>
        <c:crossBetween val="midCat"/>
        <c:majorUnit val="10"/>
      </c:valAx>
      <c:valAx>
        <c:axId val="283152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Elevasi Muka Air (cm)</a:t>
                </a:r>
              </a:p>
            </c:rich>
          </c:tx>
          <c:layout>
            <c:manualLayout>
              <c:xMode val="edge"/>
              <c:yMode val="edge"/>
              <c:x val="1.7080763808299843E-2"/>
              <c:y val="0.3937015981110469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3150208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50377920396632"/>
          <c:y val="0.1281671249010565"/>
          <c:w val="0.10246691184220066"/>
          <c:h val="6.408356245052825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image" Target="../media/image3.png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9" Type="http://schemas.openxmlformats.org/officeDocument/2006/relationships/image" Target="../media/image4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39</xdr:row>
      <xdr:rowOff>0</xdr:rowOff>
    </xdr:from>
    <xdr:to>
      <xdr:col>36</xdr:col>
      <xdr:colOff>304800</xdr:colOff>
      <xdr:row>84</xdr:row>
      <xdr:rowOff>7620</xdr:rowOff>
    </xdr:to>
    <xdr:graphicFrame macro="">
      <xdr:nvGraphicFramePr>
        <xdr:cNvPr id="1228962" name="Chart 19">
          <a:extLst>
            <a:ext uri="{FF2B5EF4-FFF2-40B4-BE49-F238E27FC236}">
              <a16:creationId xmlns:a16="http://schemas.microsoft.com/office/drawing/2014/main" id="{00000000-0008-0000-0000-0000A2C01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386715</xdr:colOff>
      <xdr:row>9</xdr:row>
      <xdr:rowOff>14605</xdr:rowOff>
    </xdr:from>
    <xdr:to>
      <xdr:col>20</xdr:col>
      <xdr:colOff>748512</xdr:colOff>
      <xdr:row>10</xdr:row>
      <xdr:rowOff>53827</xdr:rowOff>
    </xdr:to>
    <xdr:sp macro="" textlink="" fLocksText="0">
      <xdr:nvSpPr>
        <xdr:cNvPr id="2049" name="TextBox 3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 txBox="1">
          <a:spLocks noChangeArrowheads="1"/>
        </xdr:cNvSpPr>
      </xdr:nvSpPr>
      <xdr:spPr bwMode="auto">
        <a:xfrm>
          <a:off x="11137900" y="1885950"/>
          <a:ext cx="3683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0000" tIns="46800" rIns="90000" bIns="46800" anchor="t"/>
        <a:lstStyle/>
        <a:p>
          <a:pPr algn="l" rtl="0">
            <a:defRPr sz="1000"/>
          </a:pPr>
          <a:r>
            <a:rPr lang="id-ID" sz="1100" b="1" i="0" u="none" strike="noStrike" baseline="0">
              <a:solidFill>
                <a:srgbClr val="000000"/>
              </a:solidFill>
              <a:latin typeface="Calibri"/>
            </a:rPr>
            <a:t>cm</a:t>
          </a:r>
        </a:p>
      </xdr:txBody>
    </xdr:sp>
    <xdr:clientData/>
  </xdr:twoCellAnchor>
  <xdr:twoCellAnchor>
    <xdr:from>
      <xdr:col>20</xdr:col>
      <xdr:colOff>29845</xdr:colOff>
      <xdr:row>10</xdr:row>
      <xdr:rowOff>34925</xdr:rowOff>
    </xdr:from>
    <xdr:to>
      <xdr:col>20</xdr:col>
      <xdr:colOff>502699</xdr:colOff>
      <xdr:row>10</xdr:row>
      <xdr:rowOff>276679</xdr:rowOff>
    </xdr:to>
    <xdr:sp macro="" textlink="" fLocksText="0">
      <xdr:nvSpPr>
        <xdr:cNvPr id="2050" name="TextBox 4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ChangeArrowheads="1"/>
        </xdr:cNvSpPr>
      </xdr:nvSpPr>
      <xdr:spPr bwMode="auto">
        <a:xfrm>
          <a:off x="10782300" y="2114550"/>
          <a:ext cx="469900" cy="260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0000" tIns="46800" rIns="90000" bIns="46800" anchor="t"/>
        <a:lstStyle/>
        <a:p>
          <a:pPr algn="l" rtl="0">
            <a:defRPr sz="1000"/>
          </a:pPr>
          <a:r>
            <a:rPr lang="id-ID" sz="1100" b="1" i="0" u="none" strike="noStrike" baseline="0">
              <a:solidFill>
                <a:srgbClr val="000000"/>
              </a:solidFill>
              <a:latin typeface="Calibri"/>
            </a:rPr>
            <a:t>Jam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61</xdr:row>
      <xdr:rowOff>102870</xdr:rowOff>
    </xdr:from>
    <xdr:to>
      <xdr:col>18</xdr:col>
      <xdr:colOff>487680</xdr:colOff>
      <xdr:row>77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182880</xdr:colOff>
      <xdr:row>38</xdr:row>
      <xdr:rowOff>99060</xdr:rowOff>
    </xdr:from>
    <xdr:to>
      <xdr:col>22</xdr:col>
      <xdr:colOff>144555</xdr:colOff>
      <xdr:row>64</xdr:row>
      <xdr:rowOff>145229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F00D534-A314-4D09-84A2-EC3B887D4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289560</xdr:colOff>
      <xdr:row>0</xdr:row>
      <xdr:rowOff>114300</xdr:rowOff>
    </xdr:from>
    <xdr:to>
      <xdr:col>20</xdr:col>
      <xdr:colOff>30480</xdr:colOff>
      <xdr:row>35</xdr:row>
      <xdr:rowOff>167640</xdr:rowOff>
    </xdr:to>
    <xdr:pic>
      <xdr:nvPicPr>
        <xdr:cNvPr id="8268" name="Picture 1">
          <a:extLst>
            <a:ext uri="{FF2B5EF4-FFF2-40B4-BE49-F238E27FC236}">
              <a16:creationId xmlns:a16="http://schemas.microsoft.com/office/drawing/2014/main" id="{00000000-0008-0000-0600-00004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920" y="114300"/>
          <a:ext cx="5364480" cy="6118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289560</xdr:colOff>
      <xdr:row>2</xdr:row>
      <xdr:rowOff>83820</xdr:rowOff>
    </xdr:from>
    <xdr:to>
      <xdr:col>91</xdr:col>
      <xdr:colOff>388620</xdr:colOff>
      <xdr:row>2</xdr:row>
      <xdr:rowOff>83820</xdr:rowOff>
    </xdr:to>
    <xdr:sp macro="" textlink="">
      <xdr:nvSpPr>
        <xdr:cNvPr id="9345" name="Line 1">
          <a:extLst>
            <a:ext uri="{FF2B5EF4-FFF2-40B4-BE49-F238E27FC236}">
              <a16:creationId xmlns:a16="http://schemas.microsoft.com/office/drawing/2014/main" id="{00000000-0008-0000-0700-000081240000}"/>
            </a:ext>
          </a:extLst>
        </xdr:cNvPr>
        <xdr:cNvSpPr>
          <a:spLocks noChangeShapeType="1"/>
        </xdr:cNvSpPr>
      </xdr:nvSpPr>
      <xdr:spPr bwMode="auto">
        <a:xfrm>
          <a:off x="52654200" y="381000"/>
          <a:ext cx="9906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92</xdr:col>
      <xdr:colOff>289560</xdr:colOff>
      <xdr:row>2</xdr:row>
      <xdr:rowOff>83820</xdr:rowOff>
    </xdr:from>
    <xdr:to>
      <xdr:col>92</xdr:col>
      <xdr:colOff>388620</xdr:colOff>
      <xdr:row>2</xdr:row>
      <xdr:rowOff>83820</xdr:rowOff>
    </xdr:to>
    <xdr:sp macro="" textlink="">
      <xdr:nvSpPr>
        <xdr:cNvPr id="9346" name="Line 2">
          <a:extLst>
            <a:ext uri="{FF2B5EF4-FFF2-40B4-BE49-F238E27FC236}">
              <a16:creationId xmlns:a16="http://schemas.microsoft.com/office/drawing/2014/main" id="{00000000-0008-0000-0700-000082240000}"/>
            </a:ext>
          </a:extLst>
        </xdr:cNvPr>
        <xdr:cNvSpPr>
          <a:spLocks noChangeShapeType="1"/>
        </xdr:cNvSpPr>
      </xdr:nvSpPr>
      <xdr:spPr bwMode="auto">
        <a:xfrm>
          <a:off x="53279040" y="381000"/>
          <a:ext cx="9906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3</xdr:row>
      <xdr:rowOff>76200</xdr:rowOff>
    </xdr:from>
    <xdr:to>
      <xdr:col>5</xdr:col>
      <xdr:colOff>396240</xdr:colOff>
      <xdr:row>3</xdr:row>
      <xdr:rowOff>76200</xdr:rowOff>
    </xdr:to>
    <xdr:sp macro="" textlink="">
      <xdr:nvSpPr>
        <xdr:cNvPr id="36139" name="Line 1">
          <a:extLst>
            <a:ext uri="{FF2B5EF4-FFF2-40B4-BE49-F238E27FC236}">
              <a16:creationId xmlns:a16="http://schemas.microsoft.com/office/drawing/2014/main" id="{00000000-0008-0000-0C00-00002B8D0000}"/>
            </a:ext>
          </a:extLst>
        </xdr:cNvPr>
        <xdr:cNvSpPr>
          <a:spLocks noChangeShapeType="1"/>
        </xdr:cNvSpPr>
      </xdr:nvSpPr>
      <xdr:spPr bwMode="auto">
        <a:xfrm>
          <a:off x="2880360" y="335280"/>
          <a:ext cx="9906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297180</xdr:colOff>
      <xdr:row>3</xdr:row>
      <xdr:rowOff>76200</xdr:rowOff>
    </xdr:from>
    <xdr:to>
      <xdr:col>6</xdr:col>
      <xdr:colOff>396240</xdr:colOff>
      <xdr:row>3</xdr:row>
      <xdr:rowOff>76200</xdr:rowOff>
    </xdr:to>
    <xdr:sp macro="" textlink="">
      <xdr:nvSpPr>
        <xdr:cNvPr id="36140" name="Line 2">
          <a:extLst>
            <a:ext uri="{FF2B5EF4-FFF2-40B4-BE49-F238E27FC236}">
              <a16:creationId xmlns:a16="http://schemas.microsoft.com/office/drawing/2014/main" id="{00000000-0008-0000-0C00-00002C8D0000}"/>
            </a:ext>
          </a:extLst>
        </xdr:cNvPr>
        <xdr:cNvSpPr>
          <a:spLocks noChangeShapeType="1"/>
        </xdr:cNvSpPr>
      </xdr:nvSpPr>
      <xdr:spPr bwMode="auto">
        <a:xfrm>
          <a:off x="3566160" y="335280"/>
          <a:ext cx="9906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297180</xdr:colOff>
      <xdr:row>3</xdr:row>
      <xdr:rowOff>76200</xdr:rowOff>
    </xdr:from>
    <xdr:to>
      <xdr:col>5</xdr:col>
      <xdr:colOff>396240</xdr:colOff>
      <xdr:row>3</xdr:row>
      <xdr:rowOff>76200</xdr:rowOff>
    </xdr:to>
    <xdr:sp macro="" textlink="">
      <xdr:nvSpPr>
        <xdr:cNvPr id="36141" name="Line 1">
          <a:extLst>
            <a:ext uri="{FF2B5EF4-FFF2-40B4-BE49-F238E27FC236}">
              <a16:creationId xmlns:a16="http://schemas.microsoft.com/office/drawing/2014/main" id="{00000000-0008-0000-0C00-00002D8D0000}"/>
            </a:ext>
          </a:extLst>
        </xdr:cNvPr>
        <xdr:cNvSpPr>
          <a:spLocks noChangeShapeType="1"/>
        </xdr:cNvSpPr>
      </xdr:nvSpPr>
      <xdr:spPr bwMode="auto">
        <a:xfrm>
          <a:off x="2880360" y="335280"/>
          <a:ext cx="99060" cy="0"/>
        </a:xfrm>
        <a:prstGeom prst="line">
          <a:avLst/>
        </a:prstGeom>
        <a:noFill/>
        <a:ln w="9360">
          <a:solidFill>
            <a:schemeClr val="bg1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297180</xdr:colOff>
      <xdr:row>3</xdr:row>
      <xdr:rowOff>76200</xdr:rowOff>
    </xdr:from>
    <xdr:to>
      <xdr:col>6</xdr:col>
      <xdr:colOff>396240</xdr:colOff>
      <xdr:row>3</xdr:row>
      <xdr:rowOff>76200</xdr:rowOff>
    </xdr:to>
    <xdr:sp macro="" textlink="">
      <xdr:nvSpPr>
        <xdr:cNvPr id="36142" name="Line 2">
          <a:extLst>
            <a:ext uri="{FF2B5EF4-FFF2-40B4-BE49-F238E27FC236}">
              <a16:creationId xmlns:a16="http://schemas.microsoft.com/office/drawing/2014/main" id="{00000000-0008-0000-0C00-00002E8D0000}"/>
            </a:ext>
          </a:extLst>
        </xdr:cNvPr>
        <xdr:cNvSpPr>
          <a:spLocks noChangeShapeType="1"/>
        </xdr:cNvSpPr>
      </xdr:nvSpPr>
      <xdr:spPr bwMode="auto">
        <a:xfrm>
          <a:off x="3566160" y="335280"/>
          <a:ext cx="99060" cy="0"/>
        </a:xfrm>
        <a:prstGeom prst="line">
          <a:avLst/>
        </a:prstGeom>
        <a:noFill/>
        <a:ln w="9360">
          <a:solidFill>
            <a:schemeClr val="bg1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632460</xdr:colOff>
      <xdr:row>32</xdr:row>
      <xdr:rowOff>129540</xdr:rowOff>
    </xdr:to>
    <xdr:graphicFrame macro="">
      <xdr:nvGraphicFramePr>
        <xdr:cNvPr id="42070" name="Chart 1">
          <a:extLst>
            <a:ext uri="{FF2B5EF4-FFF2-40B4-BE49-F238E27FC236}">
              <a16:creationId xmlns:a16="http://schemas.microsoft.com/office/drawing/2014/main" id="{00000000-0008-0000-1200-000056A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632460</xdr:colOff>
      <xdr:row>32</xdr:row>
      <xdr:rowOff>129540</xdr:rowOff>
    </xdr:to>
    <xdr:graphicFrame macro="">
      <xdr:nvGraphicFramePr>
        <xdr:cNvPr id="43094" name="Chart 1">
          <a:extLst>
            <a:ext uri="{FF2B5EF4-FFF2-40B4-BE49-F238E27FC236}">
              <a16:creationId xmlns:a16="http://schemas.microsoft.com/office/drawing/2014/main" id="{00000000-0008-0000-1300-000056A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632460</xdr:colOff>
      <xdr:row>32</xdr:row>
      <xdr:rowOff>129540</xdr:rowOff>
    </xdr:to>
    <xdr:graphicFrame macro="">
      <xdr:nvGraphicFramePr>
        <xdr:cNvPr id="44118" name="Chart 1">
          <a:extLst>
            <a:ext uri="{FF2B5EF4-FFF2-40B4-BE49-F238E27FC236}">
              <a16:creationId xmlns:a16="http://schemas.microsoft.com/office/drawing/2014/main" id="{00000000-0008-0000-1400-000056A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632460</xdr:colOff>
      <xdr:row>32</xdr:row>
      <xdr:rowOff>129540</xdr:rowOff>
    </xdr:to>
    <xdr:graphicFrame macro="">
      <xdr:nvGraphicFramePr>
        <xdr:cNvPr id="45142" name="Chart 1">
          <a:extLst>
            <a:ext uri="{FF2B5EF4-FFF2-40B4-BE49-F238E27FC236}">
              <a16:creationId xmlns:a16="http://schemas.microsoft.com/office/drawing/2014/main" id="{00000000-0008-0000-1500-000056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632460</xdr:colOff>
      <xdr:row>32</xdr:row>
      <xdr:rowOff>129540</xdr:rowOff>
    </xdr:to>
    <xdr:graphicFrame macro="">
      <xdr:nvGraphicFramePr>
        <xdr:cNvPr id="46166" name="Chart 1">
          <a:extLst>
            <a:ext uri="{FF2B5EF4-FFF2-40B4-BE49-F238E27FC236}">
              <a16:creationId xmlns:a16="http://schemas.microsoft.com/office/drawing/2014/main" id="{00000000-0008-0000-1600-000056B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373380</xdr:colOff>
      <xdr:row>10</xdr:row>
      <xdr:rowOff>140970</xdr:rowOff>
    </xdr:from>
    <xdr:to>
      <xdr:col>31</xdr:col>
      <xdr:colOff>281940</xdr:colOff>
      <xdr:row>25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304800</xdr:colOff>
      <xdr:row>5</xdr:row>
      <xdr:rowOff>38100</xdr:rowOff>
    </xdr:from>
    <xdr:to>
      <xdr:col>41</xdr:col>
      <xdr:colOff>457200</xdr:colOff>
      <xdr:row>28</xdr:row>
      <xdr:rowOff>91440</xdr:rowOff>
    </xdr:to>
    <xdr:graphicFrame macro="">
      <xdr:nvGraphicFramePr>
        <xdr:cNvPr id="57743" name="Chart 1">
          <a:extLst>
            <a:ext uri="{FF2B5EF4-FFF2-40B4-BE49-F238E27FC236}">
              <a16:creationId xmlns:a16="http://schemas.microsoft.com/office/drawing/2014/main" id="{00000000-0008-0000-2000-00008FE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320040</xdr:colOff>
      <xdr:row>29</xdr:row>
      <xdr:rowOff>144780</xdr:rowOff>
    </xdr:from>
    <xdr:to>
      <xdr:col>41</xdr:col>
      <xdr:colOff>289560</xdr:colOff>
      <xdr:row>50</xdr:row>
      <xdr:rowOff>60960</xdr:rowOff>
    </xdr:to>
    <xdr:graphicFrame macro="">
      <xdr:nvGraphicFramePr>
        <xdr:cNvPr id="57744" name="Chart 2">
          <a:extLst>
            <a:ext uri="{FF2B5EF4-FFF2-40B4-BE49-F238E27FC236}">
              <a16:creationId xmlns:a16="http://schemas.microsoft.com/office/drawing/2014/main" id="{00000000-0008-0000-2000-000090E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388620</xdr:colOff>
      <xdr:row>77</xdr:row>
      <xdr:rowOff>144780</xdr:rowOff>
    </xdr:from>
    <xdr:to>
      <xdr:col>41</xdr:col>
      <xdr:colOff>358140</xdr:colOff>
      <xdr:row>98</xdr:row>
      <xdr:rowOff>60960</xdr:rowOff>
    </xdr:to>
    <xdr:graphicFrame macro="">
      <xdr:nvGraphicFramePr>
        <xdr:cNvPr id="57745" name="Chart 3">
          <a:extLst>
            <a:ext uri="{FF2B5EF4-FFF2-40B4-BE49-F238E27FC236}">
              <a16:creationId xmlns:a16="http://schemas.microsoft.com/office/drawing/2014/main" id="{00000000-0008-0000-2000-000091E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320040</xdr:colOff>
      <xdr:row>53</xdr:row>
      <xdr:rowOff>15240</xdr:rowOff>
    </xdr:from>
    <xdr:to>
      <xdr:col>41</xdr:col>
      <xdr:colOff>281940</xdr:colOff>
      <xdr:row>73</xdr:row>
      <xdr:rowOff>137160</xdr:rowOff>
    </xdr:to>
    <xdr:graphicFrame macro="">
      <xdr:nvGraphicFramePr>
        <xdr:cNvPr id="57746" name="Chart 4">
          <a:extLst>
            <a:ext uri="{FF2B5EF4-FFF2-40B4-BE49-F238E27FC236}">
              <a16:creationId xmlns:a16="http://schemas.microsoft.com/office/drawing/2014/main" id="{00000000-0008-0000-2000-000092E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60960</xdr:colOff>
      <xdr:row>29</xdr:row>
      <xdr:rowOff>167640</xdr:rowOff>
    </xdr:from>
    <xdr:to>
      <xdr:col>22</xdr:col>
      <xdr:colOff>335280</xdr:colOff>
      <xdr:row>45</xdr:row>
      <xdr:rowOff>83820</xdr:rowOff>
    </xdr:to>
    <xdr:graphicFrame macro="">
      <xdr:nvGraphicFramePr>
        <xdr:cNvPr id="57747" name="Chart 1">
          <a:extLst>
            <a:ext uri="{FF2B5EF4-FFF2-40B4-BE49-F238E27FC236}">
              <a16:creationId xmlns:a16="http://schemas.microsoft.com/office/drawing/2014/main" id="{00000000-0008-0000-2000-000093E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205740</xdr:colOff>
      <xdr:row>0</xdr:row>
      <xdr:rowOff>129540</xdr:rowOff>
    </xdr:from>
    <xdr:to>
      <xdr:col>41</xdr:col>
      <xdr:colOff>182880</xdr:colOff>
      <xdr:row>23</xdr:row>
      <xdr:rowOff>7620</xdr:rowOff>
    </xdr:to>
    <xdr:graphicFrame macro="">
      <xdr:nvGraphicFramePr>
        <xdr:cNvPr id="61528" name="Chart 1">
          <a:extLst>
            <a:ext uri="{FF2B5EF4-FFF2-40B4-BE49-F238E27FC236}">
              <a16:creationId xmlns:a16="http://schemas.microsoft.com/office/drawing/2014/main" id="{00000000-0008-0000-2400-000058F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2</xdr:row>
      <xdr:rowOff>7620</xdr:rowOff>
    </xdr:from>
    <xdr:to>
      <xdr:col>11</xdr:col>
      <xdr:colOff>137160</xdr:colOff>
      <xdr:row>4</xdr:row>
      <xdr:rowOff>160020</xdr:rowOff>
    </xdr:to>
    <xdr:pic>
      <xdr:nvPicPr>
        <xdr:cNvPr id="64598" name="Picture 4">
          <a:extLst>
            <a:ext uri="{FF2B5EF4-FFF2-40B4-BE49-F238E27FC236}">
              <a16:creationId xmlns:a16="http://schemas.microsoft.com/office/drawing/2014/main" id="{00000000-0008-0000-2700-000056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" y="358140"/>
          <a:ext cx="3291840" cy="502920"/>
        </a:xfrm>
        <a:prstGeom prst="rect">
          <a:avLst/>
        </a:prstGeom>
        <a:solidFill>
          <a:srgbClr val="FFFFFF"/>
        </a:solidFill>
        <a:ln w="15840">
          <a:solidFill>
            <a:srgbClr val="000000"/>
          </a:solidFill>
          <a:miter lim="800000"/>
          <a:headEnd/>
          <a:tailEnd/>
        </a:ln>
        <a:effectLst>
          <a:outerShdw dist="53966" dir="13500000" algn="ctr" rotWithShape="0">
            <a:srgbClr val="FF0000">
              <a:alpha val="50026"/>
            </a:srgbClr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376517</xdr:colOff>
      <xdr:row>3</xdr:row>
      <xdr:rowOff>170329</xdr:rowOff>
    </xdr:from>
    <xdr:to>
      <xdr:col>9</xdr:col>
      <xdr:colOff>618565</xdr:colOff>
      <xdr:row>35</xdr:row>
      <xdr:rowOff>134469</xdr:rowOff>
    </xdr:to>
    <xdr:graphicFrame macro="">
      <xdr:nvGraphicFramePr>
        <xdr:cNvPr id="66217" name="Chart 1">
          <a:extLst>
            <a:ext uri="{FF2B5EF4-FFF2-40B4-BE49-F238E27FC236}">
              <a16:creationId xmlns:a16="http://schemas.microsoft.com/office/drawing/2014/main" id="{00000000-0008-0000-2900-0000A902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666974</xdr:colOff>
      <xdr:row>23</xdr:row>
      <xdr:rowOff>3922</xdr:rowOff>
    </xdr:from>
    <xdr:to>
      <xdr:col>10</xdr:col>
      <xdr:colOff>477335</xdr:colOff>
      <xdr:row>24</xdr:row>
      <xdr:rowOff>16284</xdr:rowOff>
    </xdr:to>
    <xdr:sp macro="" textlink="">
      <xdr:nvSpPr>
        <xdr:cNvPr id="65538" name="Text Box 2">
          <a:extLst>
            <a:ext uri="{FF2B5EF4-FFF2-40B4-BE49-F238E27FC236}">
              <a16:creationId xmlns:a16="http://schemas.microsoft.com/office/drawing/2014/main" id="{00000000-0008-0000-2900-000002000100}"/>
            </a:ext>
          </a:extLst>
        </xdr:cNvPr>
        <xdr:cNvSpPr txBox="1">
          <a:spLocks noChangeArrowheads="1"/>
        </xdr:cNvSpPr>
      </xdr:nvSpPr>
      <xdr:spPr bwMode="auto">
        <a:xfrm>
          <a:off x="7601697" y="3618566"/>
          <a:ext cx="611308" cy="17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LAT</a:t>
          </a:r>
        </a:p>
      </xdr:txBody>
    </xdr:sp>
    <xdr:clientData/>
  </xdr:twoCellAnchor>
  <xdr:twoCellAnchor editAs="oneCell">
    <xdr:from>
      <xdr:col>9</xdr:col>
      <xdr:colOff>666974</xdr:colOff>
      <xdr:row>21</xdr:row>
      <xdr:rowOff>60512</xdr:rowOff>
    </xdr:from>
    <xdr:to>
      <xdr:col>10</xdr:col>
      <xdr:colOff>477335</xdr:colOff>
      <xdr:row>22</xdr:row>
      <xdr:rowOff>86369</xdr:rowOff>
    </xdr:to>
    <xdr:sp macro="" textlink="">
      <xdr:nvSpPr>
        <xdr:cNvPr id="65539" name="Text Box 3">
          <a:extLst>
            <a:ext uri="{FF2B5EF4-FFF2-40B4-BE49-F238E27FC236}">
              <a16:creationId xmlns:a16="http://schemas.microsoft.com/office/drawing/2014/main" id="{00000000-0008-0000-2900-000003000100}"/>
            </a:ext>
          </a:extLst>
        </xdr:cNvPr>
        <xdr:cNvSpPr txBox="1">
          <a:spLocks noChangeArrowheads="1"/>
        </xdr:cNvSpPr>
      </xdr:nvSpPr>
      <xdr:spPr bwMode="auto">
        <a:xfrm>
          <a:off x="7601697" y="3355041"/>
          <a:ext cx="611308" cy="1918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MLLWS</a:t>
          </a:r>
        </a:p>
      </xdr:txBody>
    </xdr:sp>
    <xdr:clientData/>
  </xdr:twoCellAnchor>
  <xdr:twoCellAnchor editAs="oneCell">
    <xdr:from>
      <xdr:col>9</xdr:col>
      <xdr:colOff>666974</xdr:colOff>
      <xdr:row>20</xdr:row>
      <xdr:rowOff>2749</xdr:rowOff>
    </xdr:from>
    <xdr:to>
      <xdr:col>10</xdr:col>
      <xdr:colOff>477335</xdr:colOff>
      <xdr:row>21</xdr:row>
      <xdr:rowOff>25344</xdr:rowOff>
    </xdr:to>
    <xdr:sp macro="" textlink="">
      <xdr:nvSpPr>
        <xdr:cNvPr id="65540" name="Text Box 4">
          <a:extLst>
            <a:ext uri="{FF2B5EF4-FFF2-40B4-BE49-F238E27FC236}">
              <a16:creationId xmlns:a16="http://schemas.microsoft.com/office/drawing/2014/main" id="{00000000-0008-0000-2900-000004000100}"/>
            </a:ext>
          </a:extLst>
        </xdr:cNvPr>
        <xdr:cNvSpPr txBox="1">
          <a:spLocks noChangeArrowheads="1"/>
        </xdr:cNvSpPr>
      </xdr:nvSpPr>
      <xdr:spPr bwMode="auto">
        <a:xfrm>
          <a:off x="7601697" y="3137274"/>
          <a:ext cx="611308" cy="18863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60001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MLLWN</a:t>
          </a:r>
        </a:p>
      </xdr:txBody>
    </xdr:sp>
    <xdr:clientData/>
  </xdr:twoCellAnchor>
  <xdr:twoCellAnchor editAs="oneCell">
    <xdr:from>
      <xdr:col>9</xdr:col>
      <xdr:colOff>666974</xdr:colOff>
      <xdr:row>17</xdr:row>
      <xdr:rowOff>32459</xdr:rowOff>
    </xdr:from>
    <xdr:to>
      <xdr:col>10</xdr:col>
      <xdr:colOff>477335</xdr:colOff>
      <xdr:row>18</xdr:row>
      <xdr:rowOff>76073</xdr:rowOff>
    </xdr:to>
    <xdr:sp macro="" textlink="">
      <xdr:nvSpPr>
        <xdr:cNvPr id="65541" name="Text Box 5">
          <a:extLst>
            <a:ext uri="{FF2B5EF4-FFF2-40B4-BE49-F238E27FC236}">
              <a16:creationId xmlns:a16="http://schemas.microsoft.com/office/drawing/2014/main" id="{00000000-0008-0000-2900-000005000100}"/>
            </a:ext>
          </a:extLst>
        </xdr:cNvPr>
        <xdr:cNvSpPr txBox="1">
          <a:spLocks noChangeArrowheads="1"/>
        </xdr:cNvSpPr>
      </xdr:nvSpPr>
      <xdr:spPr bwMode="auto">
        <a:xfrm>
          <a:off x="7601697" y="2701364"/>
          <a:ext cx="611308" cy="1886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60001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MSL</a:t>
          </a:r>
        </a:p>
      </xdr:txBody>
    </xdr:sp>
    <xdr:clientData/>
  </xdr:twoCellAnchor>
  <xdr:twoCellAnchor editAs="oneCell">
    <xdr:from>
      <xdr:col>9</xdr:col>
      <xdr:colOff>666974</xdr:colOff>
      <xdr:row>14</xdr:row>
      <xdr:rowOff>68207</xdr:rowOff>
    </xdr:from>
    <xdr:to>
      <xdr:col>10</xdr:col>
      <xdr:colOff>477335</xdr:colOff>
      <xdr:row>15</xdr:row>
      <xdr:rowOff>37547</xdr:rowOff>
    </xdr:to>
    <xdr:sp macro="" textlink="">
      <xdr:nvSpPr>
        <xdr:cNvPr id="65542" name="Text Box 6">
          <a:extLst>
            <a:ext uri="{FF2B5EF4-FFF2-40B4-BE49-F238E27FC236}">
              <a16:creationId xmlns:a16="http://schemas.microsoft.com/office/drawing/2014/main" id="{00000000-0008-0000-2900-000006000100}"/>
            </a:ext>
          </a:extLst>
        </xdr:cNvPr>
        <xdr:cNvSpPr txBox="1">
          <a:spLocks noChangeArrowheads="1"/>
        </xdr:cNvSpPr>
      </xdr:nvSpPr>
      <xdr:spPr bwMode="auto">
        <a:xfrm>
          <a:off x="7601697" y="2272180"/>
          <a:ext cx="611308" cy="18863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60001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MHHWN</a:t>
          </a:r>
        </a:p>
      </xdr:txBody>
    </xdr:sp>
    <xdr:clientData/>
  </xdr:twoCellAnchor>
  <xdr:twoCellAnchor editAs="oneCell">
    <xdr:from>
      <xdr:col>9</xdr:col>
      <xdr:colOff>666974</xdr:colOff>
      <xdr:row>13</xdr:row>
      <xdr:rowOff>40117</xdr:rowOff>
    </xdr:from>
    <xdr:to>
      <xdr:col>10</xdr:col>
      <xdr:colOff>477335</xdr:colOff>
      <xdr:row>14</xdr:row>
      <xdr:rowOff>49020</xdr:rowOff>
    </xdr:to>
    <xdr:sp macro="" textlink="">
      <xdr:nvSpPr>
        <xdr:cNvPr id="65543" name="Text Box 7">
          <a:extLst>
            <a:ext uri="{FF2B5EF4-FFF2-40B4-BE49-F238E27FC236}">
              <a16:creationId xmlns:a16="http://schemas.microsoft.com/office/drawing/2014/main" id="{00000000-0008-0000-2900-000007000100}"/>
            </a:ext>
          </a:extLst>
        </xdr:cNvPr>
        <xdr:cNvSpPr txBox="1">
          <a:spLocks noChangeArrowheads="1"/>
        </xdr:cNvSpPr>
      </xdr:nvSpPr>
      <xdr:spPr bwMode="auto">
        <a:xfrm>
          <a:off x="7601697" y="2071968"/>
          <a:ext cx="611308" cy="1804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MHHWS</a:t>
          </a:r>
        </a:p>
      </xdr:txBody>
    </xdr:sp>
    <xdr:clientData/>
  </xdr:twoCellAnchor>
  <xdr:twoCellAnchor editAs="oneCell">
    <xdr:from>
      <xdr:col>9</xdr:col>
      <xdr:colOff>666974</xdr:colOff>
      <xdr:row>9</xdr:row>
      <xdr:rowOff>73398</xdr:rowOff>
    </xdr:from>
    <xdr:to>
      <xdr:col>10</xdr:col>
      <xdr:colOff>477335</xdr:colOff>
      <xdr:row>10</xdr:row>
      <xdr:rowOff>56870</xdr:rowOff>
    </xdr:to>
    <xdr:sp macro="" textlink="">
      <xdr:nvSpPr>
        <xdr:cNvPr id="65544" name="Text Box 8">
          <a:extLst>
            <a:ext uri="{FF2B5EF4-FFF2-40B4-BE49-F238E27FC236}">
              <a16:creationId xmlns:a16="http://schemas.microsoft.com/office/drawing/2014/main" id="{00000000-0008-0000-2900-000008000100}"/>
            </a:ext>
          </a:extLst>
        </xdr:cNvPr>
        <xdr:cNvSpPr txBox="1">
          <a:spLocks noChangeArrowheads="1"/>
        </xdr:cNvSpPr>
      </xdr:nvSpPr>
      <xdr:spPr bwMode="auto">
        <a:xfrm>
          <a:off x="7601697" y="1501214"/>
          <a:ext cx="611308" cy="1886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HAT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136</xdr:row>
      <xdr:rowOff>106680</xdr:rowOff>
    </xdr:from>
    <xdr:to>
      <xdr:col>23</xdr:col>
      <xdr:colOff>76200</xdr:colOff>
      <xdr:row>136</xdr:row>
      <xdr:rowOff>106680</xdr:rowOff>
    </xdr:to>
    <xdr:sp macro="" textlink="">
      <xdr:nvSpPr>
        <xdr:cNvPr id="1619082" name="Line 20">
          <a:extLst>
            <a:ext uri="{FF2B5EF4-FFF2-40B4-BE49-F238E27FC236}">
              <a16:creationId xmlns:a16="http://schemas.microsoft.com/office/drawing/2014/main" id="{00000000-0008-0000-2A00-00008AB41800}"/>
            </a:ext>
          </a:extLst>
        </xdr:cNvPr>
        <xdr:cNvSpPr>
          <a:spLocks noChangeShapeType="1"/>
        </xdr:cNvSpPr>
      </xdr:nvSpPr>
      <xdr:spPr bwMode="auto">
        <a:xfrm>
          <a:off x="853440" y="28194000"/>
          <a:ext cx="486156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99060</xdr:colOff>
      <xdr:row>146</xdr:row>
      <xdr:rowOff>0</xdr:rowOff>
    </xdr:from>
    <xdr:to>
      <xdr:col>23</xdr:col>
      <xdr:colOff>76200</xdr:colOff>
      <xdr:row>146</xdr:row>
      <xdr:rowOff>0</xdr:rowOff>
    </xdr:to>
    <xdr:sp macro="" textlink="">
      <xdr:nvSpPr>
        <xdr:cNvPr id="1619083" name="Line 21">
          <a:extLst>
            <a:ext uri="{FF2B5EF4-FFF2-40B4-BE49-F238E27FC236}">
              <a16:creationId xmlns:a16="http://schemas.microsoft.com/office/drawing/2014/main" id="{00000000-0008-0000-2A00-00008BB41800}"/>
            </a:ext>
          </a:extLst>
        </xdr:cNvPr>
        <xdr:cNvSpPr>
          <a:spLocks noChangeShapeType="1"/>
        </xdr:cNvSpPr>
      </xdr:nvSpPr>
      <xdr:spPr bwMode="auto">
        <a:xfrm>
          <a:off x="1379220" y="30144720"/>
          <a:ext cx="433578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205740</xdr:colOff>
      <xdr:row>124</xdr:row>
      <xdr:rowOff>0</xdr:rowOff>
    </xdr:from>
    <xdr:to>
      <xdr:col>3</xdr:col>
      <xdr:colOff>205740</xdr:colOff>
      <xdr:row>125</xdr:row>
      <xdr:rowOff>198120</xdr:rowOff>
    </xdr:to>
    <xdr:grpSp>
      <xdr:nvGrpSpPr>
        <xdr:cNvPr id="1619084" name="Group 62">
          <a:extLst>
            <a:ext uri="{FF2B5EF4-FFF2-40B4-BE49-F238E27FC236}">
              <a16:creationId xmlns:a16="http://schemas.microsoft.com/office/drawing/2014/main" id="{00000000-0008-0000-2A00-00008CB41800}"/>
            </a:ext>
          </a:extLst>
        </xdr:cNvPr>
        <xdr:cNvGrpSpPr>
          <a:grpSpLocks/>
        </xdr:cNvGrpSpPr>
      </xdr:nvGrpSpPr>
      <xdr:grpSpPr bwMode="auto">
        <a:xfrm>
          <a:off x="205740" y="26670000"/>
          <a:ext cx="642938" cy="412433"/>
          <a:chOff x="332" y="40932"/>
          <a:chExt cx="1049" cy="647"/>
        </a:xfrm>
      </xdr:grpSpPr>
      <xdr:sp macro="" textlink="" fLocksText="0">
        <xdr:nvSpPr>
          <xdr:cNvPr id="66564" name="Rectangle 22">
            <a:extLst>
              <a:ext uri="{FF2B5EF4-FFF2-40B4-BE49-F238E27FC236}">
                <a16:creationId xmlns:a16="http://schemas.microsoft.com/office/drawing/2014/main" id="{00000000-0008-0000-2A00-000004040100}"/>
              </a:ext>
            </a:extLst>
          </xdr:cNvPr>
          <xdr:cNvSpPr>
            <a:spLocks noChangeArrowheads="1"/>
          </xdr:cNvSpPr>
        </xdr:nvSpPr>
        <xdr:spPr bwMode="auto">
          <a:xfrm>
            <a:off x="694" y="40932"/>
            <a:ext cx="337" cy="146"/>
          </a:xfrm>
          <a:prstGeom prst="rect">
            <a:avLst/>
          </a:prstGeom>
          <a:gradFill rotWithShape="0">
            <a:gsLst>
              <a:gs pos="0">
                <a:srgbClr val="FFFFFF"/>
              </a:gs>
              <a:gs pos="50000">
                <a:srgbClr val="000000"/>
              </a:gs>
              <a:gs pos="100000">
                <a:srgbClr val="FFFFFF"/>
              </a:gs>
            </a:gsLst>
            <a:lin ang="0" scaled="1"/>
          </a:gradFill>
          <a:ln w="9360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 fLocksText="0">
        <xdr:nvSpPr>
          <xdr:cNvPr id="66565" name="Text Box 23">
            <a:extLst>
              <a:ext uri="{FF2B5EF4-FFF2-40B4-BE49-F238E27FC236}">
                <a16:creationId xmlns:a16="http://schemas.microsoft.com/office/drawing/2014/main" id="{00000000-0008-0000-2A00-000005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9" y="41078"/>
            <a:ext cx="687" cy="330"/>
          </a:xfrm>
          <a:prstGeom prst="rect">
            <a:avLst/>
          </a:prstGeom>
          <a:solidFill>
            <a:srgbClr val="00CCFF"/>
          </a:solidFill>
          <a:ln w="9360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360" tIns="27360" rIns="27360" bIns="27360" anchor="ctr"/>
          <a:lstStyle/>
          <a:p>
            <a:pPr algn="ctr" rtl="0">
              <a:defRPr sz="1000"/>
            </a:pPr>
            <a:r>
              <a:rPr lang="id-ID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BM</a:t>
            </a:r>
          </a:p>
        </xdr:txBody>
      </xdr:sp>
      <xdr:sp macro="" textlink="">
        <xdr:nvSpPr>
          <xdr:cNvPr id="1619131" name="Line 24">
            <a:extLst>
              <a:ext uri="{FF2B5EF4-FFF2-40B4-BE49-F238E27FC236}">
                <a16:creationId xmlns:a16="http://schemas.microsoft.com/office/drawing/2014/main" id="{00000000-0008-0000-2A00-0000BBB41800}"/>
              </a:ext>
            </a:extLst>
          </xdr:cNvPr>
          <xdr:cNvSpPr>
            <a:spLocks noChangeShapeType="1"/>
          </xdr:cNvSpPr>
        </xdr:nvSpPr>
        <xdr:spPr bwMode="auto">
          <a:xfrm>
            <a:off x="332" y="41423"/>
            <a:ext cx="1049" cy="0"/>
          </a:xfrm>
          <a:prstGeom prst="line">
            <a:avLst/>
          </a:prstGeom>
          <a:noFill/>
          <a:ln w="28440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 fLocksText="0">
        <xdr:nvSpPr>
          <xdr:cNvPr id="66567" name="Rectangle 25">
            <a:extLst>
              <a:ext uri="{FF2B5EF4-FFF2-40B4-BE49-F238E27FC236}">
                <a16:creationId xmlns:a16="http://schemas.microsoft.com/office/drawing/2014/main" id="{00000000-0008-0000-2A00-000007040100}"/>
              </a:ext>
            </a:extLst>
          </xdr:cNvPr>
          <xdr:cNvSpPr>
            <a:spLocks noChangeArrowheads="1"/>
          </xdr:cNvSpPr>
        </xdr:nvSpPr>
        <xdr:spPr bwMode="auto">
          <a:xfrm>
            <a:off x="332" y="41433"/>
            <a:ext cx="1049" cy="14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</xdr:col>
      <xdr:colOff>184150</xdr:colOff>
      <xdr:row>129</xdr:row>
      <xdr:rowOff>7807</xdr:rowOff>
    </xdr:from>
    <xdr:to>
      <xdr:col>6</xdr:col>
      <xdr:colOff>43267</xdr:colOff>
      <xdr:row>130</xdr:row>
      <xdr:rowOff>13160</xdr:rowOff>
    </xdr:to>
    <xdr:sp macro="" textlink="" fLocksText="0">
      <xdr:nvSpPr>
        <xdr:cNvPr id="66568" name="Rectangle 28">
          <a:extLst>
            <a:ext uri="{FF2B5EF4-FFF2-40B4-BE49-F238E27FC236}">
              <a16:creationId xmlns:a16="http://schemas.microsoft.com/office/drawing/2014/main" id="{00000000-0008-0000-2A00-000008040100}"/>
            </a:ext>
          </a:extLst>
        </xdr:cNvPr>
        <xdr:cNvSpPr>
          <a:spLocks noChangeArrowheads="1"/>
        </xdr:cNvSpPr>
      </xdr:nvSpPr>
      <xdr:spPr bwMode="auto">
        <a:xfrm>
          <a:off x="635000" y="27120850"/>
          <a:ext cx="762000" cy="2540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177800</xdr:colOff>
      <xdr:row>132</xdr:row>
      <xdr:rowOff>196850</xdr:rowOff>
    </xdr:from>
    <xdr:to>
      <xdr:col>9</xdr:col>
      <xdr:colOff>50800</xdr:colOff>
      <xdr:row>134</xdr:row>
      <xdr:rowOff>38244</xdr:rowOff>
    </xdr:to>
    <xdr:sp macro="" textlink="" fLocksText="0">
      <xdr:nvSpPr>
        <xdr:cNvPr id="66569" name="Rectangle 29">
          <a:extLst>
            <a:ext uri="{FF2B5EF4-FFF2-40B4-BE49-F238E27FC236}">
              <a16:creationId xmlns:a16="http://schemas.microsoft.com/office/drawing/2014/main" id="{00000000-0008-0000-2A00-000009040100}"/>
            </a:ext>
          </a:extLst>
        </xdr:cNvPr>
        <xdr:cNvSpPr>
          <a:spLocks noChangeArrowheads="1"/>
        </xdr:cNvSpPr>
      </xdr:nvSpPr>
      <xdr:spPr bwMode="auto">
        <a:xfrm>
          <a:off x="1301750" y="27959050"/>
          <a:ext cx="762000" cy="2540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184150</xdr:colOff>
      <xdr:row>132</xdr:row>
      <xdr:rowOff>196850</xdr:rowOff>
    </xdr:from>
    <xdr:to>
      <xdr:col>17</xdr:col>
      <xdr:colOff>69882</xdr:colOff>
      <xdr:row>134</xdr:row>
      <xdr:rowOff>38244</xdr:rowOff>
    </xdr:to>
    <xdr:sp macro="" textlink="" fLocksText="0">
      <xdr:nvSpPr>
        <xdr:cNvPr id="66570" name="Rectangle 31">
          <a:extLst>
            <a:ext uri="{FF2B5EF4-FFF2-40B4-BE49-F238E27FC236}">
              <a16:creationId xmlns:a16="http://schemas.microsoft.com/office/drawing/2014/main" id="{00000000-0008-0000-2A00-00000A040100}"/>
            </a:ext>
          </a:extLst>
        </xdr:cNvPr>
        <xdr:cNvSpPr>
          <a:spLocks noChangeArrowheads="1"/>
        </xdr:cNvSpPr>
      </xdr:nvSpPr>
      <xdr:spPr bwMode="auto">
        <a:xfrm>
          <a:off x="2984500" y="27959050"/>
          <a:ext cx="1282700" cy="2540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182245</xdr:colOff>
      <xdr:row>129</xdr:row>
      <xdr:rowOff>7807</xdr:rowOff>
    </xdr:from>
    <xdr:to>
      <xdr:col>19</xdr:col>
      <xdr:colOff>70075</xdr:colOff>
      <xdr:row>130</xdr:row>
      <xdr:rowOff>13160</xdr:rowOff>
    </xdr:to>
    <xdr:sp macro="" textlink="" fLocksText="0">
      <xdr:nvSpPr>
        <xdr:cNvPr id="66571" name="Rectangle 32">
          <a:extLst>
            <a:ext uri="{FF2B5EF4-FFF2-40B4-BE49-F238E27FC236}">
              <a16:creationId xmlns:a16="http://schemas.microsoft.com/office/drawing/2014/main" id="{00000000-0008-0000-2A00-00000B040100}"/>
            </a:ext>
          </a:extLst>
        </xdr:cNvPr>
        <xdr:cNvSpPr>
          <a:spLocks noChangeArrowheads="1"/>
        </xdr:cNvSpPr>
      </xdr:nvSpPr>
      <xdr:spPr bwMode="auto">
        <a:xfrm>
          <a:off x="3625850" y="27120850"/>
          <a:ext cx="1193800" cy="2540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177800</xdr:colOff>
      <xdr:row>140</xdr:row>
      <xdr:rowOff>187</xdr:rowOff>
    </xdr:from>
    <xdr:to>
      <xdr:col>18</xdr:col>
      <xdr:colOff>64878</xdr:colOff>
      <xdr:row>141</xdr:row>
      <xdr:rowOff>7677</xdr:rowOff>
    </xdr:to>
    <xdr:sp macro="" textlink="" fLocksText="0">
      <xdr:nvSpPr>
        <xdr:cNvPr id="66572" name="Rectangle 33">
          <a:extLst>
            <a:ext uri="{FF2B5EF4-FFF2-40B4-BE49-F238E27FC236}">
              <a16:creationId xmlns:a16="http://schemas.microsoft.com/office/drawing/2014/main" id="{00000000-0008-0000-2A00-00000C040100}"/>
            </a:ext>
          </a:extLst>
        </xdr:cNvPr>
        <xdr:cNvSpPr>
          <a:spLocks noChangeArrowheads="1"/>
        </xdr:cNvSpPr>
      </xdr:nvSpPr>
      <xdr:spPr bwMode="auto">
        <a:xfrm>
          <a:off x="3403600" y="29425900"/>
          <a:ext cx="1079500" cy="2540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193040</xdr:colOff>
      <xdr:row>146</xdr:row>
      <xdr:rowOff>196850</xdr:rowOff>
    </xdr:from>
    <xdr:to>
      <xdr:col>20</xdr:col>
      <xdr:colOff>43139</xdr:colOff>
      <xdr:row>148</xdr:row>
      <xdr:rowOff>38244</xdr:rowOff>
    </xdr:to>
    <xdr:sp macro="" textlink="" fLocksText="0">
      <xdr:nvSpPr>
        <xdr:cNvPr id="66573" name="Rectangle 34">
          <a:extLst>
            <a:ext uri="{FF2B5EF4-FFF2-40B4-BE49-F238E27FC236}">
              <a16:creationId xmlns:a16="http://schemas.microsoft.com/office/drawing/2014/main" id="{00000000-0008-0000-2A00-00000D040100}"/>
            </a:ext>
          </a:extLst>
        </xdr:cNvPr>
        <xdr:cNvSpPr>
          <a:spLocks noChangeArrowheads="1"/>
        </xdr:cNvSpPr>
      </xdr:nvSpPr>
      <xdr:spPr bwMode="auto">
        <a:xfrm>
          <a:off x="3848100" y="30892750"/>
          <a:ext cx="1193800" cy="2540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19</xdr:col>
      <xdr:colOff>184150</xdr:colOff>
      <xdr:row>151</xdr:row>
      <xdr:rowOff>7807</xdr:rowOff>
    </xdr:from>
    <xdr:to>
      <xdr:col>23</xdr:col>
      <xdr:colOff>41391</xdr:colOff>
      <xdr:row>152</xdr:row>
      <xdr:rowOff>8160</xdr:rowOff>
    </xdr:to>
    <xdr:sp macro="" textlink="" fLocksText="0">
      <xdr:nvSpPr>
        <xdr:cNvPr id="66574" name="Rectangle 35">
          <a:extLst>
            <a:ext uri="{FF2B5EF4-FFF2-40B4-BE49-F238E27FC236}">
              <a16:creationId xmlns:a16="http://schemas.microsoft.com/office/drawing/2014/main" id="{00000000-0008-0000-2A00-00000E040100}"/>
            </a:ext>
          </a:extLst>
        </xdr:cNvPr>
        <xdr:cNvSpPr>
          <a:spLocks noChangeArrowheads="1"/>
        </xdr:cNvSpPr>
      </xdr:nvSpPr>
      <xdr:spPr bwMode="auto">
        <a:xfrm>
          <a:off x="4946650" y="31730950"/>
          <a:ext cx="762000" cy="2540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18</xdr:col>
      <xdr:colOff>269554</xdr:colOff>
      <xdr:row>125</xdr:row>
      <xdr:rowOff>164514</xdr:rowOff>
    </xdr:from>
    <xdr:ext cx="1220458" cy="208027"/>
    <xdr:sp macro="" textlink="" fLocksText="0">
      <xdr:nvSpPr>
        <xdr:cNvPr id="66575" name="Text Box 36">
          <a:extLst>
            <a:ext uri="{FF2B5EF4-FFF2-40B4-BE49-F238E27FC236}">
              <a16:creationId xmlns:a16="http://schemas.microsoft.com/office/drawing/2014/main" id="{00000000-0008-0000-2A00-00000F040100}"/>
            </a:ext>
          </a:extLst>
        </xdr:cNvPr>
        <xdr:cNvSpPr txBox="1">
          <a:spLocks noChangeArrowheads="1"/>
        </xdr:cNvSpPr>
      </xdr:nvSpPr>
      <xdr:spPr bwMode="auto">
        <a:xfrm>
          <a:off x="4605334" y="25988694"/>
          <a:ext cx="1220458" cy="208027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18000" bIns="22680" anchor="ctr">
          <a:spAutoFit/>
        </a:bodyPr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Air Tinggi Tertinggi</a:t>
          </a:r>
        </a:p>
      </xdr:txBody>
    </xdr:sp>
    <xdr:clientData/>
  </xdr:oneCellAnchor>
  <xdr:oneCellAnchor>
    <xdr:from>
      <xdr:col>19</xdr:col>
      <xdr:colOff>189743</xdr:colOff>
      <xdr:row>136</xdr:row>
      <xdr:rowOff>19885</xdr:rowOff>
    </xdr:from>
    <xdr:ext cx="961990" cy="370251"/>
    <xdr:sp macro="" textlink="" fLocksText="0">
      <xdr:nvSpPr>
        <xdr:cNvPr id="66576" name="Text Box 37">
          <a:extLst>
            <a:ext uri="{FF2B5EF4-FFF2-40B4-BE49-F238E27FC236}">
              <a16:creationId xmlns:a16="http://schemas.microsoft.com/office/drawing/2014/main" id="{00000000-0008-0000-2A00-000010040100}"/>
            </a:ext>
          </a:extLst>
        </xdr:cNvPr>
        <xdr:cNvSpPr txBox="1">
          <a:spLocks noChangeArrowheads="1"/>
        </xdr:cNvSpPr>
      </xdr:nvSpPr>
      <xdr:spPr bwMode="auto">
        <a:xfrm>
          <a:off x="4845563" y="28107205"/>
          <a:ext cx="961990" cy="370251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18000" bIns="22680" anchor="ctr">
          <a:spAutoFit/>
        </a:bodyPr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Duduk Tengah</a:t>
          </a:r>
        </a:p>
        <a:p>
          <a:pPr algn="ctr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MSL</a:t>
          </a:r>
        </a:p>
      </xdr:txBody>
    </xdr:sp>
    <xdr:clientData/>
  </xdr:oneCellAnchor>
  <xdr:oneCellAnchor>
    <xdr:from>
      <xdr:col>19</xdr:col>
      <xdr:colOff>165842</xdr:colOff>
      <xdr:row>145</xdr:row>
      <xdr:rowOff>194855</xdr:rowOff>
    </xdr:from>
    <xdr:ext cx="836122" cy="208027"/>
    <xdr:sp macro="" textlink="" fLocksText="0">
      <xdr:nvSpPr>
        <xdr:cNvPr id="66577" name="Text Box 38">
          <a:extLst>
            <a:ext uri="{FF2B5EF4-FFF2-40B4-BE49-F238E27FC236}">
              <a16:creationId xmlns:a16="http://schemas.microsoft.com/office/drawing/2014/main" id="{00000000-0008-0000-2A00-000011040100}"/>
            </a:ext>
          </a:extLst>
        </xdr:cNvPr>
        <xdr:cNvSpPr txBox="1">
          <a:spLocks noChangeArrowheads="1"/>
        </xdr:cNvSpPr>
      </xdr:nvSpPr>
      <xdr:spPr bwMode="auto">
        <a:xfrm>
          <a:off x="4821662" y="30133835"/>
          <a:ext cx="836122" cy="208027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18000" bIns="22680" anchor="ctr">
          <a:spAutoFit/>
        </a:bodyPr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Chart Datum</a:t>
          </a:r>
        </a:p>
      </xdr:txBody>
    </xdr:sp>
    <xdr:clientData/>
  </xdr:oneCellAnchor>
  <xdr:twoCellAnchor>
    <xdr:from>
      <xdr:col>19</xdr:col>
      <xdr:colOff>212090</xdr:colOff>
      <xdr:row>153</xdr:row>
      <xdr:rowOff>89535</xdr:rowOff>
    </xdr:from>
    <xdr:to>
      <xdr:col>23</xdr:col>
      <xdr:colOff>69916</xdr:colOff>
      <xdr:row>154</xdr:row>
      <xdr:rowOff>88137</xdr:rowOff>
    </xdr:to>
    <xdr:sp macro="" textlink="" fLocksText="0">
      <xdr:nvSpPr>
        <xdr:cNvPr id="66578" name="Text Box 39">
          <a:extLst>
            <a:ext uri="{FF2B5EF4-FFF2-40B4-BE49-F238E27FC236}">
              <a16:creationId xmlns:a16="http://schemas.microsoft.com/office/drawing/2014/main" id="{00000000-0008-0000-2A00-000012040100}"/>
            </a:ext>
          </a:extLst>
        </xdr:cNvPr>
        <xdr:cNvSpPr txBox="1">
          <a:spLocks noChangeArrowheads="1"/>
        </xdr:cNvSpPr>
      </xdr:nvSpPr>
      <xdr:spPr bwMode="auto">
        <a:xfrm>
          <a:off x="4959350" y="32258000"/>
          <a:ext cx="768350" cy="20955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2680" rIns="27360" bIns="22680" anchor="ctr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Nol Palem</a:t>
          </a:r>
        </a:p>
      </xdr:txBody>
    </xdr:sp>
    <xdr:clientData/>
  </xdr:twoCellAnchor>
  <xdr:twoCellAnchor>
    <xdr:from>
      <xdr:col>13</xdr:col>
      <xdr:colOff>7620</xdr:colOff>
      <xdr:row>126</xdr:row>
      <xdr:rowOff>0</xdr:rowOff>
    </xdr:from>
    <xdr:to>
      <xdr:col>18</xdr:col>
      <xdr:colOff>205740</xdr:colOff>
      <xdr:row>126</xdr:row>
      <xdr:rowOff>0</xdr:rowOff>
    </xdr:to>
    <xdr:sp macro="" textlink="">
      <xdr:nvSpPr>
        <xdr:cNvPr id="1619096" name="Line 40">
          <a:extLst>
            <a:ext uri="{FF2B5EF4-FFF2-40B4-BE49-F238E27FC236}">
              <a16:creationId xmlns:a16="http://schemas.microsoft.com/office/drawing/2014/main" id="{00000000-0008-0000-2A00-000098B41800}"/>
            </a:ext>
          </a:extLst>
        </xdr:cNvPr>
        <xdr:cNvSpPr>
          <a:spLocks noChangeShapeType="1"/>
        </xdr:cNvSpPr>
      </xdr:nvSpPr>
      <xdr:spPr bwMode="auto">
        <a:xfrm>
          <a:off x="2750820" y="26029920"/>
          <a:ext cx="17907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83820</xdr:colOff>
      <xdr:row>148</xdr:row>
      <xdr:rowOff>30480</xdr:rowOff>
    </xdr:from>
    <xdr:to>
      <xdr:col>18</xdr:col>
      <xdr:colOff>99060</xdr:colOff>
      <xdr:row>153</xdr:row>
      <xdr:rowOff>213360</xdr:rowOff>
    </xdr:to>
    <xdr:sp macro="" textlink="">
      <xdr:nvSpPr>
        <xdr:cNvPr id="1619097" name="Line 41">
          <a:extLst>
            <a:ext uri="{FF2B5EF4-FFF2-40B4-BE49-F238E27FC236}">
              <a16:creationId xmlns:a16="http://schemas.microsoft.com/office/drawing/2014/main" id="{00000000-0008-0000-2A00-000099B41800}"/>
            </a:ext>
          </a:extLst>
        </xdr:cNvPr>
        <xdr:cNvSpPr>
          <a:spLocks noChangeShapeType="1"/>
        </xdr:cNvSpPr>
      </xdr:nvSpPr>
      <xdr:spPr bwMode="auto">
        <a:xfrm>
          <a:off x="4419600" y="30586680"/>
          <a:ext cx="15240" cy="120396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83820</xdr:colOff>
      <xdr:row>136</xdr:row>
      <xdr:rowOff>106680</xdr:rowOff>
    </xdr:from>
    <xdr:to>
      <xdr:col>18</xdr:col>
      <xdr:colOff>83820</xdr:colOff>
      <xdr:row>146</xdr:row>
      <xdr:rowOff>198120</xdr:rowOff>
    </xdr:to>
    <xdr:sp macro="" textlink="">
      <xdr:nvSpPr>
        <xdr:cNvPr id="1619098" name="Line 42">
          <a:extLst>
            <a:ext uri="{FF2B5EF4-FFF2-40B4-BE49-F238E27FC236}">
              <a16:creationId xmlns:a16="http://schemas.microsoft.com/office/drawing/2014/main" id="{00000000-0008-0000-2A00-00009AB41800}"/>
            </a:ext>
          </a:extLst>
        </xdr:cNvPr>
        <xdr:cNvSpPr>
          <a:spLocks noChangeShapeType="1"/>
        </xdr:cNvSpPr>
      </xdr:nvSpPr>
      <xdr:spPr bwMode="auto">
        <a:xfrm flipV="1">
          <a:off x="4419600" y="28194000"/>
          <a:ext cx="0" cy="214884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141</xdr:row>
      <xdr:rowOff>30480</xdr:rowOff>
    </xdr:from>
    <xdr:to>
      <xdr:col>16</xdr:col>
      <xdr:colOff>0</xdr:colOff>
      <xdr:row>145</xdr:row>
      <xdr:rowOff>213360</xdr:rowOff>
    </xdr:to>
    <xdr:sp macro="" textlink="">
      <xdr:nvSpPr>
        <xdr:cNvPr id="1619099" name="Line 43">
          <a:extLst>
            <a:ext uri="{FF2B5EF4-FFF2-40B4-BE49-F238E27FC236}">
              <a16:creationId xmlns:a16="http://schemas.microsoft.com/office/drawing/2014/main" id="{00000000-0008-0000-2A00-00009BB41800}"/>
            </a:ext>
          </a:extLst>
        </xdr:cNvPr>
        <xdr:cNvSpPr>
          <a:spLocks noChangeShapeType="1"/>
        </xdr:cNvSpPr>
      </xdr:nvSpPr>
      <xdr:spPr bwMode="auto">
        <a:xfrm>
          <a:off x="3581400" y="29146500"/>
          <a:ext cx="0" cy="99822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136</xdr:row>
      <xdr:rowOff>91440</xdr:rowOff>
    </xdr:from>
    <xdr:to>
      <xdr:col>16</xdr:col>
      <xdr:colOff>0</xdr:colOff>
      <xdr:row>139</xdr:row>
      <xdr:rowOff>198120</xdr:rowOff>
    </xdr:to>
    <xdr:sp macro="" textlink="">
      <xdr:nvSpPr>
        <xdr:cNvPr id="1619100" name="Line 44">
          <a:extLst>
            <a:ext uri="{FF2B5EF4-FFF2-40B4-BE49-F238E27FC236}">
              <a16:creationId xmlns:a16="http://schemas.microsoft.com/office/drawing/2014/main" id="{00000000-0008-0000-2A00-00009CB41800}"/>
            </a:ext>
          </a:extLst>
        </xdr:cNvPr>
        <xdr:cNvSpPr>
          <a:spLocks noChangeShapeType="1"/>
        </xdr:cNvSpPr>
      </xdr:nvSpPr>
      <xdr:spPr bwMode="auto">
        <a:xfrm flipV="1">
          <a:off x="3581400" y="28178760"/>
          <a:ext cx="0" cy="72390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0</xdr:colOff>
      <xdr:row>126</xdr:row>
      <xdr:rowOff>7620</xdr:rowOff>
    </xdr:from>
    <xdr:to>
      <xdr:col>18</xdr:col>
      <xdr:colOff>0</xdr:colOff>
      <xdr:row>128</xdr:row>
      <xdr:rowOff>190500</xdr:rowOff>
    </xdr:to>
    <xdr:sp macro="" textlink="">
      <xdr:nvSpPr>
        <xdr:cNvPr id="1619101" name="Line 46">
          <a:extLst>
            <a:ext uri="{FF2B5EF4-FFF2-40B4-BE49-F238E27FC236}">
              <a16:creationId xmlns:a16="http://schemas.microsoft.com/office/drawing/2014/main" id="{00000000-0008-0000-2A00-00009DB41800}"/>
            </a:ext>
          </a:extLst>
        </xdr:cNvPr>
        <xdr:cNvSpPr>
          <a:spLocks noChangeShapeType="1"/>
        </xdr:cNvSpPr>
      </xdr:nvSpPr>
      <xdr:spPr bwMode="auto">
        <a:xfrm flipV="1">
          <a:off x="4335780" y="26037540"/>
          <a:ext cx="0" cy="59436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0</xdr:colOff>
      <xdr:row>130</xdr:row>
      <xdr:rowOff>30480</xdr:rowOff>
    </xdr:from>
    <xdr:to>
      <xdr:col>18</xdr:col>
      <xdr:colOff>0</xdr:colOff>
      <xdr:row>136</xdr:row>
      <xdr:rowOff>106680</xdr:rowOff>
    </xdr:to>
    <xdr:sp macro="" textlink="">
      <xdr:nvSpPr>
        <xdr:cNvPr id="1619102" name="Line 48">
          <a:extLst>
            <a:ext uri="{FF2B5EF4-FFF2-40B4-BE49-F238E27FC236}">
              <a16:creationId xmlns:a16="http://schemas.microsoft.com/office/drawing/2014/main" id="{00000000-0008-0000-2A00-00009EB41800}"/>
            </a:ext>
          </a:extLst>
        </xdr:cNvPr>
        <xdr:cNvSpPr>
          <a:spLocks noChangeShapeType="1"/>
        </xdr:cNvSpPr>
      </xdr:nvSpPr>
      <xdr:spPr bwMode="auto">
        <a:xfrm>
          <a:off x="4335780" y="26883360"/>
          <a:ext cx="0" cy="131064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0</xdr:colOff>
      <xdr:row>124</xdr:row>
      <xdr:rowOff>0</xdr:rowOff>
    </xdr:from>
    <xdr:to>
      <xdr:col>5</xdr:col>
      <xdr:colOff>0</xdr:colOff>
      <xdr:row>128</xdr:row>
      <xdr:rowOff>198120</xdr:rowOff>
    </xdr:to>
    <xdr:sp macro="" textlink="">
      <xdr:nvSpPr>
        <xdr:cNvPr id="1619103" name="Line 49">
          <a:extLst>
            <a:ext uri="{FF2B5EF4-FFF2-40B4-BE49-F238E27FC236}">
              <a16:creationId xmlns:a16="http://schemas.microsoft.com/office/drawing/2014/main" id="{00000000-0008-0000-2A00-00009FB41800}"/>
            </a:ext>
          </a:extLst>
        </xdr:cNvPr>
        <xdr:cNvSpPr>
          <a:spLocks noChangeShapeType="1"/>
        </xdr:cNvSpPr>
      </xdr:nvSpPr>
      <xdr:spPr bwMode="auto">
        <a:xfrm flipV="1">
          <a:off x="1066800" y="25618440"/>
          <a:ext cx="0" cy="102108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0</xdr:colOff>
      <xdr:row>132</xdr:row>
      <xdr:rowOff>198120</xdr:rowOff>
    </xdr:to>
    <xdr:sp macro="" textlink="">
      <xdr:nvSpPr>
        <xdr:cNvPr id="1619104" name="Line 50">
          <a:extLst>
            <a:ext uri="{FF2B5EF4-FFF2-40B4-BE49-F238E27FC236}">
              <a16:creationId xmlns:a16="http://schemas.microsoft.com/office/drawing/2014/main" id="{00000000-0008-0000-2A00-0000A0B41800}"/>
            </a:ext>
          </a:extLst>
        </xdr:cNvPr>
        <xdr:cNvSpPr>
          <a:spLocks noChangeShapeType="1"/>
        </xdr:cNvSpPr>
      </xdr:nvSpPr>
      <xdr:spPr bwMode="auto">
        <a:xfrm flipV="1">
          <a:off x="1493520" y="25618440"/>
          <a:ext cx="0" cy="184404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0</xdr:colOff>
      <xdr:row>130</xdr:row>
      <xdr:rowOff>30480</xdr:rowOff>
    </xdr:from>
    <xdr:to>
      <xdr:col>5</xdr:col>
      <xdr:colOff>0</xdr:colOff>
      <xdr:row>136</xdr:row>
      <xdr:rowOff>114300</xdr:rowOff>
    </xdr:to>
    <xdr:sp macro="" textlink="">
      <xdr:nvSpPr>
        <xdr:cNvPr id="1619105" name="Line 52">
          <a:extLst>
            <a:ext uri="{FF2B5EF4-FFF2-40B4-BE49-F238E27FC236}">
              <a16:creationId xmlns:a16="http://schemas.microsoft.com/office/drawing/2014/main" id="{00000000-0008-0000-2A00-0000A1B41800}"/>
            </a:ext>
          </a:extLst>
        </xdr:cNvPr>
        <xdr:cNvSpPr>
          <a:spLocks noChangeShapeType="1"/>
        </xdr:cNvSpPr>
      </xdr:nvSpPr>
      <xdr:spPr bwMode="auto">
        <a:xfrm>
          <a:off x="1066800" y="26883360"/>
          <a:ext cx="0" cy="131826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134</xdr:row>
      <xdr:rowOff>30480</xdr:rowOff>
    </xdr:from>
    <xdr:to>
      <xdr:col>7</xdr:col>
      <xdr:colOff>0</xdr:colOff>
      <xdr:row>145</xdr:row>
      <xdr:rowOff>198120</xdr:rowOff>
    </xdr:to>
    <xdr:sp macro="" textlink="">
      <xdr:nvSpPr>
        <xdr:cNvPr id="1619106" name="Line 55">
          <a:extLst>
            <a:ext uri="{FF2B5EF4-FFF2-40B4-BE49-F238E27FC236}">
              <a16:creationId xmlns:a16="http://schemas.microsoft.com/office/drawing/2014/main" id="{00000000-0008-0000-2A00-0000A2B41800}"/>
            </a:ext>
          </a:extLst>
        </xdr:cNvPr>
        <xdr:cNvSpPr>
          <a:spLocks noChangeShapeType="1"/>
        </xdr:cNvSpPr>
      </xdr:nvSpPr>
      <xdr:spPr bwMode="auto">
        <a:xfrm>
          <a:off x="1493520" y="27706320"/>
          <a:ext cx="0" cy="243078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0</xdr:colOff>
      <xdr:row>152</xdr:row>
      <xdr:rowOff>30480</xdr:rowOff>
    </xdr:from>
    <xdr:to>
      <xdr:col>22</xdr:col>
      <xdr:colOff>0</xdr:colOff>
      <xdr:row>153</xdr:row>
      <xdr:rowOff>91440</xdr:rowOff>
    </xdr:to>
    <xdr:sp macro="" textlink="">
      <xdr:nvSpPr>
        <xdr:cNvPr id="1619107" name="Line 56">
          <a:extLst>
            <a:ext uri="{FF2B5EF4-FFF2-40B4-BE49-F238E27FC236}">
              <a16:creationId xmlns:a16="http://schemas.microsoft.com/office/drawing/2014/main" id="{00000000-0008-0000-2A00-0000A3B41800}"/>
            </a:ext>
          </a:extLst>
        </xdr:cNvPr>
        <xdr:cNvSpPr>
          <a:spLocks noChangeShapeType="1"/>
        </xdr:cNvSpPr>
      </xdr:nvSpPr>
      <xdr:spPr bwMode="auto">
        <a:xfrm>
          <a:off x="5425440" y="31409640"/>
          <a:ext cx="0" cy="26670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0</xdr:colOff>
      <xdr:row>146</xdr:row>
      <xdr:rowOff>106680</xdr:rowOff>
    </xdr:from>
    <xdr:to>
      <xdr:col>22</xdr:col>
      <xdr:colOff>0</xdr:colOff>
      <xdr:row>150</xdr:row>
      <xdr:rowOff>198120</xdr:rowOff>
    </xdr:to>
    <xdr:sp macro="" textlink="">
      <xdr:nvSpPr>
        <xdr:cNvPr id="1619108" name="Line 57">
          <a:extLst>
            <a:ext uri="{FF2B5EF4-FFF2-40B4-BE49-F238E27FC236}">
              <a16:creationId xmlns:a16="http://schemas.microsoft.com/office/drawing/2014/main" id="{00000000-0008-0000-2A00-0000A4B41800}"/>
            </a:ext>
          </a:extLst>
        </xdr:cNvPr>
        <xdr:cNvSpPr>
          <a:spLocks noChangeShapeType="1"/>
        </xdr:cNvSpPr>
      </xdr:nvSpPr>
      <xdr:spPr bwMode="auto">
        <a:xfrm flipV="1">
          <a:off x="5425440" y="30251400"/>
          <a:ext cx="0" cy="91440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106680</xdr:colOff>
      <xdr:row>124</xdr:row>
      <xdr:rowOff>0</xdr:rowOff>
    </xdr:from>
    <xdr:to>
      <xdr:col>14</xdr:col>
      <xdr:colOff>106680</xdr:colOff>
      <xdr:row>132</xdr:row>
      <xdr:rowOff>198120</xdr:rowOff>
    </xdr:to>
    <xdr:sp macro="" textlink="">
      <xdr:nvSpPr>
        <xdr:cNvPr id="1619109" name="Line 60">
          <a:extLst>
            <a:ext uri="{FF2B5EF4-FFF2-40B4-BE49-F238E27FC236}">
              <a16:creationId xmlns:a16="http://schemas.microsoft.com/office/drawing/2014/main" id="{00000000-0008-0000-2A00-0000A5B41800}"/>
            </a:ext>
          </a:extLst>
        </xdr:cNvPr>
        <xdr:cNvSpPr>
          <a:spLocks noChangeShapeType="1"/>
        </xdr:cNvSpPr>
      </xdr:nvSpPr>
      <xdr:spPr bwMode="auto">
        <a:xfrm>
          <a:off x="3261360" y="25618440"/>
          <a:ext cx="0" cy="184404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 type="triangle" w="med" len="med"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106680</xdr:colOff>
      <xdr:row>134</xdr:row>
      <xdr:rowOff>30480</xdr:rowOff>
    </xdr:from>
    <xdr:to>
      <xdr:col>14</xdr:col>
      <xdr:colOff>106680</xdr:colOff>
      <xdr:row>153</xdr:row>
      <xdr:rowOff>190500</xdr:rowOff>
    </xdr:to>
    <xdr:sp macro="" textlink="">
      <xdr:nvSpPr>
        <xdr:cNvPr id="1619110" name="Line 61">
          <a:extLst>
            <a:ext uri="{FF2B5EF4-FFF2-40B4-BE49-F238E27FC236}">
              <a16:creationId xmlns:a16="http://schemas.microsoft.com/office/drawing/2014/main" id="{00000000-0008-0000-2A00-0000A6B41800}"/>
            </a:ext>
          </a:extLst>
        </xdr:cNvPr>
        <xdr:cNvSpPr>
          <a:spLocks noChangeShapeType="1"/>
        </xdr:cNvSpPr>
      </xdr:nvSpPr>
      <xdr:spPr bwMode="auto">
        <a:xfrm>
          <a:off x="3261360" y="27706320"/>
          <a:ext cx="0" cy="406908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35</xdr:col>
      <xdr:colOff>133547</xdr:colOff>
      <xdr:row>43</xdr:row>
      <xdr:rowOff>117857</xdr:rowOff>
    </xdr:from>
    <xdr:to>
      <xdr:col>72</xdr:col>
      <xdr:colOff>48074</xdr:colOff>
      <xdr:row>66</xdr:row>
      <xdr:rowOff>196</xdr:rowOff>
    </xdr:to>
    <xdr:graphicFrame macro="">
      <xdr:nvGraphicFramePr>
        <xdr:cNvPr id="1619111" name="Chart 1">
          <a:extLst>
            <a:ext uri="{FF2B5EF4-FFF2-40B4-BE49-F238E27FC236}">
              <a16:creationId xmlns:a16="http://schemas.microsoft.com/office/drawing/2014/main" id="{00000000-0008-0000-2A00-0000A7B4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1019175</xdr:colOff>
      <xdr:row>62</xdr:row>
      <xdr:rowOff>133350</xdr:rowOff>
    </xdr:from>
    <xdr:to>
      <xdr:col>122</xdr:col>
      <xdr:colOff>146685</xdr:colOff>
      <xdr:row>85</xdr:row>
      <xdr:rowOff>15240</xdr:rowOff>
    </xdr:to>
    <xdr:graphicFrame macro="">
      <xdr:nvGraphicFramePr>
        <xdr:cNvPr id="1619112" name="Chart 1">
          <a:extLst>
            <a:ext uri="{FF2B5EF4-FFF2-40B4-BE49-F238E27FC236}">
              <a16:creationId xmlns:a16="http://schemas.microsoft.com/office/drawing/2014/main" id="{00000000-0008-0000-2A00-0000A8B4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73</xdr:col>
      <xdr:colOff>190500</xdr:colOff>
      <xdr:row>67</xdr:row>
      <xdr:rowOff>99957</xdr:rowOff>
    </xdr:from>
    <xdr:to>
      <xdr:col>74</xdr:col>
      <xdr:colOff>572102</xdr:colOff>
      <xdr:row>68</xdr:row>
      <xdr:rowOff>59651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2A00-000025000000}"/>
            </a:ext>
          </a:extLst>
        </xdr:cNvPr>
        <xdr:cNvSpPr txBox="1">
          <a:spLocks noChangeArrowheads="1"/>
        </xdr:cNvSpPr>
      </xdr:nvSpPr>
      <xdr:spPr bwMode="auto">
        <a:xfrm>
          <a:off x="18573750" y="14244582"/>
          <a:ext cx="591152" cy="16924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LAT</a:t>
          </a:r>
        </a:p>
      </xdr:txBody>
    </xdr:sp>
    <xdr:clientData/>
  </xdr:twoCellAnchor>
  <xdr:twoCellAnchor editAs="oneCell">
    <xdr:from>
      <xdr:col>73</xdr:col>
      <xdr:colOff>200025</xdr:colOff>
      <xdr:row>66</xdr:row>
      <xdr:rowOff>90432</xdr:rowOff>
    </xdr:from>
    <xdr:to>
      <xdr:col>74</xdr:col>
      <xdr:colOff>581627</xdr:colOff>
      <xdr:row>67</xdr:row>
      <xdr:rowOff>63621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2A00-000026000000}"/>
            </a:ext>
          </a:extLst>
        </xdr:cNvPr>
        <xdr:cNvSpPr txBox="1">
          <a:spLocks noChangeArrowheads="1"/>
        </xdr:cNvSpPr>
      </xdr:nvSpPr>
      <xdr:spPr bwMode="auto">
        <a:xfrm>
          <a:off x="18583275" y="14025507"/>
          <a:ext cx="591152" cy="18273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MLLWS</a:t>
          </a:r>
        </a:p>
      </xdr:txBody>
    </xdr:sp>
    <xdr:clientData/>
  </xdr:twoCellAnchor>
  <xdr:twoCellAnchor editAs="oneCell">
    <xdr:from>
      <xdr:col>74</xdr:col>
      <xdr:colOff>0</xdr:colOff>
      <xdr:row>64</xdr:row>
      <xdr:rowOff>161537</xdr:rowOff>
    </xdr:from>
    <xdr:to>
      <xdr:col>74</xdr:col>
      <xdr:colOff>591152</xdr:colOff>
      <xdr:row>65</xdr:row>
      <xdr:rowOff>131464</xdr:rowOff>
    </xdr:to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2A00-000027000000}"/>
            </a:ext>
          </a:extLst>
        </xdr:cNvPr>
        <xdr:cNvSpPr txBox="1">
          <a:spLocks noChangeArrowheads="1"/>
        </xdr:cNvSpPr>
      </xdr:nvSpPr>
      <xdr:spPr bwMode="auto">
        <a:xfrm>
          <a:off x="18592800" y="13677512"/>
          <a:ext cx="591152" cy="1794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60001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MLLWN</a:t>
          </a:r>
        </a:p>
      </xdr:txBody>
    </xdr:sp>
    <xdr:clientData/>
  </xdr:twoCellAnchor>
  <xdr:twoCellAnchor editAs="oneCell">
    <xdr:from>
      <xdr:col>74</xdr:col>
      <xdr:colOff>9525</xdr:colOff>
      <xdr:row>63</xdr:row>
      <xdr:rowOff>8255</xdr:rowOff>
    </xdr:from>
    <xdr:to>
      <xdr:col>74</xdr:col>
      <xdr:colOff>600677</xdr:colOff>
      <xdr:row>64</xdr:row>
      <xdr:rowOff>6842</xdr:rowOff>
    </xdr:to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2A00-000028000000}"/>
            </a:ext>
          </a:extLst>
        </xdr:cNvPr>
        <xdr:cNvSpPr txBox="1">
          <a:spLocks noChangeArrowheads="1"/>
        </xdr:cNvSpPr>
      </xdr:nvSpPr>
      <xdr:spPr bwMode="auto">
        <a:xfrm>
          <a:off x="18602325" y="13314680"/>
          <a:ext cx="591152" cy="20813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60001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MSL</a:t>
          </a:r>
        </a:p>
      </xdr:txBody>
    </xdr:sp>
    <xdr:clientData/>
  </xdr:twoCellAnchor>
  <xdr:twoCellAnchor editAs="oneCell">
    <xdr:from>
      <xdr:col>74</xdr:col>
      <xdr:colOff>9525</xdr:colOff>
      <xdr:row>61</xdr:row>
      <xdr:rowOff>66751</xdr:rowOff>
    </xdr:from>
    <xdr:to>
      <xdr:col>74</xdr:col>
      <xdr:colOff>600677</xdr:colOff>
      <xdr:row>62</xdr:row>
      <xdr:rowOff>47211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2A00-000029000000}"/>
            </a:ext>
          </a:extLst>
        </xdr:cNvPr>
        <xdr:cNvSpPr txBox="1">
          <a:spLocks noChangeArrowheads="1"/>
        </xdr:cNvSpPr>
      </xdr:nvSpPr>
      <xdr:spPr bwMode="auto">
        <a:xfrm>
          <a:off x="18602325" y="12954076"/>
          <a:ext cx="591152" cy="1900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60001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MHHWN</a:t>
          </a:r>
        </a:p>
      </xdr:txBody>
    </xdr:sp>
    <xdr:clientData/>
  </xdr:twoCellAnchor>
  <xdr:twoCellAnchor editAs="oneCell">
    <xdr:from>
      <xdr:col>74</xdr:col>
      <xdr:colOff>19050</xdr:colOff>
      <xdr:row>59</xdr:row>
      <xdr:rowOff>167529</xdr:rowOff>
    </xdr:from>
    <xdr:to>
      <xdr:col>74</xdr:col>
      <xdr:colOff>610202</xdr:colOff>
      <xdr:row>60</xdr:row>
      <xdr:rowOff>135043</xdr:rowOff>
    </xdr:to>
    <xdr:sp macro="" textlink="">
      <xdr:nvSpPr>
        <xdr:cNvPr id="42" name="Text Box 7">
          <a:extLst>
            <a:ext uri="{FF2B5EF4-FFF2-40B4-BE49-F238E27FC236}">
              <a16:creationId xmlns:a16="http://schemas.microsoft.com/office/drawing/2014/main" id="{00000000-0008-0000-2A00-00002A000000}"/>
            </a:ext>
          </a:extLst>
        </xdr:cNvPr>
        <xdr:cNvSpPr txBox="1">
          <a:spLocks noChangeArrowheads="1"/>
        </xdr:cNvSpPr>
      </xdr:nvSpPr>
      <xdr:spPr bwMode="auto">
        <a:xfrm>
          <a:off x="18611850" y="12635754"/>
          <a:ext cx="591152" cy="17706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MHHWS</a:t>
          </a:r>
        </a:p>
      </xdr:txBody>
    </xdr:sp>
    <xdr:clientData/>
  </xdr:twoCellAnchor>
  <xdr:twoCellAnchor editAs="oneCell">
    <xdr:from>
      <xdr:col>74</xdr:col>
      <xdr:colOff>9525</xdr:colOff>
      <xdr:row>58</xdr:row>
      <xdr:rowOff>135255</xdr:rowOff>
    </xdr:from>
    <xdr:to>
      <xdr:col>74</xdr:col>
      <xdr:colOff>600677</xdr:colOff>
      <xdr:row>59</xdr:row>
      <xdr:rowOff>126008</xdr:rowOff>
    </xdr:to>
    <xdr:sp macro="" textlink="">
      <xdr:nvSpPr>
        <xdr:cNvPr id="43" name="Text Box 8">
          <a:extLst>
            <a:ext uri="{FF2B5EF4-FFF2-40B4-BE49-F238E27FC236}">
              <a16:creationId xmlns:a16="http://schemas.microsoft.com/office/drawing/2014/main" id="{00000000-0008-0000-2A00-00002B000000}"/>
            </a:ext>
          </a:extLst>
        </xdr:cNvPr>
        <xdr:cNvSpPr txBox="1">
          <a:spLocks noChangeArrowheads="1"/>
        </xdr:cNvSpPr>
      </xdr:nvSpPr>
      <xdr:spPr bwMode="auto">
        <a:xfrm>
          <a:off x="18602325" y="12393930"/>
          <a:ext cx="591152" cy="2003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HAT</a:t>
          </a:r>
        </a:p>
      </xdr:txBody>
    </xdr:sp>
    <xdr:clientData/>
  </xdr:twoCellAnchor>
  <xdr:twoCellAnchor>
    <xdr:from>
      <xdr:col>33</xdr:col>
      <xdr:colOff>205740</xdr:colOff>
      <xdr:row>78</xdr:row>
      <xdr:rowOff>60961</xdr:rowOff>
    </xdr:from>
    <xdr:to>
      <xdr:col>69</xdr:col>
      <xdr:colOff>137160</xdr:colOff>
      <xdr:row>99</xdr:row>
      <xdr:rowOff>0</xdr:rowOff>
    </xdr:to>
    <xdr:graphicFrame macro="">
      <xdr:nvGraphicFramePr>
        <xdr:cNvPr id="1619120" name="Chart 43">
          <a:extLst>
            <a:ext uri="{FF2B5EF4-FFF2-40B4-BE49-F238E27FC236}">
              <a16:creationId xmlns:a16="http://schemas.microsoft.com/office/drawing/2014/main" id="{00000000-0008-0000-2A00-0000B0B4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66</xdr:col>
      <xdr:colOff>28575</xdr:colOff>
      <xdr:row>93</xdr:row>
      <xdr:rowOff>11851</xdr:rowOff>
    </xdr:from>
    <xdr:to>
      <xdr:col>68</xdr:col>
      <xdr:colOff>208304</xdr:colOff>
      <xdr:row>93</xdr:row>
      <xdr:rowOff>185857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2A00-00002D000000}"/>
            </a:ext>
          </a:extLst>
        </xdr:cNvPr>
        <xdr:cNvSpPr txBox="1">
          <a:spLocks noChangeArrowheads="1"/>
        </xdr:cNvSpPr>
      </xdr:nvSpPr>
      <xdr:spPr bwMode="auto">
        <a:xfrm>
          <a:off x="17185481" y="20038164"/>
          <a:ext cx="608354" cy="174006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LAT</a:t>
          </a:r>
        </a:p>
      </xdr:txBody>
    </xdr:sp>
    <xdr:clientData/>
  </xdr:twoCellAnchor>
  <xdr:twoCellAnchor editAs="oneCell">
    <xdr:from>
      <xdr:col>66</xdr:col>
      <xdr:colOff>28575</xdr:colOff>
      <xdr:row>92</xdr:row>
      <xdr:rowOff>9469</xdr:rowOff>
    </xdr:from>
    <xdr:to>
      <xdr:col>68</xdr:col>
      <xdr:colOff>208304</xdr:colOff>
      <xdr:row>92</xdr:row>
      <xdr:rowOff>189814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2A00-00002E000000}"/>
            </a:ext>
          </a:extLst>
        </xdr:cNvPr>
        <xdr:cNvSpPr txBox="1">
          <a:spLocks noChangeArrowheads="1"/>
        </xdr:cNvSpPr>
      </xdr:nvSpPr>
      <xdr:spPr bwMode="auto">
        <a:xfrm>
          <a:off x="17185481" y="19821469"/>
          <a:ext cx="608354" cy="180345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LLW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</a:t>
          </a:r>
          <a:endParaRPr lang="id-ID" sz="11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66</xdr:col>
      <xdr:colOff>28575</xdr:colOff>
      <xdr:row>90</xdr:row>
      <xdr:rowOff>199637</xdr:rowOff>
    </xdr:from>
    <xdr:to>
      <xdr:col>68</xdr:col>
      <xdr:colOff>208304</xdr:colOff>
      <xdr:row>91</xdr:row>
      <xdr:rowOff>169564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2A00-00002F000000}"/>
            </a:ext>
          </a:extLst>
        </xdr:cNvPr>
        <xdr:cNvSpPr txBox="1">
          <a:spLocks noChangeArrowheads="1"/>
        </xdr:cNvSpPr>
      </xdr:nvSpPr>
      <xdr:spPr bwMode="auto">
        <a:xfrm>
          <a:off x="17185481" y="19583012"/>
          <a:ext cx="608354" cy="18424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MLW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N</a:t>
          </a:r>
          <a:endParaRPr lang="id-ID" sz="11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66</xdr:col>
      <xdr:colOff>28575</xdr:colOff>
      <xdr:row>88</xdr:row>
      <xdr:rowOff>67787</xdr:rowOff>
    </xdr:from>
    <xdr:to>
      <xdr:col>68</xdr:col>
      <xdr:colOff>208304</xdr:colOff>
      <xdr:row>89</xdr:row>
      <xdr:rowOff>66374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2A00-000030000000}"/>
            </a:ext>
          </a:extLst>
        </xdr:cNvPr>
        <xdr:cNvSpPr txBox="1">
          <a:spLocks noChangeArrowheads="1"/>
        </xdr:cNvSpPr>
      </xdr:nvSpPr>
      <xdr:spPr bwMode="auto">
        <a:xfrm>
          <a:off x="17185481" y="19022537"/>
          <a:ext cx="608354" cy="21290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MSL</a:t>
          </a:r>
        </a:p>
      </xdr:txBody>
    </xdr:sp>
    <xdr:clientData/>
  </xdr:twoCellAnchor>
  <xdr:twoCellAnchor editAs="oneCell">
    <xdr:from>
      <xdr:col>66</xdr:col>
      <xdr:colOff>28575</xdr:colOff>
      <xdr:row>86</xdr:row>
      <xdr:rowOff>60084</xdr:rowOff>
    </xdr:from>
    <xdr:to>
      <xdr:col>68</xdr:col>
      <xdr:colOff>208304</xdr:colOff>
      <xdr:row>87</xdr:row>
      <xdr:rowOff>32786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2A00-000031000000}"/>
            </a:ext>
          </a:extLst>
        </xdr:cNvPr>
        <xdr:cNvSpPr txBox="1">
          <a:spLocks noChangeArrowheads="1"/>
        </xdr:cNvSpPr>
      </xdr:nvSpPr>
      <xdr:spPr bwMode="auto">
        <a:xfrm>
          <a:off x="17185481" y="18586209"/>
          <a:ext cx="608354" cy="187015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MHW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N</a:t>
          </a:r>
          <a:endParaRPr lang="id-ID" sz="11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66</xdr:col>
      <xdr:colOff>28575</xdr:colOff>
      <xdr:row>84</xdr:row>
      <xdr:rowOff>69421</xdr:rowOff>
    </xdr:from>
    <xdr:to>
      <xdr:col>68</xdr:col>
      <xdr:colOff>208304</xdr:colOff>
      <xdr:row>85</xdr:row>
      <xdr:rowOff>40827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2A00-000032000000}"/>
            </a:ext>
          </a:extLst>
        </xdr:cNvPr>
        <xdr:cNvSpPr txBox="1">
          <a:spLocks noChangeArrowheads="1"/>
        </xdr:cNvSpPr>
      </xdr:nvSpPr>
      <xdr:spPr bwMode="auto">
        <a:xfrm>
          <a:off x="17185481" y="18166921"/>
          <a:ext cx="608354" cy="185719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HHW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</a:t>
          </a:r>
          <a:endParaRPr lang="id-ID" sz="11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66</xdr:col>
      <xdr:colOff>19050</xdr:colOff>
      <xdr:row>82</xdr:row>
      <xdr:rowOff>154781</xdr:rowOff>
    </xdr:from>
    <xdr:to>
      <xdr:col>68</xdr:col>
      <xdr:colOff>198779</xdr:colOff>
      <xdr:row>83</xdr:row>
      <xdr:rowOff>133863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2A00-000033000000}"/>
            </a:ext>
          </a:extLst>
        </xdr:cNvPr>
        <xdr:cNvSpPr txBox="1">
          <a:spLocks noChangeArrowheads="1"/>
        </xdr:cNvSpPr>
      </xdr:nvSpPr>
      <xdr:spPr bwMode="auto">
        <a:xfrm>
          <a:off x="17175956" y="17823656"/>
          <a:ext cx="608354" cy="193395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id-ID" sz="11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HAT</a:t>
          </a:r>
        </a:p>
      </xdr:txBody>
    </xdr:sp>
    <xdr:clientData/>
  </xdr:twoCellAnchor>
  <xdr:twoCellAnchor>
    <xdr:from>
      <xdr:col>34</xdr:col>
      <xdr:colOff>0</xdr:colOff>
      <xdr:row>107</xdr:row>
      <xdr:rowOff>0</xdr:rowOff>
    </xdr:from>
    <xdr:to>
      <xdr:col>70</xdr:col>
      <xdr:colOff>76200</xdr:colOff>
      <xdr:row>131</xdr:row>
      <xdr:rowOff>30480</xdr:rowOff>
    </xdr:to>
    <xdr:graphicFrame macro="">
      <xdr:nvGraphicFramePr>
        <xdr:cNvPr id="1619128" name="Chart 43">
          <a:extLst>
            <a:ext uri="{FF2B5EF4-FFF2-40B4-BE49-F238E27FC236}">
              <a16:creationId xmlns:a16="http://schemas.microsoft.com/office/drawing/2014/main" id="{00000000-0008-0000-2A00-0000B8B4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40901</xdr:colOff>
      <xdr:row>3</xdr:row>
      <xdr:rowOff>214032</xdr:rowOff>
    </xdr:from>
    <xdr:to>
      <xdr:col>74</xdr:col>
      <xdr:colOff>881453</xdr:colOff>
      <xdr:row>25</xdr:row>
      <xdr:rowOff>201146</xdr:rowOff>
    </xdr:to>
    <xdr:graphicFrame macro="">
      <xdr:nvGraphicFramePr>
        <xdr:cNvPr id="53" name="Chart 1">
          <a:extLst>
            <a:ext uri="{FF2B5EF4-FFF2-40B4-BE49-F238E27FC236}">
              <a16:creationId xmlns:a16="http://schemas.microsoft.com/office/drawing/2014/main" id="{00000000-0008-0000-2A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171450</xdr:colOff>
      <xdr:row>26</xdr:row>
      <xdr:rowOff>28575</xdr:rowOff>
    </xdr:from>
    <xdr:to>
      <xdr:col>35</xdr:col>
      <xdr:colOff>190500</xdr:colOff>
      <xdr:row>43</xdr:row>
      <xdr:rowOff>204788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76</xdr:col>
      <xdr:colOff>0</xdr:colOff>
      <xdr:row>88</xdr:row>
      <xdr:rowOff>0</xdr:rowOff>
    </xdr:from>
    <xdr:to>
      <xdr:col>113</xdr:col>
      <xdr:colOff>16920</xdr:colOff>
      <xdr:row>110</xdr:row>
      <xdr:rowOff>91889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00000000-0008-0000-2A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33</xdr:col>
      <xdr:colOff>257336</xdr:colOff>
      <xdr:row>101</xdr:row>
      <xdr:rowOff>28417</xdr:rowOff>
    </xdr:from>
    <xdr:to>
      <xdr:col>51</xdr:col>
      <xdr:colOff>48262</xdr:colOff>
      <xdr:row>138</xdr:row>
      <xdr:rowOff>83980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D0C62F-A01A-3D0E-6C3A-3F82453397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3" t="2736" r="4264" b="5498"/>
        <a:stretch/>
      </xdr:blipFill>
      <xdr:spPr bwMode="auto">
        <a:xfrm rot="16200000">
          <a:off x="7679533" y="23681533"/>
          <a:ext cx="7985125" cy="4160520"/>
        </a:xfrm>
        <a:prstGeom prst="rect">
          <a:avLst/>
        </a:prstGeom>
        <a:noFill/>
        <a:ln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10</xdr:col>
      <xdr:colOff>457200</xdr:colOff>
      <xdr:row>31</xdr:row>
      <xdr:rowOff>91440</xdr:rowOff>
    </xdr:to>
    <xdr:graphicFrame macro="">
      <xdr:nvGraphicFramePr>
        <xdr:cNvPr id="67670" name="Chart 1">
          <a:extLst>
            <a:ext uri="{FF2B5EF4-FFF2-40B4-BE49-F238E27FC236}">
              <a16:creationId xmlns:a16="http://schemas.microsoft.com/office/drawing/2014/main" id="{00000000-0008-0000-2B00-000056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09"/>
  <sheetViews>
    <sheetView showGridLines="0" topLeftCell="A4" zoomScale="85" zoomScaleSheetLayoutView="100" workbookViewId="0">
      <selection activeCell="B8" sqref="B8"/>
    </sheetView>
  </sheetViews>
  <sheetFormatPr defaultColWidth="9.140625" defaultRowHeight="14.25"/>
  <cols>
    <col min="1" max="1" width="4.140625" style="1" customWidth="1"/>
    <col min="2" max="2" width="16.140625" style="1" customWidth="1"/>
    <col min="3" max="9" width="9.7109375" style="1" customWidth="1"/>
    <col min="10" max="11" width="9.140625" style="1"/>
    <col min="12" max="12" width="4.28515625" style="1" bestFit="1" customWidth="1"/>
    <col min="13" max="13" width="10.28515625" style="1" bestFit="1" customWidth="1"/>
    <col min="14" max="26" width="6.42578125" style="1" bestFit="1" customWidth="1"/>
    <col min="27" max="27" width="5.7109375" style="1" bestFit="1" customWidth="1"/>
    <col min="28" max="37" width="6.42578125" style="1" bestFit="1" customWidth="1"/>
    <col min="38" max="16384" width="9.140625" style="1"/>
  </cols>
  <sheetData>
    <row r="1" spans="1:37" ht="12.95" customHeight="1">
      <c r="A1" s="2"/>
      <c r="B1" s="2"/>
      <c r="C1" s="3"/>
      <c r="D1" s="2"/>
      <c r="E1" s="2"/>
      <c r="F1" s="2"/>
      <c r="G1" s="2"/>
      <c r="H1" s="2"/>
      <c r="I1" s="2"/>
    </row>
    <row r="2" spans="1:37" ht="15" customHeight="1">
      <c r="A2" s="656" t="s">
        <v>603</v>
      </c>
      <c r="B2" s="656"/>
      <c r="C2" s="656"/>
      <c r="D2" s="656"/>
      <c r="E2" s="454"/>
      <c r="F2" s="454"/>
      <c r="G2" s="454"/>
      <c r="H2" s="454"/>
      <c r="I2" s="454"/>
    </row>
    <row r="3" spans="1:37" ht="15" customHeight="1">
      <c r="A3" s="656" t="s">
        <v>596</v>
      </c>
      <c r="B3" s="656"/>
      <c r="C3" s="656"/>
      <c r="D3" s="656"/>
      <c r="E3" s="454"/>
      <c r="F3" s="454"/>
      <c r="G3" s="454"/>
      <c r="H3" s="454"/>
      <c r="I3" s="454"/>
    </row>
    <row r="4" spans="1:37" ht="12.95" customHeight="1">
      <c r="A4" s="2"/>
      <c r="B4" s="2"/>
      <c r="C4" s="3"/>
      <c r="D4" s="2"/>
      <c r="E4" s="2"/>
      <c r="F4" s="2"/>
      <c r="G4" s="2"/>
      <c r="H4" s="2"/>
      <c r="I4" s="2"/>
    </row>
    <row r="5" spans="1:37" ht="16.5" thickBot="1">
      <c r="A5" s="2"/>
      <c r="B5" s="2"/>
      <c r="C5" s="3"/>
      <c r="D5" s="2"/>
      <c r="E5" s="2"/>
      <c r="F5" s="2"/>
      <c r="G5" s="2"/>
      <c r="H5" s="2"/>
      <c r="I5" s="2"/>
      <c r="L5" s="506" t="s">
        <v>621</v>
      </c>
    </row>
    <row r="6" spans="1:37" ht="15" customHeight="1" thickTop="1" thickBot="1">
      <c r="A6" s="657" t="s">
        <v>0</v>
      </c>
      <c r="B6" s="658" t="s">
        <v>1</v>
      </c>
      <c r="C6" s="659" t="s">
        <v>595</v>
      </c>
      <c r="D6" s="659"/>
      <c r="E6" s="455"/>
      <c r="F6" s="455"/>
      <c r="G6" s="455"/>
      <c r="H6" s="455"/>
      <c r="I6" s="455"/>
      <c r="L6" s="654" t="s">
        <v>0</v>
      </c>
      <c r="M6" s="651" t="s">
        <v>34</v>
      </c>
      <c r="N6" s="651" t="s">
        <v>75</v>
      </c>
      <c r="O6" s="651"/>
      <c r="P6" s="651"/>
      <c r="Q6" s="651"/>
      <c r="R6" s="651"/>
      <c r="S6" s="651"/>
      <c r="T6" s="651"/>
      <c r="U6" s="651"/>
      <c r="V6" s="651"/>
      <c r="W6" s="651"/>
      <c r="X6" s="651"/>
      <c r="Y6" s="651"/>
      <c r="Z6" s="651"/>
      <c r="AA6" s="651"/>
      <c r="AB6" s="651"/>
      <c r="AC6" s="651"/>
      <c r="AD6" s="651"/>
      <c r="AE6" s="651"/>
      <c r="AF6" s="651"/>
      <c r="AG6" s="651"/>
      <c r="AH6" s="651"/>
      <c r="AI6" s="651"/>
      <c r="AJ6" s="651"/>
      <c r="AK6" s="652"/>
    </row>
    <row r="7" spans="1:37" ht="15" customHeight="1" thickTop="1" thickBot="1">
      <c r="A7" s="657"/>
      <c r="B7" s="658"/>
      <c r="C7" s="4" t="s">
        <v>64</v>
      </c>
      <c r="D7" s="4" t="s">
        <v>530</v>
      </c>
      <c r="E7" s="455"/>
      <c r="F7" s="455"/>
      <c r="G7" s="455"/>
      <c r="H7" s="455"/>
      <c r="I7" s="455"/>
      <c r="L7" s="655"/>
      <c r="M7" s="653"/>
      <c r="N7" s="507">
        <v>0</v>
      </c>
      <c r="O7" s="507">
        <v>4.1666666666666664E-2</v>
      </c>
      <c r="P7" s="507">
        <v>8.3333333333333329E-2</v>
      </c>
      <c r="Q7" s="507">
        <v>0.125</v>
      </c>
      <c r="R7" s="507">
        <v>0.16666666666666699</v>
      </c>
      <c r="S7" s="507">
        <v>0.20833333333333401</v>
      </c>
      <c r="T7" s="507">
        <v>0.25</v>
      </c>
      <c r="U7" s="507">
        <v>0.29166666666666702</v>
      </c>
      <c r="V7" s="507">
        <v>0.33333333333333398</v>
      </c>
      <c r="W7" s="507">
        <v>0.375</v>
      </c>
      <c r="X7" s="507">
        <v>0.41666666666666702</v>
      </c>
      <c r="Y7" s="507">
        <v>0.45833333333333398</v>
      </c>
      <c r="Z7" s="507">
        <v>0.5</v>
      </c>
      <c r="AA7" s="507">
        <v>0.54166666666666696</v>
      </c>
      <c r="AB7" s="507">
        <v>0.58333333333333404</v>
      </c>
      <c r="AC7" s="507">
        <v>0.625</v>
      </c>
      <c r="AD7" s="507">
        <v>0.66666666666666696</v>
      </c>
      <c r="AE7" s="507">
        <v>0.70833333333333404</v>
      </c>
      <c r="AF7" s="507">
        <v>0.75</v>
      </c>
      <c r="AG7" s="507">
        <v>0.79166666666666696</v>
      </c>
      <c r="AH7" s="507">
        <v>0.83333333333333404</v>
      </c>
      <c r="AI7" s="507">
        <v>0.875</v>
      </c>
      <c r="AJ7" s="507">
        <v>0.91666666666666696</v>
      </c>
      <c r="AK7" s="510">
        <v>0.95833333333333404</v>
      </c>
    </row>
    <row r="8" spans="1:37" ht="12.95" customHeight="1" thickTop="1">
      <c r="A8" s="5">
        <f t="shared" ref="A8:A71" si="0">A7+1</f>
        <v>1</v>
      </c>
      <c r="B8" s="504">
        <v>44709</v>
      </c>
      <c r="C8" s="489">
        <f>D8*100</f>
        <v>136</v>
      </c>
      <c r="D8" s="489">
        <v>1.36</v>
      </c>
      <c r="E8" s="464"/>
      <c r="F8" s="464">
        <f>D8-0.5</f>
        <v>0.8600000000000001</v>
      </c>
      <c r="G8" s="464"/>
      <c r="H8" s="464"/>
      <c r="I8" s="464"/>
      <c r="L8" s="511">
        <v>1</v>
      </c>
      <c r="M8" s="508">
        <v>43599</v>
      </c>
      <c r="N8" s="509">
        <f t="array" ref="N8:AK8">TRANSPOSE(D8:D31)</f>
        <v>1.36</v>
      </c>
      <c r="O8" s="509">
        <v>1.655</v>
      </c>
      <c r="P8" s="509">
        <v>1.9830000000000001</v>
      </c>
      <c r="Q8" s="509">
        <v>2.2469999999999999</v>
      </c>
      <c r="R8" s="509">
        <v>2.39</v>
      </c>
      <c r="S8" s="509">
        <v>2.4300000000000002</v>
      </c>
      <c r="T8" s="509">
        <v>2.3170000000000002</v>
      </c>
      <c r="U8" s="509">
        <v>2.121</v>
      </c>
      <c r="V8" s="509">
        <v>1.8839999999999999</v>
      </c>
      <c r="W8" s="509">
        <v>1.637</v>
      </c>
      <c r="X8" s="509">
        <v>1.454</v>
      </c>
      <c r="Y8" s="509">
        <v>1.3540000000000001</v>
      </c>
      <c r="Z8" s="509">
        <v>1.42</v>
      </c>
      <c r="AA8" s="509">
        <v>1.5609999999999999</v>
      </c>
      <c r="AB8" s="509">
        <v>1.7310000000000001</v>
      </c>
      <c r="AC8" s="509">
        <v>1.889</v>
      </c>
      <c r="AD8" s="509">
        <v>1.9490000000000001</v>
      </c>
      <c r="AE8" s="509">
        <v>1.9</v>
      </c>
      <c r="AF8" s="509">
        <v>1.7330000000000001</v>
      </c>
      <c r="AG8" s="509">
        <v>1.55</v>
      </c>
      <c r="AH8" s="509">
        <v>1.3240000000000001</v>
      </c>
      <c r="AI8" s="509">
        <v>1.1080000000000001</v>
      </c>
      <c r="AJ8" s="509">
        <v>0.96899999999999997</v>
      </c>
      <c r="AK8" s="512">
        <v>0.99099999999999999</v>
      </c>
    </row>
    <row r="9" spans="1:37" ht="12.95" customHeight="1">
      <c r="A9" s="6">
        <f t="shared" si="0"/>
        <v>2</v>
      </c>
      <c r="B9" s="504">
        <v>44709.041666666664</v>
      </c>
      <c r="C9" s="489">
        <f t="shared" ref="C9:C72" si="1">D9*100</f>
        <v>165.5</v>
      </c>
      <c r="D9" s="489">
        <v>1.655</v>
      </c>
      <c r="E9" s="464"/>
      <c r="F9" s="464">
        <f t="shared" ref="F9:F72" si="2">D9-0.5</f>
        <v>1.155</v>
      </c>
      <c r="G9" s="464"/>
      <c r="H9" s="464"/>
      <c r="I9" s="464"/>
      <c r="L9" s="511">
        <v>2</v>
      </c>
      <c r="M9" s="508">
        <v>43600</v>
      </c>
      <c r="N9" s="509">
        <f t="array" ref="N9:AK9">TRANSPOSE(D32:D55)</f>
        <v>1.1379999999999999</v>
      </c>
      <c r="O9" s="509">
        <v>1.4390000000000001</v>
      </c>
      <c r="P9" s="509">
        <v>1.847</v>
      </c>
      <c r="Q9" s="509">
        <v>2.2229999999999999</v>
      </c>
      <c r="R9" s="509">
        <v>2.4910000000000001</v>
      </c>
      <c r="S9" s="509">
        <v>2.581</v>
      </c>
      <c r="T9" s="509">
        <v>2.5190000000000001</v>
      </c>
      <c r="U9" s="509">
        <v>2.3260000000000001</v>
      </c>
      <c r="V9" s="509">
        <v>2.024</v>
      </c>
      <c r="W9" s="509">
        <v>1.7190000000000001</v>
      </c>
      <c r="X9" s="509">
        <v>1.4410000000000001</v>
      </c>
      <c r="Y9" s="509">
        <v>1.2529999999999999</v>
      </c>
      <c r="Z9" s="509">
        <v>1.232</v>
      </c>
      <c r="AA9" s="509">
        <v>1.3320000000000001</v>
      </c>
      <c r="AB9" s="509">
        <v>1.5</v>
      </c>
      <c r="AC9" s="509">
        <v>1.6930000000000001</v>
      </c>
      <c r="AD9" s="509">
        <v>1.833</v>
      </c>
      <c r="AE9" s="509">
        <v>1.84</v>
      </c>
      <c r="AF9" s="509">
        <v>1.742</v>
      </c>
      <c r="AG9" s="509">
        <v>1.583</v>
      </c>
      <c r="AH9" s="509">
        <v>1.3320000000000001</v>
      </c>
      <c r="AI9" s="509">
        <v>1.0669999999999999</v>
      </c>
      <c r="AJ9" s="509">
        <v>0.81299999999999994</v>
      </c>
      <c r="AK9" s="512">
        <v>0.754</v>
      </c>
    </row>
    <row r="10" spans="1:37" ht="12.95" customHeight="1">
      <c r="A10" s="6">
        <f t="shared" si="0"/>
        <v>3</v>
      </c>
      <c r="B10" s="504">
        <v>44709.083333333336</v>
      </c>
      <c r="C10" s="489">
        <f t="shared" si="1"/>
        <v>198.3</v>
      </c>
      <c r="D10" s="489">
        <v>1.9830000000000001</v>
      </c>
      <c r="E10" s="464"/>
      <c r="F10" s="464">
        <f t="shared" si="2"/>
        <v>1.4830000000000001</v>
      </c>
      <c r="G10" s="464"/>
      <c r="H10" s="464"/>
      <c r="I10" s="464"/>
      <c r="L10" s="511">
        <v>3</v>
      </c>
      <c r="M10" s="508">
        <v>43601</v>
      </c>
      <c r="N10" s="509">
        <f t="array" ref="N10:AK10">TRANSPOSE(D56:D79)</f>
        <v>0.90600000000000003</v>
      </c>
      <c r="O10" s="509">
        <v>1.2310000000000001</v>
      </c>
      <c r="P10" s="509">
        <v>1.627</v>
      </c>
      <c r="Q10" s="509">
        <v>2.0550000000000002</v>
      </c>
      <c r="R10" s="509">
        <v>2.456</v>
      </c>
      <c r="S10" s="509">
        <v>2.714</v>
      </c>
      <c r="T10" s="509">
        <v>2.7280000000000002</v>
      </c>
      <c r="U10" s="509">
        <v>2.552</v>
      </c>
      <c r="V10" s="509">
        <v>2.2280000000000002</v>
      </c>
      <c r="W10" s="509">
        <v>1.8280000000000001</v>
      </c>
      <c r="X10" s="509">
        <v>1.4850000000000001</v>
      </c>
      <c r="Y10" s="509">
        <v>1.22</v>
      </c>
      <c r="Z10" s="509">
        <v>1.1359999999999999</v>
      </c>
      <c r="AA10" s="509">
        <v>1.234</v>
      </c>
      <c r="AB10" s="509">
        <v>1.4339999999999999</v>
      </c>
      <c r="AC10" s="509">
        <v>1.641</v>
      </c>
      <c r="AD10" s="509">
        <v>1.778</v>
      </c>
      <c r="AE10" s="509">
        <v>1.821</v>
      </c>
      <c r="AF10" s="509">
        <v>1.7869999999999999</v>
      </c>
      <c r="AG10" s="509">
        <v>1.6260000000000001</v>
      </c>
      <c r="AH10" s="509">
        <v>1.399</v>
      </c>
      <c r="AI10" s="509">
        <v>1.1459999999999999</v>
      </c>
      <c r="AJ10" s="509">
        <v>0.88500000000000001</v>
      </c>
      <c r="AK10" s="512">
        <v>0.70199999999999996</v>
      </c>
    </row>
    <row r="11" spans="1:37" ht="12.95" customHeight="1">
      <c r="A11" s="6">
        <f t="shared" si="0"/>
        <v>4</v>
      </c>
      <c r="B11" s="504">
        <v>44709.125</v>
      </c>
      <c r="C11" s="489">
        <f t="shared" si="1"/>
        <v>224.7</v>
      </c>
      <c r="D11" s="489">
        <v>2.2469999999999999</v>
      </c>
      <c r="E11" s="464"/>
      <c r="F11" s="464">
        <f t="shared" si="2"/>
        <v>1.7469999999999999</v>
      </c>
      <c r="G11" s="464"/>
      <c r="H11" s="464"/>
      <c r="I11" s="464"/>
      <c r="L11" s="511">
        <v>4</v>
      </c>
      <c r="M11" s="508">
        <v>43602</v>
      </c>
      <c r="N11" s="509">
        <f t="array" ref="N11:AK11">TRANSPOSE(D80:D103)</f>
        <v>0.74299999999999999</v>
      </c>
      <c r="O11" s="509">
        <v>1.0089999999999999</v>
      </c>
      <c r="P11" s="509">
        <v>1.395</v>
      </c>
      <c r="Q11" s="509">
        <v>1.8839999999999999</v>
      </c>
      <c r="R11" s="509">
        <v>2.3519999999999999</v>
      </c>
      <c r="S11" s="509">
        <v>2.6960000000000002</v>
      </c>
      <c r="T11" s="509">
        <v>2.8149999999999999</v>
      </c>
      <c r="U11" s="509">
        <v>2.738</v>
      </c>
      <c r="V11" s="509">
        <v>2.46</v>
      </c>
      <c r="W11" s="509">
        <v>2.028</v>
      </c>
      <c r="X11" s="509">
        <v>1.653</v>
      </c>
      <c r="Y11" s="509">
        <v>1.345</v>
      </c>
      <c r="Z11" s="509">
        <v>1.18</v>
      </c>
      <c r="AA11" s="509">
        <v>1.1519999999999999</v>
      </c>
      <c r="AB11" s="509">
        <v>1.2609999999999999</v>
      </c>
      <c r="AC11" s="509">
        <v>1.47</v>
      </c>
      <c r="AD11" s="509">
        <v>1.6679999999999999</v>
      </c>
      <c r="AE11" s="509">
        <v>1.7709999999999999</v>
      </c>
      <c r="AF11" s="509">
        <v>1.7649999999999999</v>
      </c>
      <c r="AG11" s="509">
        <v>1.653</v>
      </c>
      <c r="AH11" s="509">
        <v>1.444</v>
      </c>
      <c r="AI11" s="509">
        <v>1.226</v>
      </c>
      <c r="AJ11" s="509">
        <v>0.95599999999999996</v>
      </c>
      <c r="AK11" s="512">
        <v>0.73799999999999999</v>
      </c>
    </row>
    <row r="12" spans="1:37" ht="12.95" customHeight="1">
      <c r="A12" s="6">
        <f t="shared" si="0"/>
        <v>5</v>
      </c>
      <c r="B12" s="504">
        <v>44709.166666666664</v>
      </c>
      <c r="C12" s="489">
        <f t="shared" si="1"/>
        <v>239</v>
      </c>
      <c r="D12" s="489">
        <v>2.39</v>
      </c>
      <c r="E12" s="464"/>
      <c r="F12" s="464">
        <f t="shared" si="2"/>
        <v>1.8900000000000001</v>
      </c>
      <c r="G12" s="464"/>
      <c r="H12" s="464"/>
      <c r="I12" s="464"/>
      <c r="L12" s="511">
        <v>5</v>
      </c>
      <c r="M12" s="508">
        <v>43603</v>
      </c>
      <c r="N12" s="509">
        <f t="array" ref="N12:AK12">TRANSPOSE(D104:D127)</f>
        <v>0.68700000000000006</v>
      </c>
      <c r="O12" s="509">
        <v>0.86399999999999999</v>
      </c>
      <c r="P12" s="509">
        <v>1.246</v>
      </c>
      <c r="Q12" s="509">
        <v>1.7010000000000001</v>
      </c>
      <c r="R12" s="509">
        <v>2.1930000000000001</v>
      </c>
      <c r="S12" s="509">
        <v>2.5950000000000002</v>
      </c>
      <c r="T12" s="509">
        <v>2.8180000000000001</v>
      </c>
      <c r="U12" s="509">
        <v>2.84</v>
      </c>
      <c r="V12" s="509">
        <v>2.657</v>
      </c>
      <c r="W12" s="509">
        <v>2.2879999999999998</v>
      </c>
      <c r="X12" s="509">
        <v>1.8819999999999999</v>
      </c>
      <c r="Y12" s="509">
        <v>1.5149999999999999</v>
      </c>
      <c r="Z12" s="509">
        <v>1.27</v>
      </c>
      <c r="AA12" s="509">
        <v>1.169</v>
      </c>
      <c r="AB12" s="509">
        <v>1.2250000000000001</v>
      </c>
      <c r="AC12" s="509">
        <v>1.375</v>
      </c>
      <c r="AD12" s="509">
        <v>1.5940000000000001</v>
      </c>
      <c r="AE12" s="509">
        <v>1.784</v>
      </c>
      <c r="AF12" s="509">
        <v>1.839</v>
      </c>
      <c r="AG12" s="509">
        <v>1.7450000000000001</v>
      </c>
      <c r="AH12" s="509">
        <v>1.554</v>
      </c>
      <c r="AI12" s="509">
        <v>1.2949999999999999</v>
      </c>
      <c r="AJ12" s="509">
        <v>0.96299999999999997</v>
      </c>
      <c r="AK12" s="512">
        <v>0.76200000000000001</v>
      </c>
    </row>
    <row r="13" spans="1:37" ht="12.95" customHeight="1">
      <c r="A13" s="6">
        <f t="shared" si="0"/>
        <v>6</v>
      </c>
      <c r="B13" s="504">
        <v>44709.208333333336</v>
      </c>
      <c r="C13" s="489">
        <f t="shared" si="1"/>
        <v>243.00000000000003</v>
      </c>
      <c r="D13" s="489">
        <v>2.4300000000000002</v>
      </c>
      <c r="E13" s="464"/>
      <c r="F13" s="464">
        <f t="shared" si="2"/>
        <v>1.9300000000000002</v>
      </c>
      <c r="G13" s="464"/>
      <c r="H13" s="464"/>
      <c r="I13" s="464"/>
      <c r="L13" s="511">
        <v>6</v>
      </c>
      <c r="M13" s="508">
        <v>43604</v>
      </c>
      <c r="N13" s="509">
        <f t="array" ref="N13:AK13">TRANSPOSE(D128:D151)</f>
        <v>0.65800000000000003</v>
      </c>
      <c r="O13" s="509">
        <v>0.75</v>
      </c>
      <c r="P13" s="509">
        <v>1.0609999999999999</v>
      </c>
      <c r="Q13" s="509">
        <v>1.4930000000000001</v>
      </c>
      <c r="R13" s="509">
        <v>1.9990000000000001</v>
      </c>
      <c r="S13" s="509">
        <v>2.4350000000000001</v>
      </c>
      <c r="T13" s="509">
        <v>2.7450000000000001</v>
      </c>
      <c r="U13" s="509">
        <v>2.8460000000000001</v>
      </c>
      <c r="V13" s="509">
        <v>2.758</v>
      </c>
      <c r="W13" s="509">
        <v>2.5059999999999998</v>
      </c>
      <c r="X13" s="509">
        <v>2.1230000000000002</v>
      </c>
      <c r="Y13" s="509">
        <v>1.7490000000000001</v>
      </c>
      <c r="Z13" s="509">
        <v>1.429</v>
      </c>
      <c r="AA13" s="509">
        <v>1.2609999999999999</v>
      </c>
      <c r="AB13" s="509">
        <v>1.2310000000000001</v>
      </c>
      <c r="AC13" s="509">
        <v>1.3720000000000001</v>
      </c>
      <c r="AD13" s="509">
        <v>1.5880000000000001</v>
      </c>
      <c r="AE13" s="509">
        <v>1.7689999999999999</v>
      </c>
      <c r="AF13" s="509">
        <v>1.8129999999999999</v>
      </c>
      <c r="AG13" s="509">
        <v>1.7769999999999999</v>
      </c>
      <c r="AH13" s="509">
        <v>1.641</v>
      </c>
      <c r="AI13" s="509">
        <v>1.4079999999999999</v>
      </c>
      <c r="AJ13" s="509">
        <v>1.151</v>
      </c>
      <c r="AK13" s="512">
        <v>0.90400000000000003</v>
      </c>
    </row>
    <row r="14" spans="1:37" ht="12.95" customHeight="1">
      <c r="A14" s="6">
        <f t="shared" si="0"/>
        <v>7</v>
      </c>
      <c r="B14" s="504">
        <v>44709.25</v>
      </c>
      <c r="C14" s="489">
        <f t="shared" si="1"/>
        <v>231.70000000000002</v>
      </c>
      <c r="D14" s="489">
        <v>2.3170000000000002</v>
      </c>
      <c r="E14" s="464"/>
      <c r="F14" s="464">
        <f t="shared" si="2"/>
        <v>1.8170000000000002</v>
      </c>
      <c r="G14" s="464"/>
      <c r="H14" s="464"/>
      <c r="I14" s="464"/>
      <c r="L14" s="511">
        <v>7</v>
      </c>
      <c r="M14" s="508">
        <v>43605</v>
      </c>
      <c r="N14" s="509">
        <f t="array" ref="N14:AK14">TRANSPOSE(D152:D175)</f>
        <v>0.74</v>
      </c>
      <c r="O14" s="509">
        <v>0.754</v>
      </c>
      <c r="P14" s="509">
        <v>0.94699999999999995</v>
      </c>
      <c r="Q14" s="509">
        <v>1.3049999999999999</v>
      </c>
      <c r="R14" s="509">
        <v>1.754</v>
      </c>
      <c r="S14" s="509">
        <v>2.1850000000000001</v>
      </c>
      <c r="T14" s="509">
        <v>2.5470000000000002</v>
      </c>
      <c r="U14" s="509">
        <v>2.758</v>
      </c>
      <c r="V14" s="509">
        <v>2.7730000000000001</v>
      </c>
      <c r="W14" s="509">
        <v>2.5979999999999999</v>
      </c>
      <c r="X14" s="509">
        <v>2.278</v>
      </c>
      <c r="Y14" s="509">
        <v>1.887</v>
      </c>
      <c r="Z14" s="509">
        <v>1.5620000000000001</v>
      </c>
      <c r="AA14" s="509">
        <v>1.349</v>
      </c>
      <c r="AB14" s="509">
        <v>1.28</v>
      </c>
      <c r="AC14" s="509">
        <v>1.35</v>
      </c>
      <c r="AD14" s="509">
        <v>1.5269999999999999</v>
      </c>
      <c r="AE14" s="509">
        <v>1.68</v>
      </c>
      <c r="AF14" s="509">
        <v>1.7789999999999999</v>
      </c>
      <c r="AG14" s="509">
        <v>1.766</v>
      </c>
      <c r="AH14" s="509">
        <v>1.6830000000000001</v>
      </c>
      <c r="AI14" s="509">
        <v>1.4750000000000001</v>
      </c>
      <c r="AJ14" s="509">
        <v>1.2629999999999999</v>
      </c>
      <c r="AK14" s="512">
        <v>1.0229999999999999</v>
      </c>
    </row>
    <row r="15" spans="1:37" ht="12.95" customHeight="1">
      <c r="A15" s="6">
        <f t="shared" si="0"/>
        <v>8</v>
      </c>
      <c r="B15" s="504">
        <v>44709.291666666664</v>
      </c>
      <c r="C15" s="489">
        <f t="shared" si="1"/>
        <v>212.1</v>
      </c>
      <c r="D15" s="489">
        <v>2.121</v>
      </c>
      <c r="E15" s="464"/>
      <c r="F15" s="464">
        <f t="shared" si="2"/>
        <v>1.621</v>
      </c>
      <c r="G15" s="464"/>
      <c r="H15" s="464"/>
      <c r="I15" s="464"/>
      <c r="L15" s="511">
        <v>8</v>
      </c>
      <c r="M15" s="508">
        <v>43606</v>
      </c>
      <c r="N15" s="509">
        <f t="array" ref="N15:AK15">TRANSPOSE(D176:D199)</f>
        <v>0.79700000000000004</v>
      </c>
      <c r="O15" s="509">
        <v>0.73399999999999999</v>
      </c>
      <c r="P15" s="509">
        <v>0.85699999999999998</v>
      </c>
      <c r="Q15" s="509">
        <v>1.1599999999999999</v>
      </c>
      <c r="R15" s="509">
        <v>1.54</v>
      </c>
      <c r="S15" s="509">
        <v>1.9890000000000001</v>
      </c>
      <c r="T15" s="509">
        <v>2.3559999999999999</v>
      </c>
      <c r="U15" s="509">
        <v>2.5950000000000002</v>
      </c>
      <c r="V15" s="509">
        <v>2.6890000000000001</v>
      </c>
      <c r="W15" s="509">
        <v>2.5859999999999999</v>
      </c>
      <c r="X15" s="509">
        <v>2.339</v>
      </c>
      <c r="Y15" s="509">
        <v>1.9910000000000001</v>
      </c>
      <c r="Z15" s="509">
        <v>1.698</v>
      </c>
      <c r="AA15" s="509">
        <v>1.4355</v>
      </c>
      <c r="AB15" s="509">
        <v>1.319</v>
      </c>
      <c r="AC15" s="509">
        <v>1.304</v>
      </c>
      <c r="AD15" s="509">
        <v>1.421</v>
      </c>
      <c r="AE15" s="509">
        <v>1.5940000000000001</v>
      </c>
      <c r="AF15" s="509">
        <v>1.748</v>
      </c>
      <c r="AG15" s="509">
        <v>1.82</v>
      </c>
      <c r="AH15" s="509">
        <v>1.7709999999999999</v>
      </c>
      <c r="AI15" s="509">
        <v>1.5880000000000001</v>
      </c>
      <c r="AJ15" s="509">
        <v>1.36</v>
      </c>
      <c r="AK15" s="512">
        <v>1.1240000000000001</v>
      </c>
    </row>
    <row r="16" spans="1:37" ht="12.95" customHeight="1">
      <c r="A16" s="6">
        <f t="shared" si="0"/>
        <v>9</v>
      </c>
      <c r="B16" s="504">
        <v>44709.333333333336</v>
      </c>
      <c r="C16" s="489">
        <f t="shared" si="1"/>
        <v>188.39999999999998</v>
      </c>
      <c r="D16" s="489">
        <v>1.8839999999999999</v>
      </c>
      <c r="E16" s="464"/>
      <c r="F16" s="464">
        <f t="shared" si="2"/>
        <v>1.3839999999999999</v>
      </c>
      <c r="G16" s="464"/>
      <c r="H16" s="464"/>
      <c r="I16" s="464"/>
      <c r="L16" s="511">
        <v>9</v>
      </c>
      <c r="M16" s="508">
        <v>43607</v>
      </c>
      <c r="N16" s="509">
        <f t="array" ref="N16:AK16">TRANSPOSE(D200:D223)</f>
        <v>0.90500000000000003</v>
      </c>
      <c r="O16" s="509">
        <v>0.78600000000000003</v>
      </c>
      <c r="P16" s="509">
        <v>0.84499999999999997</v>
      </c>
      <c r="Q16" s="509">
        <v>1.07</v>
      </c>
      <c r="R16" s="509">
        <v>1.413</v>
      </c>
      <c r="S16" s="509">
        <v>1.792</v>
      </c>
      <c r="T16" s="509">
        <v>2.1789999999999998</v>
      </c>
      <c r="U16" s="509">
        <v>2.4420000000000002</v>
      </c>
      <c r="V16" s="509">
        <v>2.5630000000000002</v>
      </c>
      <c r="W16" s="509">
        <v>2.552</v>
      </c>
      <c r="X16" s="509">
        <v>2.4060000000000001</v>
      </c>
      <c r="Y16" s="509">
        <v>2.1150000000000002</v>
      </c>
      <c r="Z16" s="509">
        <v>1.8049999999999999</v>
      </c>
      <c r="AA16" s="509">
        <v>1.5640000000000001</v>
      </c>
      <c r="AB16" s="509">
        <v>1.4390000000000001</v>
      </c>
      <c r="AC16" s="509">
        <v>1.4079999999999999</v>
      </c>
      <c r="AD16" s="509">
        <v>1.4790000000000001</v>
      </c>
      <c r="AE16" s="509">
        <v>1.593</v>
      </c>
      <c r="AF16" s="509">
        <v>1.7210000000000001</v>
      </c>
      <c r="AG16" s="509">
        <v>1.8080000000000001</v>
      </c>
      <c r="AH16" s="509">
        <v>1.8049999999999999</v>
      </c>
      <c r="AI16" s="509">
        <v>1.667</v>
      </c>
      <c r="AJ16" s="509">
        <v>1.46</v>
      </c>
      <c r="AK16" s="512">
        <v>1.254</v>
      </c>
    </row>
    <row r="17" spans="1:37" ht="12.95" customHeight="1">
      <c r="A17" s="6">
        <f t="shared" si="0"/>
        <v>10</v>
      </c>
      <c r="B17" s="504">
        <v>44709.375</v>
      </c>
      <c r="C17" s="489">
        <f t="shared" si="1"/>
        <v>163.69999999999999</v>
      </c>
      <c r="D17" s="489">
        <v>1.637</v>
      </c>
      <c r="E17" s="464"/>
      <c r="F17" s="464">
        <f t="shared" si="2"/>
        <v>1.137</v>
      </c>
      <c r="G17" s="464"/>
      <c r="H17" s="464"/>
      <c r="I17" s="464"/>
      <c r="L17" s="511">
        <v>10</v>
      </c>
      <c r="M17" s="508">
        <v>43608</v>
      </c>
      <c r="N17" s="509">
        <f t="array" ref="N17:AK17">TRANSPOSE(D224:D247)</f>
        <v>1.0469999999999999</v>
      </c>
      <c r="O17" s="509">
        <v>0.90600000000000003</v>
      </c>
      <c r="P17" s="509">
        <v>0.871</v>
      </c>
      <c r="Q17" s="509">
        <v>1.024</v>
      </c>
      <c r="R17" s="509">
        <v>1.3140000000000001</v>
      </c>
      <c r="S17" s="509">
        <v>1.6679999999999999</v>
      </c>
      <c r="T17" s="509">
        <v>1.9930000000000001</v>
      </c>
      <c r="U17" s="509">
        <v>2.25</v>
      </c>
      <c r="V17" s="509">
        <v>2.4020000000000001</v>
      </c>
      <c r="W17" s="509">
        <v>2.4220000000000002</v>
      </c>
      <c r="X17" s="509">
        <v>2.3570000000000002</v>
      </c>
      <c r="Y17" s="509">
        <v>2.1829999999999998</v>
      </c>
      <c r="Z17" s="509">
        <v>1.923</v>
      </c>
      <c r="AA17" s="509">
        <v>1.7050000000000001</v>
      </c>
      <c r="AB17" s="509">
        <v>1.556</v>
      </c>
      <c r="AC17" s="509">
        <v>1.4730000000000001</v>
      </c>
      <c r="AD17" s="509">
        <v>1.4790000000000001</v>
      </c>
      <c r="AE17" s="509">
        <v>1.573</v>
      </c>
      <c r="AF17" s="509">
        <v>1.673</v>
      </c>
      <c r="AG17" s="509">
        <v>1.7889999999999999</v>
      </c>
      <c r="AH17" s="509">
        <v>1.8320000000000001</v>
      </c>
      <c r="AI17" s="509">
        <v>1.7549999999999999</v>
      </c>
      <c r="AJ17" s="509">
        <v>1.556</v>
      </c>
      <c r="AK17" s="512">
        <v>1.375</v>
      </c>
    </row>
    <row r="18" spans="1:37" ht="12.95" customHeight="1">
      <c r="A18" s="6">
        <f t="shared" si="0"/>
        <v>11</v>
      </c>
      <c r="B18" s="504">
        <v>44709.416666666664</v>
      </c>
      <c r="C18" s="489">
        <f t="shared" si="1"/>
        <v>145.4</v>
      </c>
      <c r="D18" s="489">
        <v>1.454</v>
      </c>
      <c r="E18" s="464"/>
      <c r="F18" s="464">
        <f t="shared" si="2"/>
        <v>0.95399999999999996</v>
      </c>
      <c r="G18" s="464"/>
      <c r="H18" s="464"/>
      <c r="I18" s="464"/>
      <c r="L18" s="511">
        <v>11</v>
      </c>
      <c r="M18" s="508">
        <v>43609</v>
      </c>
      <c r="N18" s="509">
        <f t="array" ref="N18:AK18">TRANSPOSE(D248:D271)</f>
        <v>1.1970000000000001</v>
      </c>
      <c r="O18" s="509">
        <v>1.0580000000000001</v>
      </c>
      <c r="P18" s="509">
        <v>1.028</v>
      </c>
      <c r="Q18" s="509">
        <v>1.1000000000000001</v>
      </c>
      <c r="R18" s="509">
        <v>1.3069999999999999</v>
      </c>
      <c r="S18" s="509">
        <v>1.593</v>
      </c>
      <c r="T18" s="509">
        <v>1.8859999999999999</v>
      </c>
      <c r="U18" s="509">
        <v>2.0960000000000001</v>
      </c>
      <c r="V18" s="509">
        <v>2.2410000000000001</v>
      </c>
      <c r="W18" s="509">
        <v>2.3029999999999999</v>
      </c>
      <c r="X18" s="509">
        <v>2.2469999999999999</v>
      </c>
      <c r="Y18" s="509">
        <v>2.1240000000000001</v>
      </c>
      <c r="Z18" s="509">
        <v>1.986</v>
      </c>
      <c r="AA18" s="509">
        <v>1.8080000000000001</v>
      </c>
      <c r="AB18" s="509">
        <v>1.629</v>
      </c>
      <c r="AC18" s="509">
        <v>1.5349999999999999</v>
      </c>
      <c r="AD18" s="509">
        <v>1.502</v>
      </c>
      <c r="AE18" s="509">
        <v>1.5110000000000001</v>
      </c>
      <c r="AF18" s="509">
        <v>1.595</v>
      </c>
      <c r="AG18" s="509">
        <v>1.724</v>
      </c>
      <c r="AH18" s="509">
        <v>1.796</v>
      </c>
      <c r="AI18" s="509">
        <v>1.766</v>
      </c>
      <c r="AJ18" s="509">
        <v>1.64</v>
      </c>
      <c r="AK18" s="512">
        <v>1.4950000000000001</v>
      </c>
    </row>
    <row r="19" spans="1:37" ht="12.95" customHeight="1">
      <c r="A19" s="6">
        <f t="shared" si="0"/>
        <v>12</v>
      </c>
      <c r="B19" s="504">
        <v>44709.458333333336</v>
      </c>
      <c r="C19" s="489">
        <f t="shared" si="1"/>
        <v>135.4</v>
      </c>
      <c r="D19" s="489">
        <v>1.3540000000000001</v>
      </c>
      <c r="E19" s="464"/>
      <c r="F19" s="464">
        <f t="shared" si="2"/>
        <v>0.85400000000000009</v>
      </c>
      <c r="G19" s="464"/>
      <c r="H19" s="464"/>
      <c r="I19" s="464"/>
      <c r="L19" s="511">
        <v>12</v>
      </c>
      <c r="M19" s="508">
        <v>43610</v>
      </c>
      <c r="N19" s="509">
        <f t="array" ref="N19:AK19">TRANSPOSE(D272:D295)</f>
        <v>1.373</v>
      </c>
      <c r="O19" s="509">
        <v>1.2709999999999999</v>
      </c>
      <c r="P19" s="509">
        <v>1.234</v>
      </c>
      <c r="Q19" s="509">
        <v>1.2729999999999999</v>
      </c>
      <c r="R19" s="509">
        <v>1.3520000000000001</v>
      </c>
      <c r="S19" s="509">
        <v>1.526</v>
      </c>
      <c r="T19" s="509">
        <v>1.7390000000000001</v>
      </c>
      <c r="U19" s="509">
        <v>1.905</v>
      </c>
      <c r="V19" s="509">
        <v>2.0390000000000001</v>
      </c>
      <c r="W19" s="509">
        <v>2.0870000000000002</v>
      </c>
      <c r="X19" s="509">
        <v>2.077</v>
      </c>
      <c r="Y19" s="509">
        <v>2.036</v>
      </c>
      <c r="Z19" s="509">
        <v>1.976</v>
      </c>
      <c r="AA19" s="509">
        <v>1.873</v>
      </c>
      <c r="AB19" s="509">
        <v>1.7649999999999999</v>
      </c>
      <c r="AC19" s="509">
        <v>1.6319999999999999</v>
      </c>
      <c r="AD19" s="509">
        <v>1.5780000000000001</v>
      </c>
      <c r="AE19" s="509">
        <v>1.538</v>
      </c>
      <c r="AF19" s="509">
        <v>1.544</v>
      </c>
      <c r="AG19" s="509">
        <v>1.621</v>
      </c>
      <c r="AH19" s="509">
        <v>1.704</v>
      </c>
      <c r="AI19" s="509">
        <v>1.7210000000000001</v>
      </c>
      <c r="AJ19" s="509">
        <v>1.6930000000000001</v>
      </c>
      <c r="AK19" s="512">
        <v>1.61</v>
      </c>
    </row>
    <row r="20" spans="1:37" ht="12.95" customHeight="1">
      <c r="A20" s="6">
        <f t="shared" si="0"/>
        <v>13</v>
      </c>
      <c r="B20" s="504">
        <v>44709.5</v>
      </c>
      <c r="C20" s="489">
        <f t="shared" si="1"/>
        <v>142</v>
      </c>
      <c r="D20" s="489">
        <v>1.42</v>
      </c>
      <c r="E20" s="464"/>
      <c r="F20" s="464">
        <f t="shared" si="2"/>
        <v>0.91999999999999993</v>
      </c>
      <c r="G20" s="464"/>
      <c r="H20" s="464"/>
      <c r="I20" s="464"/>
      <c r="L20" s="511">
        <v>13</v>
      </c>
      <c r="M20" s="508">
        <v>43611</v>
      </c>
      <c r="N20" s="509">
        <f t="array" ref="N20:AK20">TRANSPOSE(D296:D319)</f>
        <v>1.496</v>
      </c>
      <c r="O20" s="509">
        <v>1.4370000000000001</v>
      </c>
      <c r="P20" s="509">
        <v>1.431</v>
      </c>
      <c r="Q20" s="509">
        <v>1.466</v>
      </c>
      <c r="R20" s="509">
        <v>1.5389999999999999</v>
      </c>
      <c r="S20" s="509">
        <v>1.6359999999999999</v>
      </c>
      <c r="T20" s="509">
        <v>1.7070000000000001</v>
      </c>
      <c r="U20" s="509">
        <v>1.7969999999999999</v>
      </c>
      <c r="V20" s="509">
        <v>1.843</v>
      </c>
      <c r="W20" s="509">
        <v>1.8740000000000001</v>
      </c>
      <c r="X20" s="509">
        <v>1.899</v>
      </c>
      <c r="Y20" s="509">
        <v>1.9239999999999999</v>
      </c>
      <c r="Z20" s="509">
        <v>1.8939999999999999</v>
      </c>
      <c r="AA20" s="509">
        <v>1.835</v>
      </c>
      <c r="AB20" s="509">
        <v>1.7889999999999999</v>
      </c>
      <c r="AC20" s="509">
        <v>1.6739999999999999</v>
      </c>
      <c r="AD20" s="509">
        <v>1.5760000000000001</v>
      </c>
      <c r="AE20" s="509">
        <v>1.5089999999999999</v>
      </c>
      <c r="AF20" s="509">
        <v>1.468</v>
      </c>
      <c r="AG20" s="509">
        <v>1.484</v>
      </c>
      <c r="AH20" s="509">
        <v>1.5269999999999999</v>
      </c>
      <c r="AI20" s="509">
        <v>1.544</v>
      </c>
      <c r="AJ20" s="509">
        <v>1.5840000000000001</v>
      </c>
      <c r="AK20" s="512">
        <v>1.569</v>
      </c>
    </row>
    <row r="21" spans="1:37" ht="12.95" customHeight="1">
      <c r="A21" s="6">
        <f t="shared" si="0"/>
        <v>14</v>
      </c>
      <c r="B21" s="504">
        <v>44709.541666666664</v>
      </c>
      <c r="C21" s="489">
        <f t="shared" si="1"/>
        <v>156.1</v>
      </c>
      <c r="D21" s="489">
        <v>1.5609999999999999</v>
      </c>
      <c r="E21" s="464"/>
      <c r="F21" s="464">
        <f t="shared" si="2"/>
        <v>1.0609999999999999</v>
      </c>
      <c r="G21" s="464"/>
      <c r="H21" s="464"/>
      <c r="I21" s="464"/>
      <c r="L21" s="511">
        <v>14</v>
      </c>
      <c r="M21" s="508">
        <v>43612</v>
      </c>
      <c r="N21" s="509">
        <f t="array" ref="N21:AK21">TRANSPOSE(D320:D343)</f>
        <v>1.62</v>
      </c>
      <c r="O21" s="509">
        <v>1.6759999999999999</v>
      </c>
      <c r="P21" s="509">
        <v>1.669</v>
      </c>
      <c r="Q21" s="509">
        <v>1.6990000000000001</v>
      </c>
      <c r="R21" s="509">
        <v>1.714</v>
      </c>
      <c r="S21" s="509">
        <v>1.714</v>
      </c>
      <c r="T21" s="509">
        <v>1.712</v>
      </c>
      <c r="U21" s="509">
        <v>1.73</v>
      </c>
      <c r="V21" s="509">
        <v>1.752</v>
      </c>
      <c r="W21" s="509">
        <v>1.7230000000000001</v>
      </c>
      <c r="X21" s="509">
        <v>1.7150000000000001</v>
      </c>
      <c r="Y21" s="509">
        <v>1.7390000000000001</v>
      </c>
      <c r="Z21" s="509">
        <v>1.7849999999999999</v>
      </c>
      <c r="AA21" s="509">
        <v>1.8220000000000001</v>
      </c>
      <c r="AB21" s="509">
        <v>1.823</v>
      </c>
      <c r="AC21" s="509">
        <v>1.766</v>
      </c>
      <c r="AD21" s="509">
        <v>1.6839999999999999</v>
      </c>
      <c r="AE21" s="509">
        <v>1.548</v>
      </c>
      <c r="AF21" s="509">
        <v>1.4219999999999999</v>
      </c>
      <c r="AG21" s="509">
        <v>1.365</v>
      </c>
      <c r="AH21" s="509">
        <v>1.373</v>
      </c>
      <c r="AI21" s="509">
        <v>1.393</v>
      </c>
      <c r="AJ21" s="509">
        <v>1.458</v>
      </c>
      <c r="AK21" s="512">
        <v>1.5609999999999999</v>
      </c>
    </row>
    <row r="22" spans="1:37" ht="12.95" customHeight="1">
      <c r="A22" s="6">
        <f>A21+1</f>
        <v>15</v>
      </c>
      <c r="B22" s="504">
        <v>44709.583333333336</v>
      </c>
      <c r="C22" s="489">
        <f t="shared" si="1"/>
        <v>173.10000000000002</v>
      </c>
      <c r="D22" s="489">
        <v>1.7310000000000001</v>
      </c>
      <c r="E22" s="464"/>
      <c r="F22" s="464">
        <f t="shared" si="2"/>
        <v>1.2310000000000001</v>
      </c>
      <c r="G22" s="464"/>
      <c r="H22" s="464"/>
      <c r="I22" s="464"/>
      <c r="L22" s="511">
        <v>15</v>
      </c>
      <c r="M22" s="508">
        <v>43613</v>
      </c>
      <c r="N22" s="509">
        <f t="array" ref="N22:AK22">TRANSPOSE(D344:D367)</f>
        <v>1.696</v>
      </c>
      <c r="O22" s="509">
        <v>1.8160000000000001</v>
      </c>
      <c r="P22" s="509">
        <v>1.903</v>
      </c>
      <c r="Q22" s="509">
        <v>1.968</v>
      </c>
      <c r="R22" s="509">
        <v>2.012</v>
      </c>
      <c r="S22" s="509">
        <v>2</v>
      </c>
      <c r="T22" s="509">
        <v>1.913</v>
      </c>
      <c r="U22" s="509">
        <v>1.82</v>
      </c>
      <c r="V22" s="509">
        <v>1.722</v>
      </c>
      <c r="W22" s="509">
        <v>1.6479999999999999</v>
      </c>
      <c r="X22" s="509">
        <v>1.6</v>
      </c>
      <c r="Y22" s="509">
        <v>1.581</v>
      </c>
      <c r="Z22" s="509">
        <v>1.6080000000000001</v>
      </c>
      <c r="AA22" s="509">
        <v>1.6639999999999999</v>
      </c>
      <c r="AB22" s="509">
        <v>1.7430000000000001</v>
      </c>
      <c r="AC22" s="509">
        <v>1.78</v>
      </c>
      <c r="AD22" s="509">
        <v>1.718</v>
      </c>
      <c r="AE22" s="509">
        <v>1.617</v>
      </c>
      <c r="AF22" s="509">
        <v>1.4930000000000001</v>
      </c>
      <c r="AG22" s="509">
        <v>1.3680000000000001</v>
      </c>
      <c r="AH22" s="509">
        <v>1.2430000000000001</v>
      </c>
      <c r="AI22" s="509">
        <v>1.198</v>
      </c>
      <c r="AJ22" s="509">
        <v>1.238</v>
      </c>
      <c r="AK22" s="512">
        <v>1.3879999999999999</v>
      </c>
    </row>
    <row r="23" spans="1:37" ht="12.95" customHeight="1">
      <c r="A23" s="6">
        <f t="shared" si="0"/>
        <v>16</v>
      </c>
      <c r="B23" s="504">
        <v>44709.625</v>
      </c>
      <c r="C23" s="489">
        <f t="shared" si="1"/>
        <v>188.9</v>
      </c>
      <c r="D23" s="489">
        <v>1.889</v>
      </c>
      <c r="E23" s="464"/>
      <c r="F23" s="464">
        <f t="shared" si="2"/>
        <v>1.389</v>
      </c>
      <c r="G23" s="464"/>
      <c r="H23" s="464"/>
      <c r="I23" s="464"/>
      <c r="L23" s="511">
        <v>16</v>
      </c>
      <c r="M23" s="508">
        <v>43614</v>
      </c>
      <c r="N23" s="509">
        <f t="array" ref="N23:AK23">TRANSPOSE(D368:D391)</f>
        <v>1.5920000000000001</v>
      </c>
      <c r="O23" s="509">
        <v>1.819</v>
      </c>
      <c r="P23" s="509">
        <v>2.048</v>
      </c>
      <c r="Q23" s="509">
        <v>2.238</v>
      </c>
      <c r="R23" s="509">
        <v>2.3479999999999999</v>
      </c>
      <c r="S23" s="509">
        <v>2.3090000000000002</v>
      </c>
      <c r="T23" s="509">
        <v>2.2000000000000002</v>
      </c>
      <c r="U23" s="509">
        <v>2.0089999999999999</v>
      </c>
      <c r="V23" s="509">
        <v>1.7969999999999999</v>
      </c>
      <c r="W23" s="509">
        <v>1.61</v>
      </c>
      <c r="X23" s="509">
        <v>1.48</v>
      </c>
      <c r="Y23" s="509">
        <v>1.4</v>
      </c>
      <c r="Z23" s="509">
        <v>1.454</v>
      </c>
      <c r="AA23" s="509">
        <v>1.516</v>
      </c>
      <c r="AB23" s="509">
        <v>1.607</v>
      </c>
      <c r="AC23" s="509">
        <v>1.69</v>
      </c>
      <c r="AD23" s="509">
        <v>1.69</v>
      </c>
      <c r="AE23" s="509">
        <v>1.619</v>
      </c>
      <c r="AF23" s="509">
        <v>1.472</v>
      </c>
      <c r="AG23" s="509">
        <v>1.3009999999999999</v>
      </c>
      <c r="AH23" s="509">
        <v>1.1259999999999999</v>
      </c>
      <c r="AI23" s="509">
        <v>1.0249999999999999</v>
      </c>
      <c r="AJ23" s="509">
        <v>1.028</v>
      </c>
      <c r="AK23" s="512">
        <v>1.153</v>
      </c>
    </row>
    <row r="24" spans="1:37" ht="12.95" customHeight="1">
      <c r="A24" s="6">
        <f t="shared" si="0"/>
        <v>17</v>
      </c>
      <c r="B24" s="504">
        <v>44709.666666666664</v>
      </c>
      <c r="C24" s="489">
        <f t="shared" si="1"/>
        <v>194.9</v>
      </c>
      <c r="D24" s="489">
        <v>1.9490000000000001</v>
      </c>
      <c r="E24" s="464"/>
      <c r="F24" s="464">
        <f t="shared" si="2"/>
        <v>1.4490000000000001</v>
      </c>
      <c r="G24" s="464"/>
      <c r="H24" s="464"/>
      <c r="I24" s="464"/>
      <c r="L24" s="511">
        <v>17</v>
      </c>
      <c r="M24" s="508">
        <v>43615</v>
      </c>
      <c r="N24" s="509">
        <f t="array" ref="N24:AK24">TRANSPOSE(D392:D415)</f>
        <v>1.409</v>
      </c>
      <c r="O24" s="509">
        <v>1.714</v>
      </c>
      <c r="P24" s="509">
        <v>2.0259999999999998</v>
      </c>
      <c r="Q24" s="509">
        <v>2.3149999999999999</v>
      </c>
      <c r="R24" s="509">
        <v>2.5209999999999999</v>
      </c>
      <c r="S24" s="509">
        <v>2.597</v>
      </c>
      <c r="T24" s="509">
        <v>2.5449999999999999</v>
      </c>
      <c r="U24" s="509">
        <v>2.3380000000000001</v>
      </c>
      <c r="V24" s="509">
        <v>2.0609999999999999</v>
      </c>
      <c r="W24" s="509">
        <v>1.756</v>
      </c>
      <c r="X24" s="509">
        <v>1.526</v>
      </c>
      <c r="Y24" s="509">
        <v>1.375</v>
      </c>
      <c r="Z24" s="509">
        <v>1.337</v>
      </c>
      <c r="AA24" s="509">
        <v>1.409</v>
      </c>
      <c r="AB24" s="509">
        <v>1.5189999999999999</v>
      </c>
      <c r="AC24" s="509">
        <v>1.613</v>
      </c>
      <c r="AD24" s="509">
        <v>1.65</v>
      </c>
      <c r="AE24" s="509">
        <v>1.5960000000000001</v>
      </c>
      <c r="AF24" s="509">
        <v>1.472</v>
      </c>
      <c r="AG24" s="509">
        <v>1.3080000000000001</v>
      </c>
      <c r="AH24" s="509">
        <v>1.1259999999999999</v>
      </c>
      <c r="AI24" s="509">
        <v>0.94399999999999995</v>
      </c>
      <c r="AJ24" s="509">
        <v>0.88400000000000001</v>
      </c>
      <c r="AK24" s="512">
        <v>0.93600000000000005</v>
      </c>
    </row>
    <row r="25" spans="1:37" ht="12.95" customHeight="1">
      <c r="A25" s="6">
        <f t="shared" si="0"/>
        <v>18</v>
      </c>
      <c r="B25" s="504">
        <v>44709.708333333336</v>
      </c>
      <c r="C25" s="489">
        <f t="shared" si="1"/>
        <v>190</v>
      </c>
      <c r="D25" s="489">
        <v>1.9</v>
      </c>
      <c r="E25" s="464"/>
      <c r="F25" s="464">
        <f t="shared" si="2"/>
        <v>1.4</v>
      </c>
      <c r="G25" s="464"/>
      <c r="H25" s="464"/>
      <c r="I25" s="464"/>
      <c r="L25" s="511">
        <v>18</v>
      </c>
      <c r="M25" s="508">
        <v>43616</v>
      </c>
      <c r="N25" s="509">
        <f t="array" ref="N25:AK25">TRANSPOSE(D416:D439)</f>
        <v>1.159</v>
      </c>
      <c r="O25" s="509">
        <v>1.49</v>
      </c>
      <c r="P25" s="509">
        <v>1.871</v>
      </c>
      <c r="Q25" s="509">
        <v>2.2570000000000001</v>
      </c>
      <c r="R25" s="509">
        <v>2.5539999999999998</v>
      </c>
      <c r="S25" s="509">
        <v>2.73</v>
      </c>
      <c r="T25" s="509">
        <v>2.7469999999999999</v>
      </c>
      <c r="U25" s="509">
        <v>2.5979999999999999</v>
      </c>
      <c r="V25" s="509">
        <v>2.319</v>
      </c>
      <c r="W25" s="509">
        <v>1.99</v>
      </c>
      <c r="X25" s="509">
        <v>1.6919999999999999</v>
      </c>
      <c r="Y25" s="509">
        <v>1.4219999999999999</v>
      </c>
      <c r="Z25" s="509">
        <v>1.2969999999999999</v>
      </c>
      <c r="AA25" s="509">
        <v>1.29</v>
      </c>
      <c r="AB25" s="509">
        <v>1.3859999999999999</v>
      </c>
      <c r="AC25" s="509">
        <v>1.4970000000000001</v>
      </c>
      <c r="AD25" s="509">
        <v>1.5780000000000001</v>
      </c>
      <c r="AE25" s="509">
        <v>1.575</v>
      </c>
      <c r="AF25" s="509">
        <v>1.4690000000000001</v>
      </c>
      <c r="AG25" s="509">
        <v>1.319</v>
      </c>
      <c r="AH25" s="509">
        <v>1.1339999999999999</v>
      </c>
      <c r="AI25" s="509">
        <v>0.94699999999999995</v>
      </c>
      <c r="AJ25" s="509">
        <v>0.78100000000000003</v>
      </c>
      <c r="AK25" s="512">
        <v>0.748</v>
      </c>
    </row>
    <row r="26" spans="1:37" ht="12.95" customHeight="1">
      <c r="A26" s="6">
        <f t="shared" si="0"/>
        <v>19</v>
      </c>
      <c r="B26" s="504">
        <v>44709.75</v>
      </c>
      <c r="C26" s="489">
        <f t="shared" si="1"/>
        <v>173.3</v>
      </c>
      <c r="D26" s="489">
        <v>1.7330000000000001</v>
      </c>
      <c r="E26" s="464"/>
      <c r="F26" s="464">
        <f t="shared" si="2"/>
        <v>1.2330000000000001</v>
      </c>
      <c r="G26" s="464"/>
      <c r="H26" s="464"/>
      <c r="I26" s="464"/>
      <c r="L26" s="511">
        <v>19</v>
      </c>
      <c r="M26" s="508">
        <v>43617</v>
      </c>
      <c r="N26" s="509">
        <f t="array" ref="N26:AK26">TRANSPOSE(D440:D463)</f>
        <v>0.88900000000000001</v>
      </c>
      <c r="O26" s="509">
        <v>1.194</v>
      </c>
      <c r="P26" s="509">
        <v>1.6140000000000001</v>
      </c>
      <c r="Q26" s="509">
        <v>2.089</v>
      </c>
      <c r="R26" s="509">
        <v>2.4740000000000002</v>
      </c>
      <c r="S26" s="509">
        <v>2.7690000000000001</v>
      </c>
      <c r="T26" s="509">
        <v>2.88</v>
      </c>
      <c r="U26" s="509">
        <v>2.8119999999999998</v>
      </c>
      <c r="V26" s="509">
        <v>2.5680000000000001</v>
      </c>
      <c r="W26" s="509">
        <v>2.2250000000000001</v>
      </c>
      <c r="X26" s="509">
        <v>1.9039999999999999</v>
      </c>
      <c r="Y26" s="509">
        <v>1.585</v>
      </c>
      <c r="Z26" s="509">
        <v>1.381</v>
      </c>
      <c r="AA26" s="509">
        <v>1.2809999999999999</v>
      </c>
      <c r="AB26" s="509">
        <v>1.2949999999999999</v>
      </c>
      <c r="AC26" s="509">
        <v>1.425</v>
      </c>
      <c r="AD26" s="509">
        <v>1.492</v>
      </c>
      <c r="AE26" s="509">
        <v>1.5589999999999999</v>
      </c>
      <c r="AF26" s="509">
        <v>1.5109999999999999</v>
      </c>
      <c r="AG26" s="509">
        <v>1.3680000000000001</v>
      </c>
      <c r="AH26" s="509">
        <v>1.19</v>
      </c>
      <c r="AI26" s="509">
        <v>1.0009999999999999</v>
      </c>
      <c r="AJ26" s="509">
        <v>0.83</v>
      </c>
      <c r="AK26" s="512">
        <v>0.65300000000000002</v>
      </c>
    </row>
    <row r="27" spans="1:37" ht="12.95" customHeight="1">
      <c r="A27" s="6">
        <f t="shared" si="0"/>
        <v>20</v>
      </c>
      <c r="B27" s="504">
        <v>44709.791666666664</v>
      </c>
      <c r="C27" s="489">
        <f t="shared" si="1"/>
        <v>155</v>
      </c>
      <c r="D27" s="489">
        <v>1.55</v>
      </c>
      <c r="E27" s="464"/>
      <c r="F27" s="464">
        <f t="shared" si="2"/>
        <v>1.05</v>
      </c>
      <c r="G27" s="464"/>
      <c r="H27" s="464"/>
      <c r="I27" s="464"/>
      <c r="L27" s="511">
        <v>20</v>
      </c>
      <c r="M27" s="508">
        <v>43618</v>
      </c>
      <c r="N27" s="509">
        <f t="array" ref="N27:AK27">TRANSPOSE(D464:D487)</f>
        <v>0.65200000000000002</v>
      </c>
      <c r="O27" s="509">
        <v>0.86799999999999999</v>
      </c>
      <c r="P27" s="509">
        <v>1.252</v>
      </c>
      <c r="Q27" s="509">
        <v>1.748</v>
      </c>
      <c r="R27" s="509">
        <v>2.2589999999999999</v>
      </c>
      <c r="S27" s="509">
        <v>2.645</v>
      </c>
      <c r="T27" s="509">
        <v>2.87</v>
      </c>
      <c r="U27" s="509">
        <v>2.8889999999999998</v>
      </c>
      <c r="V27" s="509">
        <v>2.7109999999999999</v>
      </c>
      <c r="W27" s="509">
        <v>2.4220000000000002</v>
      </c>
      <c r="X27" s="509">
        <v>2.1080000000000001</v>
      </c>
      <c r="Y27" s="509">
        <v>1.7849999999999999</v>
      </c>
      <c r="Z27" s="509">
        <v>1.55</v>
      </c>
      <c r="AA27" s="509">
        <v>1.3819999999999999</v>
      </c>
      <c r="AB27" s="509">
        <v>1.325</v>
      </c>
      <c r="AC27" s="509">
        <v>1.385</v>
      </c>
      <c r="AD27" s="509">
        <v>1.498</v>
      </c>
      <c r="AE27" s="509">
        <v>1.577</v>
      </c>
      <c r="AF27" s="509">
        <v>1.5840000000000001</v>
      </c>
      <c r="AG27" s="509">
        <v>1.4750000000000001</v>
      </c>
      <c r="AH27" s="509">
        <v>1.2949999999999999</v>
      </c>
      <c r="AI27" s="509">
        <v>1.054</v>
      </c>
      <c r="AJ27" s="509">
        <v>0.80800000000000005</v>
      </c>
      <c r="AK27" s="512">
        <v>0.626</v>
      </c>
    </row>
    <row r="28" spans="1:37" ht="12.95" customHeight="1">
      <c r="A28" s="6">
        <f t="shared" si="0"/>
        <v>21</v>
      </c>
      <c r="B28" s="504">
        <v>44709.833333333336</v>
      </c>
      <c r="C28" s="489">
        <f t="shared" si="1"/>
        <v>132.4</v>
      </c>
      <c r="D28" s="489">
        <v>1.3240000000000001</v>
      </c>
      <c r="E28" s="464"/>
      <c r="F28" s="464">
        <f t="shared" si="2"/>
        <v>0.82400000000000007</v>
      </c>
      <c r="G28" s="464"/>
      <c r="H28" s="464"/>
      <c r="I28" s="464"/>
      <c r="L28" s="511">
        <v>21</v>
      </c>
      <c r="M28" s="508">
        <v>43619</v>
      </c>
      <c r="N28" s="509">
        <f t="array" ref="N28:AK28">TRANSPOSE(D488:D511)</f>
        <v>0.56000000000000005</v>
      </c>
      <c r="O28" s="509">
        <v>0.68500000000000005</v>
      </c>
      <c r="P28" s="509">
        <v>0.95799999999999996</v>
      </c>
      <c r="Q28" s="509">
        <v>1.4259999999999999</v>
      </c>
      <c r="R28" s="509">
        <v>1.921</v>
      </c>
      <c r="S28" s="509">
        <v>2.375</v>
      </c>
      <c r="T28" s="509">
        <v>2.7250000000000001</v>
      </c>
      <c r="U28" s="509">
        <v>2.8620000000000001</v>
      </c>
      <c r="V28" s="509">
        <v>2.8149999999999999</v>
      </c>
      <c r="W28" s="509">
        <v>2.61</v>
      </c>
      <c r="X28" s="509">
        <v>2.2730000000000001</v>
      </c>
      <c r="Y28" s="509">
        <v>1.958</v>
      </c>
      <c r="Z28" s="509">
        <v>1.71</v>
      </c>
      <c r="AA28" s="509">
        <v>1.524</v>
      </c>
      <c r="AB28" s="509">
        <v>1.419</v>
      </c>
      <c r="AC28" s="509">
        <v>1.39</v>
      </c>
      <c r="AD28" s="509">
        <v>1.5049999999999999</v>
      </c>
      <c r="AE28" s="509">
        <v>1.6140000000000001</v>
      </c>
      <c r="AF28" s="509">
        <v>1.6870000000000001</v>
      </c>
      <c r="AG28" s="509">
        <v>1.621</v>
      </c>
      <c r="AH28" s="509">
        <v>1.5049999999999999</v>
      </c>
      <c r="AI28" s="509">
        <v>1.254</v>
      </c>
      <c r="AJ28" s="509">
        <v>1.012</v>
      </c>
      <c r="AK28" s="512">
        <v>0.81499999999999995</v>
      </c>
    </row>
    <row r="29" spans="1:37" ht="12.95" customHeight="1">
      <c r="A29" s="6">
        <f t="shared" si="0"/>
        <v>22</v>
      </c>
      <c r="B29" s="504">
        <v>44709.875</v>
      </c>
      <c r="C29" s="489">
        <f t="shared" si="1"/>
        <v>110.80000000000001</v>
      </c>
      <c r="D29" s="489">
        <v>1.1080000000000001</v>
      </c>
      <c r="E29" s="464"/>
      <c r="F29" s="464">
        <f t="shared" si="2"/>
        <v>0.6080000000000001</v>
      </c>
      <c r="G29" s="464"/>
      <c r="H29" s="464"/>
      <c r="I29" s="464"/>
      <c r="L29" s="511">
        <v>22</v>
      </c>
      <c r="M29" s="508">
        <v>43620</v>
      </c>
      <c r="N29" s="509">
        <f t="array" ref="N29:AK29">TRANSPOSE(D512:D535)</f>
        <v>0.68799999999999994</v>
      </c>
      <c r="O29" s="509">
        <v>0.61499999999999999</v>
      </c>
      <c r="P29" s="509">
        <v>0.77800000000000002</v>
      </c>
      <c r="Q29" s="509">
        <v>1.1100000000000001</v>
      </c>
      <c r="R29" s="509">
        <v>1.597</v>
      </c>
      <c r="S29" s="509">
        <v>2.085</v>
      </c>
      <c r="T29" s="509">
        <v>2.4660000000000002</v>
      </c>
      <c r="U29" s="509">
        <v>2.6850000000000001</v>
      </c>
      <c r="V29" s="509">
        <v>2.7040000000000002</v>
      </c>
      <c r="W29" s="509">
        <v>2.6480000000000001</v>
      </c>
      <c r="X29" s="509">
        <v>2.427</v>
      </c>
      <c r="Y29" s="509">
        <v>2.081</v>
      </c>
      <c r="Z29" s="509">
        <v>1.7889999999999999</v>
      </c>
      <c r="AA29" s="509">
        <v>1.6279999999999999</v>
      </c>
      <c r="AB29" s="509">
        <v>1.4669999999999999</v>
      </c>
      <c r="AC29" s="509">
        <v>1.4450000000000001</v>
      </c>
      <c r="AD29" s="509">
        <v>1.5149999999999999</v>
      </c>
      <c r="AE29" s="509">
        <v>1.6220000000000001</v>
      </c>
      <c r="AF29" s="509">
        <v>1.712</v>
      </c>
      <c r="AG29" s="509">
        <v>1.734</v>
      </c>
      <c r="AH29" s="509">
        <v>1.6579999999999999</v>
      </c>
      <c r="AI29" s="509">
        <v>1.5</v>
      </c>
      <c r="AJ29" s="509">
        <v>1.2909999999999999</v>
      </c>
      <c r="AK29" s="512">
        <v>1.0580000000000001</v>
      </c>
    </row>
    <row r="30" spans="1:37" ht="12.95" customHeight="1">
      <c r="A30" s="6">
        <f t="shared" si="0"/>
        <v>23</v>
      </c>
      <c r="B30" s="504">
        <v>44709.916666666664</v>
      </c>
      <c r="C30" s="489">
        <f t="shared" si="1"/>
        <v>96.899999999999991</v>
      </c>
      <c r="D30" s="489">
        <v>0.96899999999999997</v>
      </c>
      <c r="E30" s="464"/>
      <c r="F30" s="464">
        <f t="shared" si="2"/>
        <v>0.46899999999999997</v>
      </c>
      <c r="G30" s="464"/>
      <c r="H30" s="464"/>
      <c r="I30" s="464"/>
      <c r="L30" s="511">
        <v>23</v>
      </c>
      <c r="M30" s="508">
        <v>43621</v>
      </c>
      <c r="N30" s="509">
        <f t="array" ref="N30:AK30">TRANSPOSE(D536:D559)</f>
        <v>0.83399999999999996</v>
      </c>
      <c r="O30" s="509">
        <v>0.71199999999999997</v>
      </c>
      <c r="P30" s="509">
        <v>0.72799999999999998</v>
      </c>
      <c r="Q30" s="509">
        <v>0.91</v>
      </c>
      <c r="R30" s="509">
        <v>1.268</v>
      </c>
      <c r="S30" s="509">
        <v>1.7649999999999999</v>
      </c>
      <c r="T30" s="509">
        <v>2.1970000000000001</v>
      </c>
      <c r="U30" s="509">
        <v>2.532</v>
      </c>
      <c r="V30" s="509">
        <v>2.6419999999999999</v>
      </c>
      <c r="W30" s="509">
        <v>2.58</v>
      </c>
      <c r="X30" s="509">
        <v>2.4430000000000001</v>
      </c>
      <c r="Y30" s="509">
        <v>2.1709999999999998</v>
      </c>
      <c r="Z30" s="509">
        <v>1.897</v>
      </c>
      <c r="AA30" s="509">
        <v>1.6559999999999999</v>
      </c>
      <c r="AB30" s="509">
        <v>1.4790000000000001</v>
      </c>
      <c r="AC30" s="509">
        <v>1.405</v>
      </c>
      <c r="AD30" s="509">
        <v>1.4670000000000001</v>
      </c>
      <c r="AE30" s="509">
        <v>1.6080000000000001</v>
      </c>
      <c r="AF30" s="509">
        <v>1.7470000000000001</v>
      </c>
      <c r="AG30" s="509">
        <v>1.8240000000000001</v>
      </c>
      <c r="AH30" s="509">
        <v>1.821</v>
      </c>
      <c r="AI30" s="509">
        <v>1.6830000000000001</v>
      </c>
      <c r="AJ30" s="509">
        <v>1.4850000000000001</v>
      </c>
      <c r="AK30" s="512">
        <v>1.2869999999999999</v>
      </c>
    </row>
    <row r="31" spans="1:37" ht="12.95" customHeight="1">
      <c r="A31" s="7">
        <f t="shared" si="0"/>
        <v>24</v>
      </c>
      <c r="B31" s="504">
        <v>44709.958333333336</v>
      </c>
      <c r="C31" s="489">
        <f t="shared" si="1"/>
        <v>99.1</v>
      </c>
      <c r="D31" s="489">
        <v>0.99099999999999999</v>
      </c>
      <c r="E31" s="464"/>
      <c r="F31" s="464">
        <f t="shared" si="2"/>
        <v>0.49099999999999999</v>
      </c>
      <c r="G31" s="464"/>
      <c r="H31" s="464"/>
      <c r="I31" s="464"/>
      <c r="L31" s="511">
        <v>24</v>
      </c>
      <c r="M31" s="508">
        <v>43622</v>
      </c>
      <c r="N31" s="509">
        <f t="array" ref="N31:AK31">TRANSPOSE(D560:D583)</f>
        <v>1.1180000000000001</v>
      </c>
      <c r="O31" s="509">
        <v>0.93899999999999995</v>
      </c>
      <c r="P31" s="509">
        <v>0.89200000000000002</v>
      </c>
      <c r="Q31" s="509">
        <v>0.97299999999999998</v>
      </c>
      <c r="R31" s="509">
        <v>1.1859999999999999</v>
      </c>
      <c r="S31" s="509">
        <v>1.524</v>
      </c>
      <c r="T31" s="509">
        <v>1.9590000000000001</v>
      </c>
      <c r="U31" s="509">
        <v>2.3210000000000002</v>
      </c>
      <c r="V31" s="509">
        <v>2.504</v>
      </c>
      <c r="W31" s="509">
        <v>2.5009999999999999</v>
      </c>
      <c r="X31" s="509">
        <v>2.411</v>
      </c>
      <c r="Y31" s="509">
        <v>2.238</v>
      </c>
      <c r="Z31" s="509">
        <v>1.998</v>
      </c>
      <c r="AA31" s="509">
        <v>1.766</v>
      </c>
      <c r="AB31" s="509">
        <v>1.55</v>
      </c>
      <c r="AC31" s="509">
        <v>1.407</v>
      </c>
      <c r="AD31" s="509">
        <v>1.4139999999999999</v>
      </c>
      <c r="AE31" s="509">
        <v>1.5449999999999999</v>
      </c>
      <c r="AF31" s="509">
        <v>1.7</v>
      </c>
      <c r="AG31" s="509">
        <v>1.8169999999999999</v>
      </c>
      <c r="AH31" s="509">
        <v>1.881</v>
      </c>
      <c r="AI31" s="509">
        <v>1.8440000000000001</v>
      </c>
      <c r="AJ31" s="509">
        <v>1.7190000000000001</v>
      </c>
      <c r="AK31" s="512">
        <v>1.5369999999999999</v>
      </c>
    </row>
    <row r="32" spans="1:37" ht="12.95" customHeight="1">
      <c r="A32" s="8">
        <f t="shared" si="0"/>
        <v>25</v>
      </c>
      <c r="B32" s="504">
        <v>44710</v>
      </c>
      <c r="C32" s="489">
        <f t="shared" si="1"/>
        <v>113.79999999999998</v>
      </c>
      <c r="D32" s="489">
        <v>1.1379999999999999</v>
      </c>
      <c r="E32" s="464"/>
      <c r="F32" s="464">
        <f t="shared" si="2"/>
        <v>0.6379999999999999</v>
      </c>
      <c r="G32" s="464"/>
      <c r="H32" s="464"/>
      <c r="I32" s="464"/>
      <c r="L32" s="511">
        <v>25</v>
      </c>
      <c r="M32" s="508">
        <v>43623</v>
      </c>
      <c r="N32" s="509">
        <f t="array" ref="N32:AK32">TRANSPOSE(D584:D607)</f>
        <v>1.349</v>
      </c>
      <c r="O32" s="509">
        <v>1.2190000000000001</v>
      </c>
      <c r="P32" s="509">
        <v>1.1160000000000001</v>
      </c>
      <c r="Q32" s="509">
        <v>1.139</v>
      </c>
      <c r="R32" s="509">
        <v>1.22</v>
      </c>
      <c r="S32" s="509">
        <v>1.4350000000000001</v>
      </c>
      <c r="T32" s="509">
        <v>1.768</v>
      </c>
      <c r="U32" s="509">
        <v>2.0880000000000001</v>
      </c>
      <c r="V32" s="509">
        <v>2.3029999999999999</v>
      </c>
      <c r="W32" s="509">
        <v>2.379</v>
      </c>
      <c r="X32" s="509">
        <v>2.3380000000000001</v>
      </c>
      <c r="Y32" s="509">
        <v>2.2210000000000001</v>
      </c>
      <c r="Z32" s="509">
        <v>2.0419999999999998</v>
      </c>
      <c r="AA32" s="509">
        <v>1.849</v>
      </c>
      <c r="AB32" s="509">
        <v>1.6140000000000001</v>
      </c>
      <c r="AC32" s="509">
        <v>1.425</v>
      </c>
      <c r="AD32" s="509">
        <v>1.379</v>
      </c>
      <c r="AE32" s="509">
        <v>1.431</v>
      </c>
      <c r="AF32" s="509">
        <v>1.524</v>
      </c>
      <c r="AG32" s="509">
        <v>1.6759999999999999</v>
      </c>
      <c r="AH32" s="509">
        <v>1.78</v>
      </c>
      <c r="AI32" s="509">
        <v>1.831</v>
      </c>
      <c r="AJ32" s="509">
        <v>1.81</v>
      </c>
      <c r="AK32" s="512">
        <v>1.679</v>
      </c>
    </row>
    <row r="33" spans="1:37" ht="12.95" customHeight="1">
      <c r="A33" s="9">
        <f t="shared" si="0"/>
        <v>26</v>
      </c>
      <c r="B33" s="504">
        <v>44710.041666666664</v>
      </c>
      <c r="C33" s="489">
        <f t="shared" si="1"/>
        <v>143.9</v>
      </c>
      <c r="D33" s="489">
        <v>1.4390000000000001</v>
      </c>
      <c r="E33" s="464"/>
      <c r="F33" s="464">
        <f t="shared" si="2"/>
        <v>0.93900000000000006</v>
      </c>
      <c r="G33" s="464"/>
      <c r="H33" s="464"/>
      <c r="I33" s="464"/>
      <c r="L33" s="511">
        <v>26</v>
      </c>
      <c r="M33" s="508">
        <v>43624</v>
      </c>
      <c r="N33" s="509">
        <f t="array" ref="N33:AK33">TRANSPOSE(D608:D631)</f>
        <v>1.569</v>
      </c>
      <c r="O33" s="509">
        <v>1.4330000000000001</v>
      </c>
      <c r="P33" s="509">
        <v>1.3380000000000001</v>
      </c>
      <c r="Q33" s="509">
        <v>1.34</v>
      </c>
      <c r="R33" s="509">
        <v>1.381</v>
      </c>
      <c r="S33" s="509">
        <v>1.4670000000000001</v>
      </c>
      <c r="T33" s="509">
        <v>1.657</v>
      </c>
      <c r="U33" s="509">
        <v>1.9119999999999999</v>
      </c>
      <c r="V33" s="509">
        <v>2.0870000000000002</v>
      </c>
      <c r="W33" s="509">
        <v>2.1850000000000001</v>
      </c>
      <c r="X33" s="509">
        <v>2.2189999999999999</v>
      </c>
      <c r="Y33" s="509">
        <v>2.17</v>
      </c>
      <c r="Z33" s="509">
        <v>2.0569999999999999</v>
      </c>
      <c r="AA33" s="509">
        <v>1.855</v>
      </c>
      <c r="AB33" s="509">
        <v>1.653</v>
      </c>
      <c r="AC33" s="509">
        <v>1.464</v>
      </c>
      <c r="AD33" s="509">
        <v>1.3340000000000001</v>
      </c>
      <c r="AE33" s="509">
        <v>1.2789999999999999</v>
      </c>
      <c r="AF33" s="509">
        <v>1.337</v>
      </c>
      <c r="AG33" s="509">
        <v>1.429</v>
      </c>
      <c r="AH33" s="509">
        <v>1.54</v>
      </c>
      <c r="AI33" s="509">
        <v>1.6439999999999999</v>
      </c>
      <c r="AJ33" s="509">
        <v>1.7609999999999999</v>
      </c>
      <c r="AK33" s="512">
        <v>1.796</v>
      </c>
    </row>
    <row r="34" spans="1:37" ht="12.95" customHeight="1">
      <c r="A34" s="9">
        <f t="shared" si="0"/>
        <v>27</v>
      </c>
      <c r="B34" s="504">
        <v>44710.083333333336</v>
      </c>
      <c r="C34" s="489">
        <f t="shared" si="1"/>
        <v>184.7</v>
      </c>
      <c r="D34" s="489">
        <v>1.847</v>
      </c>
      <c r="E34" s="464"/>
      <c r="F34" s="464">
        <f t="shared" si="2"/>
        <v>1.347</v>
      </c>
      <c r="G34" s="464"/>
      <c r="H34" s="464"/>
      <c r="I34" s="464"/>
      <c r="L34" s="511">
        <v>27</v>
      </c>
      <c r="M34" s="508">
        <v>43625</v>
      </c>
      <c r="N34" s="509">
        <f t="array" ref="N34:AK34">TRANSPOSE(D632:D655)</f>
        <v>1.79</v>
      </c>
      <c r="O34" s="509">
        <v>1.724</v>
      </c>
      <c r="P34" s="509">
        <v>1.617</v>
      </c>
      <c r="Q34" s="509">
        <v>1.5660000000000001</v>
      </c>
      <c r="R34" s="509">
        <v>1.532</v>
      </c>
      <c r="S34" s="509">
        <v>1.5680000000000001</v>
      </c>
      <c r="T34" s="509">
        <v>1.665</v>
      </c>
      <c r="U34" s="509">
        <v>1.784</v>
      </c>
      <c r="V34" s="509">
        <v>1.9379999999999999</v>
      </c>
      <c r="W34" s="509">
        <v>1.9730000000000001</v>
      </c>
      <c r="X34" s="509">
        <v>1.97</v>
      </c>
      <c r="Y34" s="509">
        <v>1.944</v>
      </c>
      <c r="Z34" s="509">
        <v>1.8240000000000001</v>
      </c>
      <c r="AA34" s="509">
        <v>1.7350000000000001</v>
      </c>
      <c r="AB34" s="509">
        <v>1.637</v>
      </c>
      <c r="AC34" s="509">
        <v>1.4810000000000001</v>
      </c>
      <c r="AD34" s="509">
        <v>1.3320000000000001</v>
      </c>
      <c r="AE34" s="509">
        <v>1.2470000000000001</v>
      </c>
      <c r="AF34" s="509">
        <v>1.196</v>
      </c>
      <c r="AG34" s="509">
        <v>1.214</v>
      </c>
      <c r="AH34" s="509">
        <v>1.3180000000000001</v>
      </c>
      <c r="AI34" s="509">
        <v>1.466</v>
      </c>
      <c r="AJ34" s="509">
        <v>1.6</v>
      </c>
      <c r="AK34" s="512">
        <v>1.6990000000000001</v>
      </c>
    </row>
    <row r="35" spans="1:37" ht="12.95" customHeight="1">
      <c r="A35" s="9">
        <f t="shared" si="0"/>
        <v>28</v>
      </c>
      <c r="B35" s="504">
        <v>44710.125</v>
      </c>
      <c r="C35" s="489">
        <f t="shared" si="1"/>
        <v>222.29999999999998</v>
      </c>
      <c r="D35" s="489">
        <v>2.2229999999999999</v>
      </c>
      <c r="E35" s="464"/>
      <c r="F35" s="464">
        <f t="shared" si="2"/>
        <v>1.7229999999999999</v>
      </c>
      <c r="G35" s="464"/>
      <c r="H35" s="464"/>
      <c r="I35" s="464"/>
      <c r="L35" s="511">
        <v>28</v>
      </c>
      <c r="M35" s="508">
        <v>43626</v>
      </c>
      <c r="N35" s="509">
        <f t="array" ref="N35:AK35">TRANSPOSE(D656:D679)</f>
        <v>1.77</v>
      </c>
      <c r="O35" s="509">
        <v>1.8049999999999999</v>
      </c>
      <c r="P35" s="509">
        <v>1.829</v>
      </c>
      <c r="Q35" s="509">
        <v>1.8260000000000001</v>
      </c>
      <c r="R35" s="509">
        <v>1.788</v>
      </c>
      <c r="S35" s="509">
        <v>1.7370000000000001</v>
      </c>
      <c r="T35" s="509">
        <v>1.6970000000000001</v>
      </c>
      <c r="U35" s="509">
        <v>1.728</v>
      </c>
      <c r="V35" s="509">
        <v>1.756</v>
      </c>
      <c r="W35" s="509">
        <v>1.8</v>
      </c>
      <c r="X35" s="509">
        <v>1.831</v>
      </c>
      <c r="Y35" s="509">
        <v>1.8089999999999999</v>
      </c>
      <c r="Z35" s="509">
        <v>1.76</v>
      </c>
      <c r="AA35" s="509">
        <v>1.7090000000000001</v>
      </c>
      <c r="AB35" s="509">
        <v>1.617</v>
      </c>
      <c r="AC35" s="509">
        <v>1.524</v>
      </c>
      <c r="AD35" s="509">
        <v>1.419</v>
      </c>
      <c r="AE35" s="509">
        <v>1.3140000000000001</v>
      </c>
      <c r="AF35" s="509">
        <v>1.2210000000000001</v>
      </c>
      <c r="AG35" s="509">
        <v>1.171</v>
      </c>
      <c r="AH35" s="509">
        <v>1.149</v>
      </c>
      <c r="AI35" s="509">
        <v>1.244</v>
      </c>
      <c r="AJ35" s="509">
        <v>1.385</v>
      </c>
      <c r="AK35" s="512">
        <v>1.5669999999999999</v>
      </c>
    </row>
    <row r="36" spans="1:37" ht="12.95" customHeight="1">
      <c r="A36" s="9">
        <f t="shared" si="0"/>
        <v>29</v>
      </c>
      <c r="B36" s="504">
        <v>44710.166666666664</v>
      </c>
      <c r="C36" s="489">
        <f t="shared" si="1"/>
        <v>249.10000000000002</v>
      </c>
      <c r="D36" s="489">
        <v>2.4910000000000001</v>
      </c>
      <c r="E36" s="464"/>
      <c r="F36" s="464">
        <f t="shared" si="2"/>
        <v>1.9910000000000001</v>
      </c>
      <c r="G36" s="464"/>
      <c r="H36" s="464"/>
      <c r="I36" s="464"/>
      <c r="L36" s="511">
        <v>29</v>
      </c>
      <c r="M36" s="508">
        <v>43627</v>
      </c>
      <c r="N36" s="509">
        <f t="array" ref="N36:AK36">TRANSPOSE(D680:D703)</f>
        <v>1.7190000000000001</v>
      </c>
      <c r="O36" s="509">
        <v>1.887</v>
      </c>
      <c r="P36" s="509">
        <v>2.0070000000000001</v>
      </c>
      <c r="Q36" s="509">
        <v>2.0529999999999999</v>
      </c>
      <c r="R36" s="509">
        <v>2.0379999999999998</v>
      </c>
      <c r="S36" s="509">
        <v>1.972</v>
      </c>
      <c r="T36" s="509">
        <v>1.92</v>
      </c>
      <c r="U36" s="509">
        <v>1.847</v>
      </c>
      <c r="V36" s="509">
        <v>1.7569999999999999</v>
      </c>
      <c r="W36" s="509">
        <v>1.6839999999999999</v>
      </c>
      <c r="X36" s="509">
        <v>1.635</v>
      </c>
      <c r="Y36" s="509">
        <v>1.6539999999999999</v>
      </c>
      <c r="Z36" s="509">
        <v>1.6679999999999999</v>
      </c>
      <c r="AA36" s="509">
        <v>1.6719999999999999</v>
      </c>
      <c r="AB36" s="509">
        <v>1.6679999999999999</v>
      </c>
      <c r="AC36" s="509">
        <v>1.5880000000000001</v>
      </c>
      <c r="AD36" s="509">
        <v>1.4950000000000001</v>
      </c>
      <c r="AE36" s="509">
        <v>1.399</v>
      </c>
      <c r="AF36" s="509">
        <v>1.262</v>
      </c>
      <c r="AG36" s="509">
        <v>1.1439999999999999</v>
      </c>
      <c r="AH36" s="509">
        <v>1.1140000000000001</v>
      </c>
      <c r="AI36" s="509">
        <v>1.1299999999999999</v>
      </c>
      <c r="AJ36" s="509">
        <v>1.204</v>
      </c>
      <c r="AK36" s="512">
        <v>1.35</v>
      </c>
    </row>
    <row r="37" spans="1:37" ht="12.95" customHeight="1" thickBot="1">
      <c r="A37" s="9">
        <f t="shared" si="0"/>
        <v>30</v>
      </c>
      <c r="B37" s="504">
        <v>44710.208333333336</v>
      </c>
      <c r="C37" s="489">
        <f t="shared" si="1"/>
        <v>258.10000000000002</v>
      </c>
      <c r="D37" s="489">
        <v>2.581</v>
      </c>
      <c r="E37" s="464"/>
      <c r="F37" s="464">
        <f t="shared" si="2"/>
        <v>2.081</v>
      </c>
      <c r="G37" s="464"/>
      <c r="H37" s="464"/>
      <c r="I37" s="464"/>
      <c r="L37" s="513">
        <v>30</v>
      </c>
      <c r="M37" s="514">
        <v>43628</v>
      </c>
      <c r="N37" s="515">
        <f t="array" ref="N37:AK37">TRANSPOSE(D704:D727)</f>
        <v>1.5640000000000001</v>
      </c>
      <c r="O37" s="515">
        <v>1.8120000000000001</v>
      </c>
      <c r="P37" s="515">
        <v>2.0379999999999998</v>
      </c>
      <c r="Q37" s="515">
        <v>2.1909999999999998</v>
      </c>
      <c r="R37" s="515">
        <v>2.2509999999999999</v>
      </c>
      <c r="S37" s="515">
        <v>2.2330000000000001</v>
      </c>
      <c r="T37" s="515">
        <v>2.145</v>
      </c>
      <c r="U37" s="515">
        <v>2.0009999999999999</v>
      </c>
      <c r="V37" s="515">
        <v>1.8120000000000001</v>
      </c>
      <c r="W37" s="515">
        <v>1.653</v>
      </c>
      <c r="X37" s="515">
        <v>1.5529999999999999</v>
      </c>
      <c r="Y37" s="515">
        <v>1.5029999999999999</v>
      </c>
      <c r="Z37" s="515">
        <v>1.5109999999999999</v>
      </c>
      <c r="AA37" s="515">
        <v>1.57</v>
      </c>
      <c r="AB37" s="515">
        <v>1.5615000000000001</v>
      </c>
      <c r="AC37" s="515">
        <v>1.5529999999999999</v>
      </c>
      <c r="AD37" s="515">
        <v>1.4830000000000001</v>
      </c>
      <c r="AE37" s="515">
        <v>1.42</v>
      </c>
      <c r="AF37" s="515">
        <v>1.3109999999999999</v>
      </c>
      <c r="AG37" s="515">
        <v>1.22</v>
      </c>
      <c r="AH37" s="515">
        <v>1.1080000000000001</v>
      </c>
      <c r="AI37" s="515">
        <v>1.0449999999999999</v>
      </c>
      <c r="AJ37" s="515">
        <v>1.0089999999999999</v>
      </c>
      <c r="AK37" s="516">
        <v>1.109</v>
      </c>
    </row>
    <row r="38" spans="1:37" ht="12.95" customHeight="1">
      <c r="A38" s="9">
        <f t="shared" si="0"/>
        <v>31</v>
      </c>
      <c r="B38" s="504">
        <v>44710.25</v>
      </c>
      <c r="C38" s="489">
        <f t="shared" si="1"/>
        <v>251.9</v>
      </c>
      <c r="D38" s="489">
        <v>2.5190000000000001</v>
      </c>
      <c r="E38" s="464"/>
      <c r="F38" s="464">
        <f t="shared" si="2"/>
        <v>2.0190000000000001</v>
      </c>
      <c r="G38" s="464"/>
      <c r="H38" s="464"/>
      <c r="I38" s="464"/>
      <c r="M38" s="476"/>
    </row>
    <row r="39" spans="1:37" ht="12.95" customHeight="1">
      <c r="A39" s="9">
        <f t="shared" si="0"/>
        <v>32</v>
      </c>
      <c r="B39" s="504">
        <v>44710.291666666664</v>
      </c>
      <c r="C39" s="489">
        <f t="shared" si="1"/>
        <v>232.6</v>
      </c>
      <c r="D39" s="489">
        <v>2.3260000000000001</v>
      </c>
      <c r="E39" s="464"/>
      <c r="F39" s="464">
        <f t="shared" si="2"/>
        <v>1.8260000000000001</v>
      </c>
      <c r="G39" s="464"/>
      <c r="H39" s="464"/>
      <c r="I39" s="464"/>
      <c r="M39" s="476"/>
    </row>
    <row r="40" spans="1:37" ht="12.95" customHeight="1">
      <c r="A40" s="9">
        <f t="shared" si="0"/>
        <v>33</v>
      </c>
      <c r="B40" s="504">
        <v>44710.333333333336</v>
      </c>
      <c r="C40" s="489">
        <f t="shared" si="1"/>
        <v>202.4</v>
      </c>
      <c r="D40" s="489">
        <v>2.024</v>
      </c>
      <c r="E40" s="464"/>
      <c r="F40" s="464">
        <f t="shared" si="2"/>
        <v>1.524</v>
      </c>
      <c r="G40" s="464"/>
      <c r="H40" s="464"/>
      <c r="I40" s="464"/>
      <c r="M40" s="476"/>
    </row>
    <row r="41" spans="1:37" ht="12.95" customHeight="1">
      <c r="A41" s="9">
        <f t="shared" si="0"/>
        <v>34</v>
      </c>
      <c r="B41" s="504">
        <v>44710.375</v>
      </c>
      <c r="C41" s="489">
        <f t="shared" si="1"/>
        <v>171.9</v>
      </c>
      <c r="D41" s="489">
        <v>1.7190000000000001</v>
      </c>
      <c r="E41" s="464"/>
      <c r="F41" s="464">
        <f t="shared" si="2"/>
        <v>1.2190000000000001</v>
      </c>
      <c r="G41" s="464"/>
      <c r="H41" s="464"/>
      <c r="I41" s="464"/>
      <c r="M41" s="476"/>
    </row>
    <row r="42" spans="1:37" ht="12.95" customHeight="1">
      <c r="A42" s="9">
        <f t="shared" si="0"/>
        <v>35</v>
      </c>
      <c r="B42" s="504">
        <v>44710.416666666664</v>
      </c>
      <c r="C42" s="489">
        <f t="shared" si="1"/>
        <v>144.1</v>
      </c>
      <c r="D42" s="489">
        <v>1.4410000000000001</v>
      </c>
      <c r="E42" s="464"/>
      <c r="F42" s="464">
        <f t="shared" si="2"/>
        <v>0.94100000000000006</v>
      </c>
      <c r="G42" s="464"/>
      <c r="H42" s="464"/>
      <c r="I42" s="464"/>
      <c r="M42" s="476"/>
    </row>
    <row r="43" spans="1:37" ht="12.95" customHeight="1">
      <c r="A43" s="9">
        <f t="shared" si="0"/>
        <v>36</v>
      </c>
      <c r="B43" s="504">
        <v>44710.458333333336</v>
      </c>
      <c r="C43" s="489">
        <f t="shared" si="1"/>
        <v>125.29999999999998</v>
      </c>
      <c r="D43" s="489">
        <v>1.2529999999999999</v>
      </c>
      <c r="E43" s="464"/>
      <c r="F43" s="464">
        <f t="shared" si="2"/>
        <v>0.75299999999999989</v>
      </c>
      <c r="G43" s="464"/>
      <c r="H43" s="464"/>
      <c r="I43" s="464"/>
    </row>
    <row r="44" spans="1:37" ht="12.95" customHeight="1">
      <c r="A44" s="9">
        <f t="shared" si="0"/>
        <v>37</v>
      </c>
      <c r="B44" s="504">
        <v>44710.5</v>
      </c>
      <c r="C44" s="489">
        <f t="shared" si="1"/>
        <v>123.2</v>
      </c>
      <c r="D44" s="489">
        <v>1.232</v>
      </c>
      <c r="E44" s="464"/>
      <c r="F44" s="464">
        <f t="shared" si="2"/>
        <v>0.73199999999999998</v>
      </c>
      <c r="G44" s="464"/>
      <c r="H44" s="464"/>
      <c r="I44" s="464"/>
    </row>
    <row r="45" spans="1:37" ht="12.95" customHeight="1">
      <c r="A45" s="9">
        <f t="shared" si="0"/>
        <v>38</v>
      </c>
      <c r="B45" s="504">
        <v>44710.541666666664</v>
      </c>
      <c r="C45" s="489">
        <f t="shared" si="1"/>
        <v>133.20000000000002</v>
      </c>
      <c r="D45" s="489">
        <v>1.3320000000000001</v>
      </c>
      <c r="E45" s="464"/>
      <c r="F45" s="464">
        <f t="shared" si="2"/>
        <v>0.83200000000000007</v>
      </c>
      <c r="G45" s="464"/>
      <c r="H45" s="464"/>
      <c r="I45" s="464"/>
      <c r="AA45" s="504"/>
    </row>
    <row r="46" spans="1:37" ht="12.95" customHeight="1">
      <c r="A46" s="9">
        <f t="shared" si="0"/>
        <v>39</v>
      </c>
      <c r="B46" s="504">
        <v>44710.583333333336</v>
      </c>
      <c r="C46" s="489">
        <f t="shared" si="1"/>
        <v>150</v>
      </c>
      <c r="D46" s="489">
        <v>1.5</v>
      </c>
      <c r="E46" s="464"/>
      <c r="F46" s="464">
        <f t="shared" si="2"/>
        <v>1</v>
      </c>
      <c r="G46" s="464"/>
      <c r="H46" s="464"/>
      <c r="I46" s="464"/>
      <c r="AA46" s="504"/>
    </row>
    <row r="47" spans="1:37" ht="12.95" customHeight="1">
      <c r="A47" s="9">
        <f t="shared" si="0"/>
        <v>40</v>
      </c>
      <c r="B47" s="504">
        <v>44710.625</v>
      </c>
      <c r="C47" s="489">
        <f t="shared" si="1"/>
        <v>169.3</v>
      </c>
      <c r="D47" s="489">
        <v>1.6930000000000001</v>
      </c>
      <c r="E47" s="464"/>
      <c r="F47" s="464">
        <f t="shared" si="2"/>
        <v>1.1930000000000001</v>
      </c>
      <c r="G47" s="464"/>
      <c r="H47" s="464"/>
      <c r="I47" s="464"/>
    </row>
    <row r="48" spans="1:37" ht="12.95" customHeight="1">
      <c r="A48" s="9">
        <f t="shared" si="0"/>
        <v>41</v>
      </c>
      <c r="B48" s="504">
        <v>44710.666666666664</v>
      </c>
      <c r="C48" s="489">
        <f t="shared" si="1"/>
        <v>183.29999999999998</v>
      </c>
      <c r="D48" s="489">
        <v>1.833</v>
      </c>
      <c r="E48" s="464"/>
      <c r="F48" s="464">
        <f t="shared" si="2"/>
        <v>1.333</v>
      </c>
      <c r="G48" s="464"/>
      <c r="H48" s="464"/>
      <c r="I48" s="464"/>
    </row>
    <row r="49" spans="1:9" ht="12.95" customHeight="1">
      <c r="A49" s="9">
        <f t="shared" si="0"/>
        <v>42</v>
      </c>
      <c r="B49" s="504">
        <v>44710.708333333336</v>
      </c>
      <c r="C49" s="489">
        <f t="shared" si="1"/>
        <v>184</v>
      </c>
      <c r="D49" s="489">
        <v>1.84</v>
      </c>
      <c r="E49" s="464"/>
      <c r="F49" s="464">
        <f t="shared" si="2"/>
        <v>1.34</v>
      </c>
      <c r="G49" s="464"/>
      <c r="H49" s="464"/>
      <c r="I49" s="464"/>
    </row>
    <row r="50" spans="1:9" ht="12.95" customHeight="1">
      <c r="A50" s="9">
        <f t="shared" si="0"/>
        <v>43</v>
      </c>
      <c r="B50" s="504">
        <v>44710.75</v>
      </c>
      <c r="C50" s="489">
        <f t="shared" si="1"/>
        <v>174.2</v>
      </c>
      <c r="D50" s="489">
        <v>1.742</v>
      </c>
      <c r="E50" s="464"/>
      <c r="F50" s="464">
        <f t="shared" si="2"/>
        <v>1.242</v>
      </c>
      <c r="G50" s="464"/>
      <c r="H50" s="464"/>
      <c r="I50" s="464"/>
    </row>
    <row r="51" spans="1:9" ht="12.95" customHeight="1">
      <c r="A51" s="9">
        <f t="shared" si="0"/>
        <v>44</v>
      </c>
      <c r="B51" s="504">
        <v>44710.791666666664</v>
      </c>
      <c r="C51" s="489">
        <f t="shared" si="1"/>
        <v>158.29999999999998</v>
      </c>
      <c r="D51" s="489">
        <v>1.583</v>
      </c>
      <c r="E51" s="464"/>
      <c r="F51" s="464">
        <f t="shared" si="2"/>
        <v>1.083</v>
      </c>
      <c r="G51" s="464"/>
      <c r="H51" s="464"/>
      <c r="I51" s="464"/>
    </row>
    <row r="52" spans="1:9" ht="12.95" customHeight="1">
      <c r="A52" s="9">
        <f t="shared" si="0"/>
        <v>45</v>
      </c>
      <c r="B52" s="504">
        <v>44710.833333333336</v>
      </c>
      <c r="C52" s="489">
        <f t="shared" si="1"/>
        <v>133.20000000000002</v>
      </c>
      <c r="D52" s="489">
        <v>1.3320000000000001</v>
      </c>
      <c r="E52" s="464"/>
      <c r="F52" s="464">
        <f t="shared" si="2"/>
        <v>0.83200000000000007</v>
      </c>
      <c r="G52" s="464"/>
      <c r="H52" s="464"/>
      <c r="I52" s="464"/>
    </row>
    <row r="53" spans="1:9" ht="12.95" customHeight="1">
      <c r="A53" s="9">
        <f t="shared" si="0"/>
        <v>46</v>
      </c>
      <c r="B53" s="504">
        <v>44710.875</v>
      </c>
      <c r="C53" s="489">
        <f t="shared" si="1"/>
        <v>106.69999999999999</v>
      </c>
      <c r="D53" s="489">
        <v>1.0669999999999999</v>
      </c>
      <c r="E53" s="464"/>
      <c r="F53" s="464">
        <f t="shared" si="2"/>
        <v>0.56699999999999995</v>
      </c>
      <c r="G53" s="464"/>
      <c r="H53" s="464"/>
      <c r="I53" s="464"/>
    </row>
    <row r="54" spans="1:9" ht="12.95" customHeight="1">
      <c r="A54" s="9">
        <f t="shared" si="0"/>
        <v>47</v>
      </c>
      <c r="B54" s="504">
        <v>44710.916666666664</v>
      </c>
      <c r="C54" s="489">
        <f t="shared" si="1"/>
        <v>81.3</v>
      </c>
      <c r="D54" s="489">
        <v>0.81299999999999994</v>
      </c>
      <c r="E54" s="464"/>
      <c r="F54" s="464">
        <f t="shared" si="2"/>
        <v>0.31299999999999994</v>
      </c>
      <c r="G54" s="464"/>
      <c r="H54" s="464"/>
      <c r="I54" s="464"/>
    </row>
    <row r="55" spans="1:9" ht="12.95" customHeight="1">
      <c r="A55" s="10">
        <f t="shared" si="0"/>
        <v>48</v>
      </c>
      <c r="B55" s="504">
        <v>44710.958333333336</v>
      </c>
      <c r="C55" s="489">
        <f t="shared" si="1"/>
        <v>75.400000000000006</v>
      </c>
      <c r="D55" s="489">
        <v>0.754</v>
      </c>
      <c r="E55" s="464"/>
      <c r="F55" s="464">
        <f t="shared" si="2"/>
        <v>0.254</v>
      </c>
      <c r="G55" s="464"/>
      <c r="H55" s="464"/>
      <c r="I55" s="464"/>
    </row>
    <row r="56" spans="1:9" ht="12.95" customHeight="1">
      <c r="A56" s="5">
        <f t="shared" si="0"/>
        <v>49</v>
      </c>
      <c r="B56" s="504">
        <v>44711</v>
      </c>
      <c r="C56" s="489">
        <f t="shared" si="1"/>
        <v>90.600000000000009</v>
      </c>
      <c r="D56" s="489">
        <v>0.90600000000000003</v>
      </c>
      <c r="E56" s="464"/>
      <c r="F56" s="464">
        <f t="shared" si="2"/>
        <v>0.40600000000000003</v>
      </c>
      <c r="G56" s="464"/>
      <c r="H56" s="464"/>
      <c r="I56" s="464"/>
    </row>
    <row r="57" spans="1:9" ht="12.95" customHeight="1">
      <c r="A57" s="6">
        <f t="shared" si="0"/>
        <v>50</v>
      </c>
      <c r="B57" s="504">
        <v>44711.041666666664</v>
      </c>
      <c r="C57" s="489">
        <f t="shared" si="1"/>
        <v>123.10000000000001</v>
      </c>
      <c r="D57" s="489">
        <v>1.2310000000000001</v>
      </c>
      <c r="E57" s="464"/>
      <c r="F57" s="464">
        <f t="shared" si="2"/>
        <v>0.73100000000000009</v>
      </c>
      <c r="G57" s="464"/>
      <c r="H57" s="464"/>
      <c r="I57" s="464"/>
    </row>
    <row r="58" spans="1:9" ht="12.95" customHeight="1">
      <c r="A58" s="6">
        <f t="shared" si="0"/>
        <v>51</v>
      </c>
      <c r="B58" s="504">
        <v>44711.083333333336</v>
      </c>
      <c r="C58" s="489">
        <f t="shared" si="1"/>
        <v>162.69999999999999</v>
      </c>
      <c r="D58" s="489">
        <v>1.627</v>
      </c>
      <c r="E58" s="464"/>
      <c r="F58" s="464">
        <f t="shared" si="2"/>
        <v>1.127</v>
      </c>
      <c r="G58" s="464"/>
      <c r="H58" s="464"/>
      <c r="I58" s="464"/>
    </row>
    <row r="59" spans="1:9" ht="12.95" customHeight="1">
      <c r="A59" s="6">
        <f t="shared" si="0"/>
        <v>52</v>
      </c>
      <c r="B59" s="504">
        <v>44711.125</v>
      </c>
      <c r="C59" s="489">
        <f t="shared" si="1"/>
        <v>205.50000000000003</v>
      </c>
      <c r="D59" s="489">
        <v>2.0550000000000002</v>
      </c>
      <c r="E59" s="464"/>
      <c r="F59" s="464">
        <f t="shared" si="2"/>
        <v>1.5550000000000002</v>
      </c>
      <c r="G59" s="464"/>
      <c r="H59" s="464"/>
      <c r="I59" s="464"/>
    </row>
    <row r="60" spans="1:9" ht="12.95" customHeight="1">
      <c r="A60" s="6">
        <f t="shared" si="0"/>
        <v>53</v>
      </c>
      <c r="B60" s="504">
        <v>44711.166666666664</v>
      </c>
      <c r="C60" s="489">
        <f t="shared" si="1"/>
        <v>245.6</v>
      </c>
      <c r="D60" s="489">
        <v>2.456</v>
      </c>
      <c r="E60" s="464"/>
      <c r="F60" s="464">
        <f t="shared" si="2"/>
        <v>1.956</v>
      </c>
      <c r="G60" s="464"/>
      <c r="H60" s="464"/>
      <c r="I60" s="464"/>
    </row>
    <row r="61" spans="1:9" ht="12.95" customHeight="1">
      <c r="A61" s="6">
        <f t="shared" si="0"/>
        <v>54</v>
      </c>
      <c r="B61" s="504">
        <v>44711.208333333336</v>
      </c>
      <c r="C61" s="489">
        <f t="shared" si="1"/>
        <v>271.39999999999998</v>
      </c>
      <c r="D61" s="489">
        <v>2.714</v>
      </c>
      <c r="E61" s="464"/>
      <c r="F61" s="464">
        <f t="shared" si="2"/>
        <v>2.214</v>
      </c>
      <c r="G61" s="464"/>
      <c r="H61" s="464"/>
      <c r="I61" s="464"/>
    </row>
    <row r="62" spans="1:9" ht="12.95" customHeight="1">
      <c r="A62" s="6">
        <f t="shared" si="0"/>
        <v>55</v>
      </c>
      <c r="B62" s="504">
        <v>44711.25</v>
      </c>
      <c r="C62" s="489">
        <f t="shared" si="1"/>
        <v>272.8</v>
      </c>
      <c r="D62" s="489">
        <v>2.7280000000000002</v>
      </c>
      <c r="E62" s="464"/>
      <c r="F62" s="464">
        <f t="shared" si="2"/>
        <v>2.2280000000000002</v>
      </c>
      <c r="G62" s="464"/>
      <c r="H62" s="464"/>
      <c r="I62" s="464"/>
    </row>
    <row r="63" spans="1:9" ht="12.95" customHeight="1">
      <c r="A63" s="6">
        <f t="shared" si="0"/>
        <v>56</v>
      </c>
      <c r="B63" s="504">
        <v>44711.291666666664</v>
      </c>
      <c r="C63" s="489">
        <f t="shared" si="1"/>
        <v>255.20000000000002</v>
      </c>
      <c r="D63" s="489">
        <v>2.552</v>
      </c>
      <c r="E63" s="464"/>
      <c r="F63" s="464">
        <f t="shared" si="2"/>
        <v>2.052</v>
      </c>
      <c r="G63" s="464"/>
      <c r="H63" s="464"/>
      <c r="I63" s="464"/>
    </row>
    <row r="64" spans="1:9" ht="12.95" customHeight="1">
      <c r="A64" s="6">
        <f t="shared" si="0"/>
        <v>57</v>
      </c>
      <c r="B64" s="504">
        <v>44711.333333333336</v>
      </c>
      <c r="C64" s="489">
        <f t="shared" si="1"/>
        <v>222.8</v>
      </c>
      <c r="D64" s="489">
        <v>2.2280000000000002</v>
      </c>
      <c r="E64" s="464"/>
      <c r="F64" s="464">
        <f t="shared" si="2"/>
        <v>1.7280000000000002</v>
      </c>
      <c r="G64" s="464"/>
      <c r="H64" s="464"/>
      <c r="I64" s="464"/>
    </row>
    <row r="65" spans="1:9" ht="12.95" customHeight="1">
      <c r="A65" s="6">
        <f t="shared" si="0"/>
        <v>58</v>
      </c>
      <c r="B65" s="504">
        <v>44711.375</v>
      </c>
      <c r="C65" s="489">
        <f t="shared" si="1"/>
        <v>182.8</v>
      </c>
      <c r="D65" s="489">
        <v>1.8280000000000001</v>
      </c>
      <c r="E65" s="464"/>
      <c r="F65" s="464">
        <f t="shared" si="2"/>
        <v>1.3280000000000001</v>
      </c>
      <c r="G65" s="464"/>
      <c r="H65" s="464"/>
      <c r="I65" s="464"/>
    </row>
    <row r="66" spans="1:9" ht="12.95" customHeight="1">
      <c r="A66" s="6">
        <f t="shared" si="0"/>
        <v>59</v>
      </c>
      <c r="B66" s="504">
        <v>44711.416666666664</v>
      </c>
      <c r="C66" s="489">
        <f t="shared" si="1"/>
        <v>148.5</v>
      </c>
      <c r="D66" s="489">
        <v>1.4850000000000001</v>
      </c>
      <c r="E66" s="464"/>
      <c r="F66" s="464">
        <f t="shared" si="2"/>
        <v>0.9850000000000001</v>
      </c>
      <c r="G66" s="464"/>
      <c r="H66" s="464"/>
      <c r="I66" s="464"/>
    </row>
    <row r="67" spans="1:9" ht="12.95" customHeight="1">
      <c r="A67" s="6">
        <f t="shared" si="0"/>
        <v>60</v>
      </c>
      <c r="B67" s="504">
        <v>44711.458333333336</v>
      </c>
      <c r="C67" s="489">
        <f t="shared" si="1"/>
        <v>122</v>
      </c>
      <c r="D67" s="489">
        <v>1.22</v>
      </c>
      <c r="E67" s="464"/>
      <c r="F67" s="464">
        <f t="shared" si="2"/>
        <v>0.72</v>
      </c>
      <c r="G67" s="464"/>
      <c r="H67" s="464"/>
      <c r="I67" s="464"/>
    </row>
    <row r="68" spans="1:9" ht="12.95" customHeight="1">
      <c r="A68" s="6">
        <f t="shared" si="0"/>
        <v>61</v>
      </c>
      <c r="B68" s="504">
        <v>44711.5</v>
      </c>
      <c r="C68" s="489">
        <f t="shared" si="1"/>
        <v>113.6</v>
      </c>
      <c r="D68" s="489">
        <v>1.1359999999999999</v>
      </c>
      <c r="E68" s="464"/>
      <c r="F68" s="464">
        <f t="shared" si="2"/>
        <v>0.6359999999999999</v>
      </c>
      <c r="G68" s="464"/>
      <c r="H68" s="464"/>
      <c r="I68" s="464"/>
    </row>
    <row r="69" spans="1:9" ht="12.95" customHeight="1">
      <c r="A69" s="6">
        <f t="shared" si="0"/>
        <v>62</v>
      </c>
      <c r="B69" s="504">
        <v>44711.541666666664</v>
      </c>
      <c r="C69" s="489">
        <f t="shared" si="1"/>
        <v>123.4</v>
      </c>
      <c r="D69" s="489">
        <v>1.234</v>
      </c>
      <c r="E69" s="464"/>
      <c r="F69" s="464">
        <f t="shared" si="2"/>
        <v>0.73399999999999999</v>
      </c>
      <c r="G69" s="464"/>
      <c r="H69" s="464"/>
      <c r="I69" s="464"/>
    </row>
    <row r="70" spans="1:9" ht="12.95" customHeight="1">
      <c r="A70" s="6">
        <f t="shared" si="0"/>
        <v>63</v>
      </c>
      <c r="B70" s="504">
        <v>44711.583333333336</v>
      </c>
      <c r="C70" s="489">
        <f t="shared" si="1"/>
        <v>143.4</v>
      </c>
      <c r="D70" s="489">
        <v>1.4339999999999999</v>
      </c>
      <c r="E70" s="464"/>
      <c r="F70" s="464">
        <f t="shared" si="2"/>
        <v>0.93399999999999994</v>
      </c>
      <c r="G70" s="464"/>
      <c r="H70" s="464"/>
      <c r="I70" s="464"/>
    </row>
    <row r="71" spans="1:9" ht="12.95" customHeight="1">
      <c r="A71" s="6">
        <f t="shared" si="0"/>
        <v>64</v>
      </c>
      <c r="B71" s="504">
        <v>44711.625</v>
      </c>
      <c r="C71" s="489">
        <f t="shared" si="1"/>
        <v>164.1</v>
      </c>
      <c r="D71" s="489">
        <v>1.641</v>
      </c>
      <c r="E71" s="464"/>
      <c r="F71" s="464">
        <f t="shared" si="2"/>
        <v>1.141</v>
      </c>
      <c r="G71" s="464"/>
      <c r="H71" s="464"/>
      <c r="I71" s="464"/>
    </row>
    <row r="72" spans="1:9" ht="12.95" customHeight="1">
      <c r="A72" s="6">
        <f t="shared" ref="A72:A135" si="3">A71+1</f>
        <v>65</v>
      </c>
      <c r="B72" s="504">
        <v>44711.666666666664</v>
      </c>
      <c r="C72" s="489">
        <f t="shared" si="1"/>
        <v>177.8</v>
      </c>
      <c r="D72" s="489">
        <v>1.778</v>
      </c>
      <c r="E72" s="464"/>
      <c r="F72" s="464">
        <f t="shared" si="2"/>
        <v>1.278</v>
      </c>
      <c r="G72" s="464"/>
      <c r="H72" s="464"/>
      <c r="I72" s="464"/>
    </row>
    <row r="73" spans="1:9" ht="12.95" customHeight="1">
      <c r="A73" s="6">
        <f t="shared" si="3"/>
        <v>66</v>
      </c>
      <c r="B73" s="504">
        <v>44711.708333333336</v>
      </c>
      <c r="C73" s="489">
        <f t="shared" ref="C73:C136" si="4">D73*100</f>
        <v>182.1</v>
      </c>
      <c r="D73" s="489">
        <v>1.821</v>
      </c>
      <c r="E73" s="464"/>
      <c r="F73" s="464">
        <f t="shared" ref="F73:F136" si="5">D73-0.5</f>
        <v>1.321</v>
      </c>
      <c r="G73" s="464"/>
      <c r="H73" s="464"/>
      <c r="I73" s="464"/>
    </row>
    <row r="74" spans="1:9" ht="12.95" customHeight="1">
      <c r="A74" s="6">
        <f t="shared" si="3"/>
        <v>67</v>
      </c>
      <c r="B74" s="504">
        <v>44711.75</v>
      </c>
      <c r="C74" s="489">
        <f t="shared" si="4"/>
        <v>178.7</v>
      </c>
      <c r="D74" s="489">
        <v>1.7869999999999999</v>
      </c>
      <c r="E74" s="464"/>
      <c r="F74" s="464">
        <f t="shared" si="5"/>
        <v>1.2869999999999999</v>
      </c>
      <c r="G74" s="464"/>
      <c r="H74" s="464"/>
      <c r="I74" s="464"/>
    </row>
    <row r="75" spans="1:9" ht="12.95" customHeight="1">
      <c r="A75" s="6">
        <f t="shared" si="3"/>
        <v>68</v>
      </c>
      <c r="B75" s="504">
        <v>44711.791666666664</v>
      </c>
      <c r="C75" s="489">
        <f t="shared" si="4"/>
        <v>162.60000000000002</v>
      </c>
      <c r="D75" s="489">
        <v>1.6260000000000001</v>
      </c>
      <c r="E75" s="464"/>
      <c r="F75" s="464">
        <f t="shared" si="5"/>
        <v>1.1260000000000001</v>
      </c>
      <c r="G75" s="464"/>
      <c r="H75" s="464"/>
      <c r="I75" s="464"/>
    </row>
    <row r="76" spans="1:9" ht="12.95" customHeight="1">
      <c r="A76" s="6">
        <f t="shared" si="3"/>
        <v>69</v>
      </c>
      <c r="B76" s="504">
        <v>44711.833333333336</v>
      </c>
      <c r="C76" s="489">
        <f t="shared" si="4"/>
        <v>139.9</v>
      </c>
      <c r="D76" s="489">
        <v>1.399</v>
      </c>
      <c r="E76" s="464"/>
      <c r="F76" s="464">
        <f t="shared" si="5"/>
        <v>0.89900000000000002</v>
      </c>
      <c r="G76" s="464"/>
      <c r="H76" s="464"/>
      <c r="I76" s="464"/>
    </row>
    <row r="77" spans="1:9" ht="12.95" customHeight="1">
      <c r="A77" s="6">
        <f t="shared" si="3"/>
        <v>70</v>
      </c>
      <c r="B77" s="504">
        <v>44711.875</v>
      </c>
      <c r="C77" s="489">
        <f t="shared" si="4"/>
        <v>114.6</v>
      </c>
      <c r="D77" s="489">
        <v>1.1459999999999999</v>
      </c>
      <c r="E77" s="464"/>
      <c r="F77" s="464">
        <f t="shared" si="5"/>
        <v>0.64599999999999991</v>
      </c>
      <c r="G77" s="464"/>
      <c r="H77" s="464"/>
      <c r="I77" s="464"/>
    </row>
    <row r="78" spans="1:9" ht="12.95" customHeight="1">
      <c r="A78" s="6">
        <f t="shared" si="3"/>
        <v>71</v>
      </c>
      <c r="B78" s="504">
        <v>44711.916666666664</v>
      </c>
      <c r="C78" s="489">
        <f t="shared" si="4"/>
        <v>88.5</v>
      </c>
      <c r="D78" s="489">
        <v>0.88500000000000001</v>
      </c>
      <c r="E78" s="464"/>
      <c r="F78" s="464">
        <f t="shared" si="5"/>
        <v>0.38500000000000001</v>
      </c>
      <c r="G78" s="464"/>
      <c r="H78" s="464"/>
      <c r="I78" s="464"/>
    </row>
    <row r="79" spans="1:9" ht="12.95" customHeight="1">
      <c r="A79" s="7">
        <f t="shared" si="3"/>
        <v>72</v>
      </c>
      <c r="B79" s="504">
        <v>44711.958333333336</v>
      </c>
      <c r="C79" s="489">
        <f t="shared" si="4"/>
        <v>70.199999999999989</v>
      </c>
      <c r="D79" s="489">
        <v>0.70199999999999996</v>
      </c>
      <c r="E79" s="464"/>
      <c r="F79" s="464">
        <f t="shared" si="5"/>
        <v>0.20199999999999996</v>
      </c>
      <c r="G79" s="464"/>
      <c r="H79" s="464"/>
      <c r="I79" s="464"/>
    </row>
    <row r="80" spans="1:9" ht="12.95" customHeight="1">
      <c r="A80" s="8">
        <f t="shared" si="3"/>
        <v>73</v>
      </c>
      <c r="B80" s="504">
        <v>44712</v>
      </c>
      <c r="C80" s="489">
        <f t="shared" si="4"/>
        <v>74.3</v>
      </c>
      <c r="D80" s="489">
        <v>0.74299999999999999</v>
      </c>
      <c r="E80" s="464"/>
      <c r="F80" s="464">
        <f t="shared" si="5"/>
        <v>0.24299999999999999</v>
      </c>
      <c r="G80" s="464"/>
      <c r="H80" s="464"/>
      <c r="I80" s="464"/>
    </row>
    <row r="81" spans="1:9" ht="12.95" customHeight="1">
      <c r="A81" s="9">
        <f t="shared" si="3"/>
        <v>74</v>
      </c>
      <c r="B81" s="504">
        <v>44712.041666666664</v>
      </c>
      <c r="C81" s="489">
        <f t="shared" si="4"/>
        <v>100.89999999999999</v>
      </c>
      <c r="D81" s="489">
        <v>1.0089999999999999</v>
      </c>
      <c r="E81" s="464"/>
      <c r="F81" s="464">
        <f t="shared" si="5"/>
        <v>0.5089999999999999</v>
      </c>
      <c r="G81" s="464"/>
      <c r="H81" s="464"/>
      <c r="I81" s="464"/>
    </row>
    <row r="82" spans="1:9" ht="12.95" customHeight="1">
      <c r="A82" s="9">
        <f t="shared" si="3"/>
        <v>75</v>
      </c>
      <c r="B82" s="504">
        <v>44712.083333333336</v>
      </c>
      <c r="C82" s="489">
        <f t="shared" si="4"/>
        <v>139.5</v>
      </c>
      <c r="D82" s="489">
        <v>1.395</v>
      </c>
      <c r="E82" s="464"/>
      <c r="F82" s="464">
        <f t="shared" si="5"/>
        <v>0.89500000000000002</v>
      </c>
      <c r="G82" s="464"/>
      <c r="H82" s="464"/>
      <c r="I82" s="464"/>
    </row>
    <row r="83" spans="1:9" ht="12.95" customHeight="1">
      <c r="A83" s="9">
        <f t="shared" si="3"/>
        <v>76</v>
      </c>
      <c r="B83" s="504">
        <v>44712.125</v>
      </c>
      <c r="C83" s="489">
        <f t="shared" si="4"/>
        <v>188.39999999999998</v>
      </c>
      <c r="D83" s="489">
        <v>1.8839999999999999</v>
      </c>
      <c r="E83" s="464"/>
      <c r="F83" s="464">
        <f t="shared" si="5"/>
        <v>1.3839999999999999</v>
      </c>
      <c r="G83" s="464"/>
      <c r="H83" s="464"/>
      <c r="I83" s="464"/>
    </row>
    <row r="84" spans="1:9" ht="12.95" customHeight="1">
      <c r="A84" s="9">
        <f t="shared" si="3"/>
        <v>77</v>
      </c>
      <c r="B84" s="504">
        <v>44712.166666666664</v>
      </c>
      <c r="C84" s="489">
        <f t="shared" si="4"/>
        <v>235.2</v>
      </c>
      <c r="D84" s="489">
        <v>2.3519999999999999</v>
      </c>
      <c r="E84" s="464"/>
      <c r="F84" s="464">
        <f t="shared" si="5"/>
        <v>1.8519999999999999</v>
      </c>
      <c r="G84" s="464"/>
      <c r="H84" s="464"/>
      <c r="I84" s="464"/>
    </row>
    <row r="85" spans="1:9" ht="12.95" customHeight="1">
      <c r="A85" s="9">
        <f t="shared" si="3"/>
        <v>78</v>
      </c>
      <c r="B85" s="504">
        <v>44712.208333333336</v>
      </c>
      <c r="C85" s="489">
        <f t="shared" si="4"/>
        <v>269.60000000000002</v>
      </c>
      <c r="D85" s="489">
        <v>2.6960000000000002</v>
      </c>
      <c r="E85" s="464"/>
      <c r="F85" s="464">
        <f t="shared" si="5"/>
        <v>2.1960000000000002</v>
      </c>
      <c r="G85" s="464"/>
      <c r="H85" s="464"/>
      <c r="I85" s="464"/>
    </row>
    <row r="86" spans="1:9" ht="12.95" customHeight="1">
      <c r="A86" s="9">
        <f t="shared" si="3"/>
        <v>79</v>
      </c>
      <c r="B86" s="504">
        <v>44712.25</v>
      </c>
      <c r="C86" s="489">
        <f t="shared" si="4"/>
        <v>281.5</v>
      </c>
      <c r="D86" s="489">
        <v>2.8149999999999999</v>
      </c>
      <c r="E86" s="464"/>
      <c r="F86" s="464">
        <f t="shared" si="5"/>
        <v>2.3149999999999999</v>
      </c>
      <c r="G86" s="464"/>
      <c r="H86" s="464"/>
      <c r="I86" s="464"/>
    </row>
    <row r="87" spans="1:9" ht="12.95" customHeight="1">
      <c r="A87" s="9">
        <f t="shared" si="3"/>
        <v>80</v>
      </c>
      <c r="B87" s="504">
        <v>44712.291666666664</v>
      </c>
      <c r="C87" s="489">
        <f t="shared" si="4"/>
        <v>273.8</v>
      </c>
      <c r="D87" s="489">
        <v>2.738</v>
      </c>
      <c r="E87" s="464"/>
      <c r="F87" s="464">
        <f t="shared" si="5"/>
        <v>2.238</v>
      </c>
      <c r="G87" s="464"/>
      <c r="H87" s="464"/>
      <c r="I87" s="464"/>
    </row>
    <row r="88" spans="1:9" ht="12.95" customHeight="1">
      <c r="A88" s="9">
        <f t="shared" si="3"/>
        <v>81</v>
      </c>
      <c r="B88" s="504">
        <v>44712.333333333336</v>
      </c>
      <c r="C88" s="489">
        <f t="shared" si="4"/>
        <v>246</v>
      </c>
      <c r="D88" s="489">
        <v>2.46</v>
      </c>
      <c r="E88" s="464"/>
      <c r="F88" s="464">
        <f t="shared" si="5"/>
        <v>1.96</v>
      </c>
      <c r="G88" s="464"/>
      <c r="H88" s="464"/>
      <c r="I88" s="464"/>
    </row>
    <row r="89" spans="1:9" ht="12.95" customHeight="1">
      <c r="A89" s="9">
        <f t="shared" si="3"/>
        <v>82</v>
      </c>
      <c r="B89" s="504">
        <v>44712.375</v>
      </c>
      <c r="C89" s="489">
        <f t="shared" si="4"/>
        <v>202.8</v>
      </c>
      <c r="D89" s="489">
        <v>2.028</v>
      </c>
      <c r="E89" s="464"/>
      <c r="F89" s="464">
        <f t="shared" si="5"/>
        <v>1.528</v>
      </c>
      <c r="G89" s="464"/>
      <c r="H89" s="464"/>
      <c r="I89" s="464"/>
    </row>
    <row r="90" spans="1:9" ht="12.95" customHeight="1">
      <c r="A90" s="9">
        <f t="shared" si="3"/>
        <v>83</v>
      </c>
      <c r="B90" s="504">
        <v>44712.416666666664</v>
      </c>
      <c r="C90" s="489">
        <f t="shared" si="4"/>
        <v>165.3</v>
      </c>
      <c r="D90" s="489">
        <v>1.653</v>
      </c>
      <c r="E90" s="464"/>
      <c r="F90" s="464">
        <f t="shared" si="5"/>
        <v>1.153</v>
      </c>
      <c r="G90" s="464"/>
      <c r="H90" s="464"/>
      <c r="I90" s="464"/>
    </row>
    <row r="91" spans="1:9" ht="12.95" customHeight="1">
      <c r="A91" s="9">
        <f t="shared" si="3"/>
        <v>84</v>
      </c>
      <c r="B91" s="504">
        <v>44712.458333333336</v>
      </c>
      <c r="C91" s="489">
        <f t="shared" si="4"/>
        <v>134.5</v>
      </c>
      <c r="D91" s="489">
        <v>1.345</v>
      </c>
      <c r="E91" s="464"/>
      <c r="F91" s="464">
        <f t="shared" si="5"/>
        <v>0.84499999999999997</v>
      </c>
      <c r="G91" s="464"/>
      <c r="H91" s="464"/>
      <c r="I91" s="464"/>
    </row>
    <row r="92" spans="1:9" ht="12.95" customHeight="1">
      <c r="A92" s="9">
        <f t="shared" si="3"/>
        <v>85</v>
      </c>
      <c r="B92" s="504">
        <v>44712.5</v>
      </c>
      <c r="C92" s="489">
        <f t="shared" si="4"/>
        <v>118</v>
      </c>
      <c r="D92" s="489">
        <v>1.18</v>
      </c>
      <c r="E92" s="464"/>
      <c r="F92" s="464">
        <f t="shared" si="5"/>
        <v>0.67999999999999994</v>
      </c>
      <c r="G92" s="464"/>
      <c r="H92" s="464"/>
      <c r="I92" s="464"/>
    </row>
    <row r="93" spans="1:9" ht="12.95" customHeight="1">
      <c r="A93" s="9">
        <f t="shared" si="3"/>
        <v>86</v>
      </c>
      <c r="B93" s="504">
        <v>44712.541666666664</v>
      </c>
      <c r="C93" s="489">
        <f t="shared" si="4"/>
        <v>115.19999999999999</v>
      </c>
      <c r="D93" s="489">
        <v>1.1519999999999999</v>
      </c>
      <c r="E93" s="464"/>
      <c r="F93" s="464">
        <f t="shared" si="5"/>
        <v>0.65199999999999991</v>
      </c>
      <c r="G93" s="464"/>
      <c r="H93" s="464"/>
      <c r="I93" s="464"/>
    </row>
    <row r="94" spans="1:9" ht="12.95" customHeight="1">
      <c r="A94" s="9">
        <f t="shared" si="3"/>
        <v>87</v>
      </c>
      <c r="B94" s="504">
        <v>44712.583333333336</v>
      </c>
      <c r="C94" s="489">
        <f t="shared" si="4"/>
        <v>126.1</v>
      </c>
      <c r="D94" s="489">
        <v>1.2609999999999999</v>
      </c>
      <c r="E94" s="464"/>
      <c r="F94" s="464">
        <f t="shared" si="5"/>
        <v>0.7609999999999999</v>
      </c>
      <c r="G94" s="464"/>
      <c r="H94" s="464"/>
      <c r="I94" s="464"/>
    </row>
    <row r="95" spans="1:9" ht="12.95" customHeight="1">
      <c r="A95" s="9">
        <f t="shared" si="3"/>
        <v>88</v>
      </c>
      <c r="B95" s="504">
        <v>44712.625</v>
      </c>
      <c r="C95" s="489">
        <f t="shared" si="4"/>
        <v>147</v>
      </c>
      <c r="D95" s="489">
        <v>1.47</v>
      </c>
      <c r="E95" s="464"/>
      <c r="F95" s="464">
        <f t="shared" si="5"/>
        <v>0.97</v>
      </c>
      <c r="G95" s="464"/>
      <c r="H95" s="464"/>
      <c r="I95" s="464"/>
    </row>
    <row r="96" spans="1:9" ht="12.95" customHeight="1">
      <c r="A96" s="9">
        <f t="shared" si="3"/>
        <v>89</v>
      </c>
      <c r="B96" s="504">
        <v>44712.666666666664</v>
      </c>
      <c r="C96" s="489">
        <f t="shared" si="4"/>
        <v>166.79999999999998</v>
      </c>
      <c r="D96" s="489">
        <v>1.6679999999999999</v>
      </c>
      <c r="E96" s="464"/>
      <c r="F96" s="464">
        <f t="shared" si="5"/>
        <v>1.1679999999999999</v>
      </c>
      <c r="G96" s="464"/>
      <c r="H96" s="464"/>
      <c r="I96" s="464"/>
    </row>
    <row r="97" spans="1:9" ht="12.95" customHeight="1">
      <c r="A97" s="9">
        <f t="shared" si="3"/>
        <v>90</v>
      </c>
      <c r="B97" s="504">
        <v>44712.708333333336</v>
      </c>
      <c r="C97" s="489">
        <f t="shared" si="4"/>
        <v>177.1</v>
      </c>
      <c r="D97" s="489">
        <v>1.7709999999999999</v>
      </c>
      <c r="E97" s="464"/>
      <c r="F97" s="464">
        <f t="shared" si="5"/>
        <v>1.2709999999999999</v>
      </c>
      <c r="G97" s="464"/>
      <c r="H97" s="464"/>
      <c r="I97" s="464"/>
    </row>
    <row r="98" spans="1:9" ht="12.95" customHeight="1">
      <c r="A98" s="9">
        <f t="shared" si="3"/>
        <v>91</v>
      </c>
      <c r="B98" s="504">
        <v>44712.75</v>
      </c>
      <c r="C98" s="489">
        <f t="shared" si="4"/>
        <v>176.5</v>
      </c>
      <c r="D98" s="489">
        <v>1.7649999999999999</v>
      </c>
      <c r="E98" s="464"/>
      <c r="F98" s="464">
        <f t="shared" si="5"/>
        <v>1.2649999999999999</v>
      </c>
      <c r="G98" s="464"/>
      <c r="H98" s="464"/>
      <c r="I98" s="464"/>
    </row>
    <row r="99" spans="1:9" ht="12.95" customHeight="1">
      <c r="A99" s="9">
        <f t="shared" si="3"/>
        <v>92</v>
      </c>
      <c r="B99" s="504">
        <v>44712.791666666664</v>
      </c>
      <c r="C99" s="489">
        <f t="shared" si="4"/>
        <v>165.3</v>
      </c>
      <c r="D99" s="489">
        <v>1.653</v>
      </c>
      <c r="E99" s="464"/>
      <c r="F99" s="464">
        <f t="shared" si="5"/>
        <v>1.153</v>
      </c>
      <c r="G99" s="464"/>
      <c r="H99" s="464"/>
      <c r="I99" s="464"/>
    </row>
    <row r="100" spans="1:9" ht="12.95" customHeight="1">
      <c r="A100" s="9">
        <f t="shared" si="3"/>
        <v>93</v>
      </c>
      <c r="B100" s="504">
        <v>44712.833333333336</v>
      </c>
      <c r="C100" s="489">
        <f t="shared" si="4"/>
        <v>144.4</v>
      </c>
      <c r="D100" s="489">
        <v>1.444</v>
      </c>
      <c r="E100" s="464"/>
      <c r="F100" s="464">
        <f t="shared" si="5"/>
        <v>0.94399999999999995</v>
      </c>
      <c r="G100" s="464"/>
      <c r="H100" s="464"/>
      <c r="I100" s="464"/>
    </row>
    <row r="101" spans="1:9" ht="12.95" customHeight="1">
      <c r="A101" s="9">
        <f t="shared" si="3"/>
        <v>94</v>
      </c>
      <c r="B101" s="504">
        <v>44712.875</v>
      </c>
      <c r="C101" s="489">
        <f t="shared" si="4"/>
        <v>122.6</v>
      </c>
      <c r="D101" s="489">
        <v>1.226</v>
      </c>
      <c r="E101" s="464"/>
      <c r="F101" s="464">
        <f t="shared" si="5"/>
        <v>0.72599999999999998</v>
      </c>
      <c r="G101" s="464"/>
      <c r="H101" s="464"/>
      <c r="I101" s="464"/>
    </row>
    <row r="102" spans="1:9" ht="12.95" customHeight="1">
      <c r="A102" s="9">
        <f t="shared" si="3"/>
        <v>95</v>
      </c>
      <c r="B102" s="504">
        <v>44712.916666666664</v>
      </c>
      <c r="C102" s="489">
        <f t="shared" si="4"/>
        <v>95.6</v>
      </c>
      <c r="D102" s="489">
        <v>0.95599999999999996</v>
      </c>
      <c r="E102" s="464"/>
      <c r="F102" s="464">
        <f t="shared" si="5"/>
        <v>0.45599999999999996</v>
      </c>
      <c r="G102" s="464"/>
      <c r="H102" s="464"/>
      <c r="I102" s="464"/>
    </row>
    <row r="103" spans="1:9" ht="12.95" customHeight="1">
      <c r="A103" s="10">
        <f t="shared" si="3"/>
        <v>96</v>
      </c>
      <c r="B103" s="504">
        <v>44712.958333333336</v>
      </c>
      <c r="C103" s="489">
        <f t="shared" si="4"/>
        <v>73.8</v>
      </c>
      <c r="D103" s="489">
        <v>0.73799999999999999</v>
      </c>
      <c r="E103" s="464"/>
      <c r="F103" s="464">
        <f t="shared" si="5"/>
        <v>0.23799999999999999</v>
      </c>
      <c r="G103" s="464"/>
      <c r="H103" s="464"/>
      <c r="I103" s="464"/>
    </row>
    <row r="104" spans="1:9" ht="12.95" customHeight="1">
      <c r="A104" s="5">
        <f t="shared" si="3"/>
        <v>97</v>
      </c>
      <c r="B104" s="504">
        <v>44713</v>
      </c>
      <c r="C104" s="489">
        <f t="shared" si="4"/>
        <v>68.7</v>
      </c>
      <c r="D104" s="489">
        <v>0.68700000000000006</v>
      </c>
      <c r="E104" s="464"/>
      <c r="F104" s="464">
        <f t="shared" si="5"/>
        <v>0.18700000000000006</v>
      </c>
      <c r="G104" s="464"/>
      <c r="H104" s="464"/>
      <c r="I104" s="464"/>
    </row>
    <row r="105" spans="1:9" ht="12.95" customHeight="1">
      <c r="A105" s="6">
        <f t="shared" si="3"/>
        <v>98</v>
      </c>
      <c r="B105" s="504">
        <v>44713.041666666664</v>
      </c>
      <c r="C105" s="489">
        <f t="shared" si="4"/>
        <v>86.4</v>
      </c>
      <c r="D105" s="489">
        <v>0.86399999999999999</v>
      </c>
      <c r="E105" s="464"/>
      <c r="F105" s="464">
        <f t="shared" si="5"/>
        <v>0.36399999999999999</v>
      </c>
      <c r="G105" s="464"/>
      <c r="H105" s="464"/>
      <c r="I105" s="464"/>
    </row>
    <row r="106" spans="1:9" ht="12.95" customHeight="1">
      <c r="A106" s="6">
        <f t="shared" si="3"/>
        <v>99</v>
      </c>
      <c r="B106" s="504">
        <v>44713.083333333336</v>
      </c>
      <c r="C106" s="489">
        <f t="shared" si="4"/>
        <v>124.6</v>
      </c>
      <c r="D106" s="489">
        <v>1.246</v>
      </c>
      <c r="E106" s="464"/>
      <c r="F106" s="464">
        <f t="shared" si="5"/>
        <v>0.746</v>
      </c>
      <c r="G106" s="464"/>
      <c r="H106" s="464"/>
      <c r="I106" s="464"/>
    </row>
    <row r="107" spans="1:9" ht="12.95" customHeight="1">
      <c r="A107" s="6">
        <f t="shared" si="3"/>
        <v>100</v>
      </c>
      <c r="B107" s="504">
        <v>44713.125</v>
      </c>
      <c r="C107" s="489">
        <f t="shared" si="4"/>
        <v>170.1</v>
      </c>
      <c r="D107" s="489">
        <v>1.7010000000000001</v>
      </c>
      <c r="E107" s="464"/>
      <c r="F107" s="464">
        <f t="shared" si="5"/>
        <v>1.2010000000000001</v>
      </c>
      <c r="G107" s="464"/>
      <c r="H107" s="464"/>
      <c r="I107" s="464"/>
    </row>
    <row r="108" spans="1:9" ht="12.95" customHeight="1">
      <c r="A108" s="6">
        <f t="shared" si="3"/>
        <v>101</v>
      </c>
      <c r="B108" s="504">
        <v>44713.166666666664</v>
      </c>
      <c r="C108" s="489">
        <f t="shared" si="4"/>
        <v>219.3</v>
      </c>
      <c r="D108" s="489">
        <v>2.1930000000000001</v>
      </c>
      <c r="E108" s="464"/>
      <c r="F108" s="464">
        <f t="shared" si="5"/>
        <v>1.6930000000000001</v>
      </c>
      <c r="G108" s="464"/>
      <c r="H108" s="464"/>
      <c r="I108" s="464"/>
    </row>
    <row r="109" spans="1:9" ht="12.95" customHeight="1">
      <c r="A109" s="6">
        <f t="shared" si="3"/>
        <v>102</v>
      </c>
      <c r="B109" s="504">
        <v>44713.208333333336</v>
      </c>
      <c r="C109" s="489">
        <f t="shared" si="4"/>
        <v>259.5</v>
      </c>
      <c r="D109" s="489">
        <v>2.5950000000000002</v>
      </c>
      <c r="E109" s="464"/>
      <c r="F109" s="464">
        <f t="shared" si="5"/>
        <v>2.0950000000000002</v>
      </c>
      <c r="G109" s="464"/>
      <c r="H109" s="464"/>
      <c r="I109" s="464"/>
    </row>
    <row r="110" spans="1:9" ht="12.95" customHeight="1">
      <c r="A110" s="6">
        <f t="shared" si="3"/>
        <v>103</v>
      </c>
      <c r="B110" s="504">
        <v>44713.25</v>
      </c>
      <c r="C110" s="489">
        <f t="shared" si="4"/>
        <v>281.8</v>
      </c>
      <c r="D110" s="489">
        <v>2.8180000000000001</v>
      </c>
      <c r="E110" s="464"/>
      <c r="F110" s="464">
        <f t="shared" si="5"/>
        <v>2.3180000000000001</v>
      </c>
      <c r="G110" s="464"/>
      <c r="H110" s="464"/>
      <c r="I110" s="464"/>
    </row>
    <row r="111" spans="1:9" ht="12.95" customHeight="1">
      <c r="A111" s="6">
        <f t="shared" si="3"/>
        <v>104</v>
      </c>
      <c r="B111" s="504">
        <v>44713.291666666664</v>
      </c>
      <c r="C111" s="489">
        <f t="shared" si="4"/>
        <v>284</v>
      </c>
      <c r="D111" s="489">
        <v>2.84</v>
      </c>
      <c r="E111" s="464"/>
      <c r="F111" s="464">
        <f t="shared" si="5"/>
        <v>2.34</v>
      </c>
      <c r="G111" s="464"/>
      <c r="H111" s="464"/>
      <c r="I111" s="464"/>
    </row>
    <row r="112" spans="1:9" ht="12.95" customHeight="1">
      <c r="A112" s="6">
        <f t="shared" si="3"/>
        <v>105</v>
      </c>
      <c r="B112" s="504">
        <v>44713.333333333336</v>
      </c>
      <c r="C112" s="489">
        <f t="shared" si="4"/>
        <v>265.7</v>
      </c>
      <c r="D112" s="489">
        <v>2.657</v>
      </c>
      <c r="E112" s="464"/>
      <c r="F112" s="464">
        <f t="shared" si="5"/>
        <v>2.157</v>
      </c>
      <c r="G112" s="464"/>
      <c r="H112" s="464"/>
      <c r="I112" s="464"/>
    </row>
    <row r="113" spans="1:9" ht="12.95" customHeight="1">
      <c r="A113" s="6">
        <f t="shared" si="3"/>
        <v>106</v>
      </c>
      <c r="B113" s="504">
        <v>44713.375</v>
      </c>
      <c r="C113" s="489">
        <f t="shared" si="4"/>
        <v>228.79999999999998</v>
      </c>
      <c r="D113" s="489">
        <v>2.2879999999999998</v>
      </c>
      <c r="E113" s="464"/>
      <c r="F113" s="464">
        <f t="shared" si="5"/>
        <v>1.7879999999999998</v>
      </c>
      <c r="G113" s="464"/>
      <c r="H113" s="464"/>
      <c r="I113" s="464"/>
    </row>
    <row r="114" spans="1:9" ht="12.95" customHeight="1">
      <c r="A114" s="6">
        <f t="shared" si="3"/>
        <v>107</v>
      </c>
      <c r="B114" s="504">
        <v>44713.416666666664</v>
      </c>
      <c r="C114" s="489">
        <f t="shared" si="4"/>
        <v>188.2</v>
      </c>
      <c r="D114" s="489">
        <v>1.8819999999999999</v>
      </c>
      <c r="E114" s="464"/>
      <c r="F114" s="464">
        <f t="shared" si="5"/>
        <v>1.3819999999999999</v>
      </c>
      <c r="G114" s="464"/>
      <c r="H114" s="464"/>
      <c r="I114" s="464"/>
    </row>
    <row r="115" spans="1:9" ht="12.95" customHeight="1">
      <c r="A115" s="6">
        <f t="shared" si="3"/>
        <v>108</v>
      </c>
      <c r="B115" s="504">
        <v>44713.458333333336</v>
      </c>
      <c r="C115" s="489">
        <f t="shared" si="4"/>
        <v>151.5</v>
      </c>
      <c r="D115" s="489">
        <v>1.5149999999999999</v>
      </c>
      <c r="E115" s="464"/>
      <c r="F115" s="464">
        <f t="shared" si="5"/>
        <v>1.0149999999999999</v>
      </c>
      <c r="G115" s="464"/>
      <c r="H115" s="464"/>
      <c r="I115" s="464"/>
    </row>
    <row r="116" spans="1:9" ht="12.95" customHeight="1">
      <c r="A116" s="6">
        <f t="shared" si="3"/>
        <v>109</v>
      </c>
      <c r="B116" s="504">
        <v>44713.5</v>
      </c>
      <c r="C116" s="489">
        <f t="shared" si="4"/>
        <v>127</v>
      </c>
      <c r="D116" s="489">
        <v>1.27</v>
      </c>
      <c r="E116" s="464"/>
      <c r="F116" s="464">
        <f t="shared" si="5"/>
        <v>0.77</v>
      </c>
      <c r="G116" s="464"/>
      <c r="H116" s="464"/>
      <c r="I116" s="464"/>
    </row>
    <row r="117" spans="1:9" ht="12.95" customHeight="1">
      <c r="A117" s="6">
        <f t="shared" si="3"/>
        <v>110</v>
      </c>
      <c r="B117" s="504">
        <v>44713.541666666664</v>
      </c>
      <c r="C117" s="489">
        <f t="shared" si="4"/>
        <v>116.9</v>
      </c>
      <c r="D117" s="489">
        <v>1.169</v>
      </c>
      <c r="E117" s="464"/>
      <c r="F117" s="464">
        <f t="shared" si="5"/>
        <v>0.66900000000000004</v>
      </c>
      <c r="G117" s="464"/>
      <c r="H117" s="464"/>
      <c r="I117" s="464"/>
    </row>
    <row r="118" spans="1:9" ht="12.95" customHeight="1">
      <c r="A118" s="6">
        <f t="shared" si="3"/>
        <v>111</v>
      </c>
      <c r="B118" s="504">
        <v>44713.583333333336</v>
      </c>
      <c r="C118" s="489">
        <f t="shared" si="4"/>
        <v>122.50000000000001</v>
      </c>
      <c r="D118" s="489">
        <v>1.2250000000000001</v>
      </c>
      <c r="E118" s="464"/>
      <c r="F118" s="464">
        <f t="shared" si="5"/>
        <v>0.72500000000000009</v>
      </c>
      <c r="G118" s="464"/>
      <c r="H118" s="464"/>
      <c r="I118" s="464"/>
    </row>
    <row r="119" spans="1:9" ht="12.95" customHeight="1">
      <c r="A119" s="6">
        <f t="shared" si="3"/>
        <v>112</v>
      </c>
      <c r="B119" s="504">
        <v>44713.625</v>
      </c>
      <c r="C119" s="489">
        <f t="shared" si="4"/>
        <v>137.5</v>
      </c>
      <c r="D119" s="489">
        <v>1.375</v>
      </c>
      <c r="E119" s="464"/>
      <c r="F119" s="464">
        <f t="shared" si="5"/>
        <v>0.875</v>
      </c>
      <c r="G119" s="464"/>
      <c r="H119" s="464"/>
      <c r="I119" s="464"/>
    </row>
    <row r="120" spans="1:9" ht="12.95" customHeight="1">
      <c r="A120" s="6">
        <f t="shared" si="3"/>
        <v>113</v>
      </c>
      <c r="B120" s="504">
        <v>44713.666666666664</v>
      </c>
      <c r="C120" s="489">
        <f t="shared" si="4"/>
        <v>159.4</v>
      </c>
      <c r="D120" s="489">
        <v>1.5940000000000001</v>
      </c>
      <c r="E120" s="464"/>
      <c r="F120" s="464">
        <f t="shared" si="5"/>
        <v>1.0940000000000001</v>
      </c>
      <c r="G120" s="464"/>
      <c r="H120" s="464"/>
      <c r="I120" s="464"/>
    </row>
    <row r="121" spans="1:9" ht="12.95" customHeight="1">
      <c r="A121" s="6">
        <f t="shared" si="3"/>
        <v>114</v>
      </c>
      <c r="B121" s="504">
        <v>44713.708333333336</v>
      </c>
      <c r="C121" s="489">
        <f t="shared" si="4"/>
        <v>178.4</v>
      </c>
      <c r="D121" s="489">
        <v>1.784</v>
      </c>
      <c r="E121" s="464"/>
      <c r="F121" s="464">
        <f t="shared" si="5"/>
        <v>1.284</v>
      </c>
      <c r="G121" s="464"/>
      <c r="H121" s="464"/>
      <c r="I121" s="464"/>
    </row>
    <row r="122" spans="1:9" ht="12.95" customHeight="1">
      <c r="A122" s="6">
        <f t="shared" si="3"/>
        <v>115</v>
      </c>
      <c r="B122" s="504">
        <v>44713.75</v>
      </c>
      <c r="C122" s="489">
        <f t="shared" si="4"/>
        <v>183.9</v>
      </c>
      <c r="D122" s="489">
        <v>1.839</v>
      </c>
      <c r="E122" s="464"/>
      <c r="F122" s="464">
        <f t="shared" si="5"/>
        <v>1.339</v>
      </c>
      <c r="G122" s="464"/>
      <c r="H122" s="464"/>
      <c r="I122" s="464"/>
    </row>
    <row r="123" spans="1:9" ht="12.95" customHeight="1">
      <c r="A123" s="6">
        <f t="shared" si="3"/>
        <v>116</v>
      </c>
      <c r="B123" s="504">
        <v>44713.791666666664</v>
      </c>
      <c r="C123" s="489">
        <f t="shared" si="4"/>
        <v>174.5</v>
      </c>
      <c r="D123" s="489">
        <v>1.7450000000000001</v>
      </c>
      <c r="E123" s="464"/>
      <c r="F123" s="464">
        <f t="shared" si="5"/>
        <v>1.2450000000000001</v>
      </c>
      <c r="G123" s="464"/>
      <c r="H123" s="464"/>
      <c r="I123" s="464"/>
    </row>
    <row r="124" spans="1:9" ht="12.95" customHeight="1">
      <c r="A124" s="6">
        <f t="shared" si="3"/>
        <v>117</v>
      </c>
      <c r="B124" s="504">
        <v>44713.833333333336</v>
      </c>
      <c r="C124" s="489">
        <f t="shared" si="4"/>
        <v>155.4</v>
      </c>
      <c r="D124" s="489">
        <v>1.554</v>
      </c>
      <c r="E124" s="464"/>
      <c r="F124" s="464">
        <f t="shared" si="5"/>
        <v>1.054</v>
      </c>
      <c r="G124" s="464"/>
      <c r="H124" s="464"/>
      <c r="I124" s="464"/>
    </row>
    <row r="125" spans="1:9" ht="12.95" customHeight="1">
      <c r="A125" s="6">
        <f t="shared" si="3"/>
        <v>118</v>
      </c>
      <c r="B125" s="504">
        <v>44713.875</v>
      </c>
      <c r="C125" s="489">
        <f t="shared" si="4"/>
        <v>129.5</v>
      </c>
      <c r="D125" s="489">
        <v>1.2949999999999999</v>
      </c>
      <c r="E125" s="464"/>
      <c r="F125" s="464">
        <f t="shared" si="5"/>
        <v>0.79499999999999993</v>
      </c>
      <c r="G125" s="464"/>
      <c r="H125" s="464"/>
      <c r="I125" s="464"/>
    </row>
    <row r="126" spans="1:9" ht="12.95" customHeight="1">
      <c r="A126" s="6">
        <f t="shared" si="3"/>
        <v>119</v>
      </c>
      <c r="B126" s="504">
        <v>44713.916666666664</v>
      </c>
      <c r="C126" s="489">
        <f t="shared" si="4"/>
        <v>96.3</v>
      </c>
      <c r="D126" s="489">
        <v>0.96299999999999997</v>
      </c>
      <c r="E126" s="464"/>
      <c r="F126" s="464">
        <f t="shared" si="5"/>
        <v>0.46299999999999997</v>
      </c>
      <c r="G126" s="464"/>
      <c r="H126" s="464"/>
      <c r="I126" s="464"/>
    </row>
    <row r="127" spans="1:9" ht="12.95" customHeight="1">
      <c r="A127" s="7">
        <f t="shared" si="3"/>
        <v>120</v>
      </c>
      <c r="B127" s="504">
        <v>44713.958333333336</v>
      </c>
      <c r="C127" s="489">
        <f t="shared" si="4"/>
        <v>76.2</v>
      </c>
      <c r="D127" s="489">
        <v>0.76200000000000001</v>
      </c>
      <c r="E127" s="464"/>
      <c r="F127" s="464">
        <f t="shared" si="5"/>
        <v>0.26200000000000001</v>
      </c>
      <c r="G127" s="464"/>
      <c r="H127" s="464"/>
      <c r="I127" s="464"/>
    </row>
    <row r="128" spans="1:9" ht="12.95" customHeight="1">
      <c r="A128" s="9">
        <f t="shared" si="3"/>
        <v>121</v>
      </c>
      <c r="B128" s="504">
        <v>44714</v>
      </c>
      <c r="C128" s="489">
        <f t="shared" si="4"/>
        <v>65.8</v>
      </c>
      <c r="D128" s="489">
        <v>0.65800000000000003</v>
      </c>
      <c r="E128" s="464"/>
      <c r="F128" s="464">
        <f t="shared" si="5"/>
        <v>0.15800000000000003</v>
      </c>
      <c r="G128" s="464"/>
      <c r="H128" s="464"/>
      <c r="I128" s="464"/>
    </row>
    <row r="129" spans="1:9" ht="12.95" customHeight="1">
      <c r="A129" s="9">
        <f t="shared" si="3"/>
        <v>122</v>
      </c>
      <c r="B129" s="504">
        <v>44714.041666666664</v>
      </c>
      <c r="C129" s="489">
        <f t="shared" si="4"/>
        <v>75</v>
      </c>
      <c r="D129" s="489">
        <v>0.75</v>
      </c>
      <c r="E129" s="464"/>
      <c r="F129" s="464">
        <f t="shared" si="5"/>
        <v>0.25</v>
      </c>
      <c r="G129" s="464"/>
      <c r="H129" s="464"/>
      <c r="I129" s="464"/>
    </row>
    <row r="130" spans="1:9" ht="12.95" customHeight="1">
      <c r="A130" s="9">
        <f t="shared" si="3"/>
        <v>123</v>
      </c>
      <c r="B130" s="504">
        <v>44714.083333333336</v>
      </c>
      <c r="C130" s="489">
        <f t="shared" si="4"/>
        <v>106.1</v>
      </c>
      <c r="D130" s="489">
        <v>1.0609999999999999</v>
      </c>
      <c r="E130" s="464"/>
      <c r="F130" s="464">
        <f t="shared" si="5"/>
        <v>0.56099999999999994</v>
      </c>
      <c r="G130" s="464"/>
      <c r="H130" s="464"/>
      <c r="I130" s="464"/>
    </row>
    <row r="131" spans="1:9" ht="12.95" customHeight="1">
      <c r="A131" s="9">
        <f t="shared" si="3"/>
        <v>124</v>
      </c>
      <c r="B131" s="504">
        <v>44714.125</v>
      </c>
      <c r="C131" s="489">
        <f t="shared" si="4"/>
        <v>149.30000000000001</v>
      </c>
      <c r="D131" s="489">
        <v>1.4930000000000001</v>
      </c>
      <c r="E131" s="464"/>
      <c r="F131" s="464">
        <f t="shared" si="5"/>
        <v>0.9930000000000001</v>
      </c>
      <c r="G131" s="464"/>
      <c r="H131" s="464"/>
      <c r="I131" s="464"/>
    </row>
    <row r="132" spans="1:9" ht="12.95" customHeight="1">
      <c r="A132" s="9">
        <f t="shared" si="3"/>
        <v>125</v>
      </c>
      <c r="B132" s="504">
        <v>44714.166666666664</v>
      </c>
      <c r="C132" s="489">
        <f t="shared" si="4"/>
        <v>199.9</v>
      </c>
      <c r="D132" s="489">
        <v>1.9990000000000001</v>
      </c>
      <c r="E132" s="464"/>
      <c r="F132" s="464">
        <f t="shared" si="5"/>
        <v>1.4990000000000001</v>
      </c>
      <c r="G132" s="464"/>
      <c r="H132" s="464"/>
      <c r="I132" s="464"/>
    </row>
    <row r="133" spans="1:9" ht="12.95" customHeight="1">
      <c r="A133" s="9">
        <f t="shared" si="3"/>
        <v>126</v>
      </c>
      <c r="B133" s="504">
        <v>44714.208333333336</v>
      </c>
      <c r="C133" s="489">
        <f t="shared" si="4"/>
        <v>243.5</v>
      </c>
      <c r="D133" s="489">
        <v>2.4350000000000001</v>
      </c>
      <c r="E133" s="464"/>
      <c r="F133" s="464">
        <f t="shared" si="5"/>
        <v>1.9350000000000001</v>
      </c>
      <c r="G133" s="464"/>
      <c r="H133" s="464"/>
      <c r="I133" s="464"/>
    </row>
    <row r="134" spans="1:9" ht="12.95" customHeight="1">
      <c r="A134" s="9">
        <f t="shared" si="3"/>
        <v>127</v>
      </c>
      <c r="B134" s="504">
        <v>44714.25</v>
      </c>
      <c r="C134" s="489">
        <f t="shared" si="4"/>
        <v>274.5</v>
      </c>
      <c r="D134" s="489">
        <v>2.7450000000000001</v>
      </c>
      <c r="E134" s="464"/>
      <c r="F134" s="464">
        <f t="shared" si="5"/>
        <v>2.2450000000000001</v>
      </c>
      <c r="G134" s="464"/>
      <c r="H134" s="464"/>
      <c r="I134" s="464"/>
    </row>
    <row r="135" spans="1:9" ht="12.95" customHeight="1">
      <c r="A135" s="9">
        <f t="shared" si="3"/>
        <v>128</v>
      </c>
      <c r="B135" s="504">
        <v>44714.291666666664</v>
      </c>
      <c r="C135" s="489">
        <f t="shared" si="4"/>
        <v>284.60000000000002</v>
      </c>
      <c r="D135" s="489">
        <v>2.8460000000000001</v>
      </c>
      <c r="E135" s="464"/>
      <c r="F135" s="464">
        <f t="shared" si="5"/>
        <v>2.3460000000000001</v>
      </c>
      <c r="G135" s="464"/>
      <c r="H135" s="464"/>
      <c r="I135" s="464"/>
    </row>
    <row r="136" spans="1:9" ht="12.95" customHeight="1">
      <c r="A136" s="9">
        <f t="shared" ref="A136:A199" si="6">A135+1</f>
        <v>129</v>
      </c>
      <c r="B136" s="504">
        <v>44714.333333333336</v>
      </c>
      <c r="C136" s="489">
        <f t="shared" si="4"/>
        <v>275.8</v>
      </c>
      <c r="D136" s="489">
        <v>2.758</v>
      </c>
      <c r="E136" s="464"/>
      <c r="F136" s="464">
        <f t="shared" si="5"/>
        <v>2.258</v>
      </c>
      <c r="G136" s="464"/>
      <c r="H136" s="464"/>
      <c r="I136" s="464"/>
    </row>
    <row r="137" spans="1:9" ht="12.95" customHeight="1">
      <c r="A137" s="9">
        <f t="shared" si="6"/>
        <v>130</v>
      </c>
      <c r="B137" s="504">
        <v>44714.375</v>
      </c>
      <c r="C137" s="489">
        <f t="shared" ref="C137:C200" si="7">D137*100</f>
        <v>250.59999999999997</v>
      </c>
      <c r="D137" s="489">
        <v>2.5059999999999998</v>
      </c>
      <c r="E137" s="464"/>
      <c r="F137" s="464">
        <f t="shared" ref="F137:F200" si="8">D137-0.5</f>
        <v>2.0059999999999998</v>
      </c>
      <c r="G137" s="464"/>
      <c r="H137" s="464"/>
      <c r="I137" s="464"/>
    </row>
    <row r="138" spans="1:9" ht="12.95" customHeight="1">
      <c r="A138" s="9">
        <f t="shared" si="6"/>
        <v>131</v>
      </c>
      <c r="B138" s="504">
        <v>44714.416666666664</v>
      </c>
      <c r="C138" s="489">
        <f t="shared" si="7"/>
        <v>212.3</v>
      </c>
      <c r="D138" s="489">
        <v>2.1230000000000002</v>
      </c>
      <c r="E138" s="464"/>
      <c r="F138" s="464">
        <f t="shared" si="8"/>
        <v>1.6230000000000002</v>
      </c>
      <c r="G138" s="464"/>
      <c r="H138" s="464"/>
      <c r="I138" s="464"/>
    </row>
    <row r="139" spans="1:9" ht="12.95" customHeight="1">
      <c r="A139" s="9">
        <f t="shared" si="6"/>
        <v>132</v>
      </c>
      <c r="B139" s="504">
        <v>44714.458333333336</v>
      </c>
      <c r="C139" s="489">
        <f t="shared" si="7"/>
        <v>174.9</v>
      </c>
      <c r="D139" s="489">
        <v>1.7490000000000001</v>
      </c>
      <c r="E139" s="464"/>
      <c r="F139" s="464">
        <f t="shared" si="8"/>
        <v>1.2490000000000001</v>
      </c>
      <c r="G139" s="464"/>
      <c r="H139" s="464"/>
      <c r="I139" s="464"/>
    </row>
    <row r="140" spans="1:9" ht="12.95" customHeight="1">
      <c r="A140" s="9">
        <f t="shared" si="6"/>
        <v>133</v>
      </c>
      <c r="B140" s="504">
        <v>44714.5</v>
      </c>
      <c r="C140" s="489">
        <f t="shared" si="7"/>
        <v>142.9</v>
      </c>
      <c r="D140" s="489">
        <v>1.429</v>
      </c>
      <c r="E140" s="464"/>
      <c r="F140" s="464">
        <f t="shared" si="8"/>
        <v>0.92900000000000005</v>
      </c>
      <c r="G140" s="464"/>
      <c r="H140" s="464"/>
      <c r="I140" s="464"/>
    </row>
    <row r="141" spans="1:9" ht="12.95" customHeight="1">
      <c r="A141" s="9">
        <f t="shared" si="6"/>
        <v>134</v>
      </c>
      <c r="B141" s="504">
        <v>44714.541666666664</v>
      </c>
      <c r="C141" s="489">
        <f t="shared" si="7"/>
        <v>126.1</v>
      </c>
      <c r="D141" s="489">
        <v>1.2609999999999999</v>
      </c>
      <c r="E141" s="464"/>
      <c r="F141" s="464">
        <f t="shared" si="8"/>
        <v>0.7609999999999999</v>
      </c>
      <c r="G141" s="464"/>
      <c r="H141" s="464"/>
      <c r="I141" s="464"/>
    </row>
    <row r="142" spans="1:9" ht="12.95" customHeight="1">
      <c r="A142" s="9">
        <f t="shared" si="6"/>
        <v>135</v>
      </c>
      <c r="B142" s="504">
        <v>44714.583333333336</v>
      </c>
      <c r="C142" s="489">
        <f t="shared" si="7"/>
        <v>123.10000000000001</v>
      </c>
      <c r="D142" s="489">
        <v>1.2310000000000001</v>
      </c>
      <c r="E142" s="464"/>
      <c r="F142" s="464">
        <f t="shared" si="8"/>
        <v>0.73100000000000009</v>
      </c>
      <c r="G142" s="464"/>
      <c r="H142" s="464"/>
      <c r="I142" s="464"/>
    </row>
    <row r="143" spans="1:9" ht="12.95" customHeight="1">
      <c r="A143" s="9">
        <f t="shared" si="6"/>
        <v>136</v>
      </c>
      <c r="B143" s="504">
        <v>44714.625</v>
      </c>
      <c r="C143" s="489">
        <f t="shared" si="7"/>
        <v>137.20000000000002</v>
      </c>
      <c r="D143" s="489">
        <v>1.3720000000000001</v>
      </c>
      <c r="E143" s="464"/>
      <c r="F143" s="464">
        <f t="shared" si="8"/>
        <v>0.87200000000000011</v>
      </c>
      <c r="G143" s="464"/>
      <c r="H143" s="464"/>
      <c r="I143" s="464"/>
    </row>
    <row r="144" spans="1:9" ht="12.95" customHeight="1">
      <c r="A144" s="9">
        <f t="shared" si="6"/>
        <v>137</v>
      </c>
      <c r="B144" s="504">
        <v>44714.666666666664</v>
      </c>
      <c r="C144" s="489">
        <f t="shared" si="7"/>
        <v>158.80000000000001</v>
      </c>
      <c r="D144" s="489">
        <v>1.5880000000000001</v>
      </c>
      <c r="E144" s="464"/>
      <c r="F144" s="464">
        <f t="shared" si="8"/>
        <v>1.0880000000000001</v>
      </c>
      <c r="G144" s="464"/>
      <c r="H144" s="464"/>
      <c r="I144" s="464"/>
    </row>
    <row r="145" spans="1:9" ht="12.95" customHeight="1">
      <c r="A145" s="9">
        <f t="shared" si="6"/>
        <v>138</v>
      </c>
      <c r="B145" s="504">
        <v>44714.708333333336</v>
      </c>
      <c r="C145" s="489">
        <f t="shared" si="7"/>
        <v>176.89999999999998</v>
      </c>
      <c r="D145" s="489">
        <v>1.7689999999999999</v>
      </c>
      <c r="E145" s="464"/>
      <c r="F145" s="464">
        <f t="shared" si="8"/>
        <v>1.2689999999999999</v>
      </c>
      <c r="G145" s="464"/>
      <c r="H145" s="464"/>
      <c r="I145" s="464"/>
    </row>
    <row r="146" spans="1:9" ht="12.95" customHeight="1">
      <c r="A146" s="9">
        <f t="shared" si="6"/>
        <v>139</v>
      </c>
      <c r="B146" s="504">
        <v>44714.75</v>
      </c>
      <c r="C146" s="489">
        <f t="shared" si="7"/>
        <v>181.29999999999998</v>
      </c>
      <c r="D146" s="489">
        <v>1.8129999999999999</v>
      </c>
      <c r="E146" s="464"/>
      <c r="F146" s="464">
        <f t="shared" si="8"/>
        <v>1.3129999999999999</v>
      </c>
      <c r="G146" s="464"/>
      <c r="H146" s="464"/>
      <c r="I146" s="464"/>
    </row>
    <row r="147" spans="1:9" ht="12.95" customHeight="1">
      <c r="A147" s="9">
        <f t="shared" si="6"/>
        <v>140</v>
      </c>
      <c r="B147" s="504">
        <v>44714.791666666664</v>
      </c>
      <c r="C147" s="489">
        <f t="shared" si="7"/>
        <v>177.7</v>
      </c>
      <c r="D147" s="489">
        <v>1.7769999999999999</v>
      </c>
      <c r="E147" s="464"/>
      <c r="F147" s="464">
        <f t="shared" si="8"/>
        <v>1.2769999999999999</v>
      </c>
      <c r="G147" s="464"/>
      <c r="H147" s="464"/>
      <c r="I147" s="464"/>
    </row>
    <row r="148" spans="1:9" ht="12.95" customHeight="1">
      <c r="A148" s="9">
        <f t="shared" si="6"/>
        <v>141</v>
      </c>
      <c r="B148" s="504">
        <v>44714.833333333336</v>
      </c>
      <c r="C148" s="489">
        <f t="shared" si="7"/>
        <v>164.1</v>
      </c>
      <c r="D148" s="489">
        <v>1.641</v>
      </c>
      <c r="E148" s="464"/>
      <c r="F148" s="464">
        <f t="shared" si="8"/>
        <v>1.141</v>
      </c>
      <c r="G148" s="464"/>
      <c r="H148" s="464"/>
      <c r="I148" s="464"/>
    </row>
    <row r="149" spans="1:9" ht="12.95" customHeight="1">
      <c r="A149" s="9">
        <f t="shared" si="6"/>
        <v>142</v>
      </c>
      <c r="B149" s="504">
        <v>44714.875</v>
      </c>
      <c r="C149" s="489">
        <f t="shared" si="7"/>
        <v>140.79999999999998</v>
      </c>
      <c r="D149" s="489">
        <v>1.4079999999999999</v>
      </c>
      <c r="E149" s="464"/>
      <c r="F149" s="464">
        <f t="shared" si="8"/>
        <v>0.90799999999999992</v>
      </c>
      <c r="G149" s="464"/>
      <c r="H149" s="464"/>
      <c r="I149" s="464"/>
    </row>
    <row r="150" spans="1:9" ht="12.95" customHeight="1">
      <c r="A150" s="9">
        <f t="shared" si="6"/>
        <v>143</v>
      </c>
      <c r="B150" s="504">
        <v>44714.916666666664</v>
      </c>
      <c r="C150" s="489">
        <f t="shared" si="7"/>
        <v>115.10000000000001</v>
      </c>
      <c r="D150" s="489">
        <v>1.151</v>
      </c>
      <c r="E150" s="464"/>
      <c r="F150" s="464">
        <f t="shared" si="8"/>
        <v>0.65100000000000002</v>
      </c>
      <c r="G150" s="464"/>
      <c r="H150" s="464"/>
      <c r="I150" s="464"/>
    </row>
    <row r="151" spans="1:9" ht="12.95" customHeight="1">
      <c r="A151" s="10">
        <f t="shared" si="6"/>
        <v>144</v>
      </c>
      <c r="B151" s="504">
        <v>44714.958333333336</v>
      </c>
      <c r="C151" s="489">
        <f t="shared" si="7"/>
        <v>90.4</v>
      </c>
      <c r="D151" s="489">
        <v>0.90400000000000003</v>
      </c>
      <c r="E151" s="464"/>
      <c r="F151" s="464">
        <f t="shared" si="8"/>
        <v>0.40400000000000003</v>
      </c>
      <c r="G151" s="464"/>
      <c r="H151" s="464"/>
      <c r="I151" s="464"/>
    </row>
    <row r="152" spans="1:9" ht="12.95" customHeight="1">
      <c r="A152" s="6">
        <f t="shared" si="6"/>
        <v>145</v>
      </c>
      <c r="B152" s="504">
        <v>44715</v>
      </c>
      <c r="C152" s="489">
        <f t="shared" si="7"/>
        <v>74</v>
      </c>
      <c r="D152" s="489">
        <v>0.74</v>
      </c>
      <c r="E152" s="464"/>
      <c r="F152" s="464">
        <f t="shared" si="8"/>
        <v>0.24</v>
      </c>
      <c r="G152" s="464"/>
      <c r="H152" s="464"/>
      <c r="I152" s="464"/>
    </row>
    <row r="153" spans="1:9" ht="12.95" customHeight="1">
      <c r="A153" s="6">
        <f t="shared" si="6"/>
        <v>146</v>
      </c>
      <c r="B153" s="504">
        <v>44715.041666666664</v>
      </c>
      <c r="C153" s="489">
        <f t="shared" si="7"/>
        <v>75.400000000000006</v>
      </c>
      <c r="D153" s="489">
        <v>0.754</v>
      </c>
      <c r="E153" s="464"/>
      <c r="F153" s="464">
        <f t="shared" si="8"/>
        <v>0.254</v>
      </c>
      <c r="G153" s="464"/>
      <c r="H153" s="464"/>
      <c r="I153" s="464"/>
    </row>
    <row r="154" spans="1:9" ht="12.95" customHeight="1">
      <c r="A154" s="6">
        <f t="shared" si="6"/>
        <v>147</v>
      </c>
      <c r="B154" s="504">
        <v>44715.083333333336</v>
      </c>
      <c r="C154" s="489">
        <f t="shared" si="7"/>
        <v>94.699999999999989</v>
      </c>
      <c r="D154" s="489">
        <v>0.94699999999999995</v>
      </c>
      <c r="E154" s="464"/>
      <c r="F154" s="464">
        <f t="shared" si="8"/>
        <v>0.44699999999999995</v>
      </c>
      <c r="G154" s="464"/>
      <c r="H154" s="464"/>
      <c r="I154" s="464"/>
    </row>
    <row r="155" spans="1:9" ht="12.95" customHeight="1">
      <c r="A155" s="6">
        <f t="shared" si="6"/>
        <v>148</v>
      </c>
      <c r="B155" s="504">
        <v>44715.125</v>
      </c>
      <c r="C155" s="489">
        <f t="shared" si="7"/>
        <v>130.5</v>
      </c>
      <c r="D155" s="489">
        <v>1.3049999999999999</v>
      </c>
      <c r="E155" s="464"/>
      <c r="F155" s="464">
        <f t="shared" si="8"/>
        <v>0.80499999999999994</v>
      </c>
      <c r="G155" s="464"/>
      <c r="H155" s="464"/>
      <c r="I155" s="464"/>
    </row>
    <row r="156" spans="1:9" ht="12.95" customHeight="1">
      <c r="A156" s="6">
        <f t="shared" si="6"/>
        <v>149</v>
      </c>
      <c r="B156" s="504">
        <v>44715.166666666664</v>
      </c>
      <c r="C156" s="489">
        <f t="shared" si="7"/>
        <v>175.4</v>
      </c>
      <c r="D156" s="489">
        <v>1.754</v>
      </c>
      <c r="E156" s="464"/>
      <c r="F156" s="464">
        <f t="shared" si="8"/>
        <v>1.254</v>
      </c>
      <c r="G156" s="464"/>
      <c r="H156" s="464"/>
      <c r="I156" s="464"/>
    </row>
    <row r="157" spans="1:9" ht="12.95" customHeight="1">
      <c r="A157" s="6">
        <f t="shared" si="6"/>
        <v>150</v>
      </c>
      <c r="B157" s="504">
        <v>44715.208333333336</v>
      </c>
      <c r="C157" s="489">
        <f t="shared" si="7"/>
        <v>218.5</v>
      </c>
      <c r="D157" s="489">
        <v>2.1850000000000001</v>
      </c>
      <c r="E157" s="464"/>
      <c r="F157" s="464">
        <f t="shared" si="8"/>
        <v>1.6850000000000001</v>
      </c>
      <c r="G157" s="464"/>
      <c r="H157" s="464"/>
      <c r="I157" s="464"/>
    </row>
    <row r="158" spans="1:9" ht="12.95" customHeight="1">
      <c r="A158" s="6">
        <f t="shared" si="6"/>
        <v>151</v>
      </c>
      <c r="B158" s="504">
        <v>44715.25</v>
      </c>
      <c r="C158" s="489">
        <f t="shared" si="7"/>
        <v>254.70000000000002</v>
      </c>
      <c r="D158" s="489">
        <v>2.5470000000000002</v>
      </c>
      <c r="E158" s="464"/>
      <c r="F158" s="464">
        <f t="shared" si="8"/>
        <v>2.0470000000000002</v>
      </c>
      <c r="G158" s="464"/>
      <c r="H158" s="464"/>
      <c r="I158" s="464"/>
    </row>
    <row r="159" spans="1:9" ht="12.95" customHeight="1">
      <c r="A159" s="6">
        <f t="shared" si="6"/>
        <v>152</v>
      </c>
      <c r="B159" s="504">
        <v>44715.291666666664</v>
      </c>
      <c r="C159" s="489">
        <f t="shared" si="7"/>
        <v>275.8</v>
      </c>
      <c r="D159" s="489">
        <v>2.758</v>
      </c>
      <c r="E159" s="464"/>
      <c r="F159" s="464">
        <f t="shared" si="8"/>
        <v>2.258</v>
      </c>
      <c r="G159" s="464"/>
      <c r="H159" s="464"/>
      <c r="I159" s="464"/>
    </row>
    <row r="160" spans="1:9" ht="12.95" customHeight="1">
      <c r="A160" s="6">
        <f t="shared" si="6"/>
        <v>153</v>
      </c>
      <c r="B160" s="504">
        <v>44715.333333333336</v>
      </c>
      <c r="C160" s="489">
        <f t="shared" si="7"/>
        <v>277.3</v>
      </c>
      <c r="D160" s="489">
        <v>2.7730000000000001</v>
      </c>
      <c r="E160" s="464"/>
      <c r="F160" s="464">
        <f t="shared" si="8"/>
        <v>2.2730000000000001</v>
      </c>
      <c r="G160" s="464"/>
      <c r="H160" s="464"/>
      <c r="I160" s="464"/>
    </row>
    <row r="161" spans="1:9" ht="12.95" customHeight="1">
      <c r="A161" s="6">
        <f t="shared" si="6"/>
        <v>154</v>
      </c>
      <c r="B161" s="504">
        <v>44715.375</v>
      </c>
      <c r="C161" s="489">
        <f t="shared" si="7"/>
        <v>259.8</v>
      </c>
      <c r="D161" s="489">
        <v>2.5979999999999999</v>
      </c>
      <c r="E161" s="464"/>
      <c r="F161" s="464">
        <f t="shared" si="8"/>
        <v>2.0979999999999999</v>
      </c>
      <c r="G161" s="464"/>
      <c r="H161" s="464"/>
      <c r="I161" s="464"/>
    </row>
    <row r="162" spans="1:9" ht="12.95" customHeight="1">
      <c r="A162" s="6">
        <f t="shared" si="6"/>
        <v>155</v>
      </c>
      <c r="B162" s="504">
        <v>44715.416666666664</v>
      </c>
      <c r="C162" s="489">
        <f t="shared" si="7"/>
        <v>227.8</v>
      </c>
      <c r="D162" s="489">
        <v>2.278</v>
      </c>
      <c r="E162" s="464"/>
      <c r="F162" s="464">
        <f t="shared" si="8"/>
        <v>1.778</v>
      </c>
      <c r="G162" s="464"/>
      <c r="H162" s="464"/>
      <c r="I162" s="464"/>
    </row>
    <row r="163" spans="1:9" ht="12.95" customHeight="1">
      <c r="A163" s="6">
        <f t="shared" si="6"/>
        <v>156</v>
      </c>
      <c r="B163" s="504">
        <v>44715.458333333336</v>
      </c>
      <c r="C163" s="489">
        <f t="shared" si="7"/>
        <v>188.7</v>
      </c>
      <c r="D163" s="489">
        <v>1.887</v>
      </c>
      <c r="E163" s="464"/>
      <c r="F163" s="464">
        <f t="shared" si="8"/>
        <v>1.387</v>
      </c>
      <c r="G163" s="464"/>
      <c r="H163" s="464"/>
      <c r="I163" s="464"/>
    </row>
    <row r="164" spans="1:9" ht="12.95" customHeight="1">
      <c r="A164" s="6">
        <f t="shared" si="6"/>
        <v>157</v>
      </c>
      <c r="B164" s="504">
        <v>44715.5</v>
      </c>
      <c r="C164" s="489">
        <f t="shared" si="7"/>
        <v>156.20000000000002</v>
      </c>
      <c r="D164" s="489">
        <v>1.5620000000000001</v>
      </c>
      <c r="E164" s="464"/>
      <c r="F164" s="464">
        <f t="shared" si="8"/>
        <v>1.0620000000000001</v>
      </c>
      <c r="G164" s="464"/>
      <c r="H164" s="464"/>
      <c r="I164" s="464"/>
    </row>
    <row r="165" spans="1:9" ht="12.95" customHeight="1">
      <c r="A165" s="6">
        <f t="shared" si="6"/>
        <v>158</v>
      </c>
      <c r="B165" s="504">
        <v>44715.541666666664</v>
      </c>
      <c r="C165" s="489">
        <f t="shared" si="7"/>
        <v>134.9</v>
      </c>
      <c r="D165" s="489">
        <v>1.349</v>
      </c>
      <c r="E165" s="464"/>
      <c r="F165" s="464">
        <f t="shared" si="8"/>
        <v>0.84899999999999998</v>
      </c>
      <c r="G165" s="464"/>
      <c r="H165" s="464"/>
      <c r="I165" s="464"/>
    </row>
    <row r="166" spans="1:9" ht="12.95" customHeight="1">
      <c r="A166" s="6">
        <f t="shared" si="6"/>
        <v>159</v>
      </c>
      <c r="B166" s="504">
        <v>44715.583333333336</v>
      </c>
      <c r="C166" s="489">
        <f t="shared" si="7"/>
        <v>128</v>
      </c>
      <c r="D166" s="489">
        <v>1.28</v>
      </c>
      <c r="E166" s="464"/>
      <c r="F166" s="464">
        <f t="shared" si="8"/>
        <v>0.78</v>
      </c>
      <c r="G166" s="464"/>
      <c r="H166" s="464"/>
      <c r="I166" s="464"/>
    </row>
    <row r="167" spans="1:9" ht="12.95" customHeight="1">
      <c r="A167" s="6">
        <f t="shared" si="6"/>
        <v>160</v>
      </c>
      <c r="B167" s="504">
        <v>44715.625</v>
      </c>
      <c r="C167" s="489">
        <f t="shared" si="7"/>
        <v>135</v>
      </c>
      <c r="D167" s="489">
        <v>1.35</v>
      </c>
      <c r="E167" s="464"/>
      <c r="F167" s="464">
        <f t="shared" si="8"/>
        <v>0.85000000000000009</v>
      </c>
      <c r="G167" s="464"/>
      <c r="H167" s="464"/>
      <c r="I167" s="464"/>
    </row>
    <row r="168" spans="1:9" ht="12.95" customHeight="1">
      <c r="A168" s="6">
        <f t="shared" si="6"/>
        <v>161</v>
      </c>
      <c r="B168" s="504">
        <v>44715.666666666664</v>
      </c>
      <c r="C168" s="489">
        <f t="shared" si="7"/>
        <v>152.69999999999999</v>
      </c>
      <c r="D168" s="489">
        <v>1.5269999999999999</v>
      </c>
      <c r="E168" s="464"/>
      <c r="F168" s="464">
        <f t="shared" si="8"/>
        <v>1.0269999999999999</v>
      </c>
      <c r="G168" s="464"/>
      <c r="H168" s="464"/>
      <c r="I168" s="464"/>
    </row>
    <row r="169" spans="1:9" ht="12.95" customHeight="1">
      <c r="A169" s="6">
        <f t="shared" si="6"/>
        <v>162</v>
      </c>
      <c r="B169" s="504">
        <v>44715.708333333336</v>
      </c>
      <c r="C169" s="489">
        <f t="shared" si="7"/>
        <v>168</v>
      </c>
      <c r="D169" s="489">
        <v>1.68</v>
      </c>
      <c r="E169" s="464"/>
      <c r="F169" s="464">
        <f t="shared" si="8"/>
        <v>1.18</v>
      </c>
      <c r="G169" s="464"/>
      <c r="H169" s="464"/>
      <c r="I169" s="464"/>
    </row>
    <row r="170" spans="1:9" ht="12.95" customHeight="1">
      <c r="A170" s="6">
        <f t="shared" si="6"/>
        <v>163</v>
      </c>
      <c r="B170" s="504">
        <v>44715.75</v>
      </c>
      <c r="C170" s="489">
        <f t="shared" si="7"/>
        <v>177.89999999999998</v>
      </c>
      <c r="D170" s="489">
        <v>1.7789999999999999</v>
      </c>
      <c r="E170" s="464"/>
      <c r="F170" s="464">
        <f t="shared" si="8"/>
        <v>1.2789999999999999</v>
      </c>
      <c r="G170" s="464"/>
      <c r="H170" s="464"/>
      <c r="I170" s="464"/>
    </row>
    <row r="171" spans="1:9" ht="12.95" customHeight="1">
      <c r="A171" s="6">
        <f t="shared" si="6"/>
        <v>164</v>
      </c>
      <c r="B171" s="504">
        <v>44715.791666666664</v>
      </c>
      <c r="C171" s="489">
        <f t="shared" si="7"/>
        <v>176.6</v>
      </c>
      <c r="D171" s="489">
        <v>1.766</v>
      </c>
      <c r="E171" s="464"/>
      <c r="F171" s="464">
        <f t="shared" si="8"/>
        <v>1.266</v>
      </c>
      <c r="G171" s="464"/>
      <c r="H171" s="464"/>
      <c r="I171" s="464"/>
    </row>
    <row r="172" spans="1:9" ht="12.95" customHeight="1">
      <c r="A172" s="6">
        <f t="shared" si="6"/>
        <v>165</v>
      </c>
      <c r="B172" s="504">
        <v>44715.833333333336</v>
      </c>
      <c r="C172" s="489">
        <f t="shared" si="7"/>
        <v>168.3</v>
      </c>
      <c r="D172" s="489">
        <v>1.6830000000000001</v>
      </c>
      <c r="E172" s="464"/>
      <c r="F172" s="464">
        <f t="shared" si="8"/>
        <v>1.1830000000000001</v>
      </c>
      <c r="G172" s="464"/>
      <c r="H172" s="464"/>
      <c r="I172" s="464"/>
    </row>
    <row r="173" spans="1:9" ht="12.95" customHeight="1">
      <c r="A173" s="6">
        <f t="shared" si="6"/>
        <v>166</v>
      </c>
      <c r="B173" s="504">
        <v>44715.875</v>
      </c>
      <c r="C173" s="489">
        <f t="shared" si="7"/>
        <v>147.5</v>
      </c>
      <c r="D173" s="489">
        <v>1.4750000000000001</v>
      </c>
      <c r="E173" s="464"/>
      <c r="F173" s="464">
        <f t="shared" si="8"/>
        <v>0.97500000000000009</v>
      </c>
      <c r="G173" s="464"/>
      <c r="H173" s="464"/>
      <c r="I173" s="464"/>
    </row>
    <row r="174" spans="1:9" ht="12.95" customHeight="1">
      <c r="A174" s="6">
        <f t="shared" si="6"/>
        <v>167</v>
      </c>
      <c r="B174" s="504">
        <v>44715.916666666664</v>
      </c>
      <c r="C174" s="489">
        <f t="shared" si="7"/>
        <v>126.29999999999998</v>
      </c>
      <c r="D174" s="489">
        <v>1.2629999999999999</v>
      </c>
      <c r="E174" s="464"/>
      <c r="F174" s="464">
        <f t="shared" si="8"/>
        <v>0.7629999999999999</v>
      </c>
      <c r="G174" s="464"/>
      <c r="H174" s="464"/>
      <c r="I174" s="464"/>
    </row>
    <row r="175" spans="1:9" ht="12.95" customHeight="1">
      <c r="A175" s="7">
        <f t="shared" si="6"/>
        <v>168</v>
      </c>
      <c r="B175" s="504">
        <v>44715.958333333336</v>
      </c>
      <c r="C175" s="489">
        <f t="shared" si="7"/>
        <v>102.3</v>
      </c>
      <c r="D175" s="489">
        <v>1.0229999999999999</v>
      </c>
      <c r="E175" s="464"/>
      <c r="F175" s="464">
        <f t="shared" si="8"/>
        <v>0.52299999999999991</v>
      </c>
      <c r="G175" s="464"/>
      <c r="H175" s="464"/>
      <c r="I175" s="464"/>
    </row>
    <row r="176" spans="1:9" ht="12.95" customHeight="1">
      <c r="A176" s="9">
        <f t="shared" si="6"/>
        <v>169</v>
      </c>
      <c r="B176" s="504">
        <v>44716</v>
      </c>
      <c r="C176" s="489">
        <f t="shared" si="7"/>
        <v>79.7</v>
      </c>
      <c r="D176" s="489">
        <v>0.79700000000000004</v>
      </c>
      <c r="E176" s="464"/>
      <c r="F176" s="464">
        <f t="shared" si="8"/>
        <v>0.29700000000000004</v>
      </c>
      <c r="G176" s="464"/>
      <c r="H176" s="464"/>
      <c r="I176" s="464"/>
    </row>
    <row r="177" spans="1:9" ht="12.95" customHeight="1">
      <c r="A177" s="9">
        <f t="shared" si="6"/>
        <v>170</v>
      </c>
      <c r="B177" s="504">
        <v>44716.041666666664</v>
      </c>
      <c r="C177" s="489">
        <f t="shared" si="7"/>
        <v>73.400000000000006</v>
      </c>
      <c r="D177" s="489">
        <v>0.73399999999999999</v>
      </c>
      <c r="E177" s="464"/>
      <c r="F177" s="464">
        <f t="shared" si="8"/>
        <v>0.23399999999999999</v>
      </c>
      <c r="G177" s="464"/>
      <c r="H177" s="464"/>
      <c r="I177" s="464"/>
    </row>
    <row r="178" spans="1:9" ht="12.95" customHeight="1">
      <c r="A178" s="9">
        <f t="shared" si="6"/>
        <v>171</v>
      </c>
      <c r="B178" s="504">
        <v>44716.083333333336</v>
      </c>
      <c r="C178" s="489">
        <f t="shared" si="7"/>
        <v>85.7</v>
      </c>
      <c r="D178" s="489">
        <v>0.85699999999999998</v>
      </c>
      <c r="E178" s="464"/>
      <c r="F178" s="464">
        <f t="shared" si="8"/>
        <v>0.35699999999999998</v>
      </c>
      <c r="G178" s="464"/>
      <c r="H178" s="464"/>
      <c r="I178" s="464"/>
    </row>
    <row r="179" spans="1:9" ht="12.95" customHeight="1">
      <c r="A179" s="9">
        <f t="shared" si="6"/>
        <v>172</v>
      </c>
      <c r="B179" s="504">
        <v>44716.125</v>
      </c>
      <c r="C179" s="489">
        <f t="shared" si="7"/>
        <v>115.99999999999999</v>
      </c>
      <c r="D179" s="489">
        <v>1.1599999999999999</v>
      </c>
      <c r="E179" s="464"/>
      <c r="F179" s="464">
        <f t="shared" si="8"/>
        <v>0.65999999999999992</v>
      </c>
      <c r="G179" s="464"/>
      <c r="H179" s="464"/>
      <c r="I179" s="464"/>
    </row>
    <row r="180" spans="1:9" ht="12.95" customHeight="1">
      <c r="A180" s="9">
        <f t="shared" si="6"/>
        <v>173</v>
      </c>
      <c r="B180" s="504">
        <v>44716.166666666664</v>
      </c>
      <c r="C180" s="489">
        <f t="shared" si="7"/>
        <v>154</v>
      </c>
      <c r="D180" s="489">
        <v>1.54</v>
      </c>
      <c r="E180" s="464"/>
      <c r="F180" s="464">
        <f t="shared" si="8"/>
        <v>1.04</v>
      </c>
      <c r="G180" s="464"/>
      <c r="H180" s="464"/>
      <c r="I180" s="464"/>
    </row>
    <row r="181" spans="1:9" ht="12.95" customHeight="1">
      <c r="A181" s="9">
        <f t="shared" si="6"/>
        <v>174</v>
      </c>
      <c r="B181" s="504">
        <v>44716.208333333336</v>
      </c>
      <c r="C181" s="489">
        <f t="shared" si="7"/>
        <v>198.9</v>
      </c>
      <c r="D181" s="489">
        <v>1.9890000000000001</v>
      </c>
      <c r="E181" s="464"/>
      <c r="F181" s="464">
        <f t="shared" si="8"/>
        <v>1.4890000000000001</v>
      </c>
      <c r="G181" s="464"/>
      <c r="H181" s="464"/>
      <c r="I181" s="464"/>
    </row>
    <row r="182" spans="1:9" ht="12.95" customHeight="1">
      <c r="A182" s="9">
        <f t="shared" si="6"/>
        <v>175</v>
      </c>
      <c r="B182" s="504">
        <v>44716.25</v>
      </c>
      <c r="C182" s="489">
        <f t="shared" si="7"/>
        <v>235.6</v>
      </c>
      <c r="D182" s="489">
        <v>2.3559999999999999</v>
      </c>
      <c r="E182" s="464"/>
      <c r="F182" s="464">
        <f t="shared" si="8"/>
        <v>1.8559999999999999</v>
      </c>
      <c r="G182" s="464"/>
      <c r="H182" s="464"/>
      <c r="I182" s="464"/>
    </row>
    <row r="183" spans="1:9" ht="12.95" customHeight="1">
      <c r="A183" s="9">
        <f t="shared" si="6"/>
        <v>176</v>
      </c>
      <c r="B183" s="504">
        <v>44716.291666666664</v>
      </c>
      <c r="C183" s="489">
        <f t="shared" si="7"/>
        <v>259.5</v>
      </c>
      <c r="D183" s="489">
        <v>2.5950000000000002</v>
      </c>
      <c r="E183" s="464"/>
      <c r="F183" s="464">
        <f t="shared" si="8"/>
        <v>2.0950000000000002</v>
      </c>
      <c r="G183" s="464"/>
      <c r="H183" s="464"/>
      <c r="I183" s="464"/>
    </row>
    <row r="184" spans="1:9" ht="12.95" customHeight="1">
      <c r="A184" s="9">
        <f t="shared" si="6"/>
        <v>177</v>
      </c>
      <c r="B184" s="504">
        <v>44716.333333333336</v>
      </c>
      <c r="C184" s="489">
        <f t="shared" si="7"/>
        <v>268.89999999999998</v>
      </c>
      <c r="D184" s="489">
        <v>2.6890000000000001</v>
      </c>
      <c r="E184" s="464"/>
      <c r="F184" s="464">
        <f t="shared" si="8"/>
        <v>2.1890000000000001</v>
      </c>
      <c r="G184" s="464"/>
      <c r="H184" s="464"/>
      <c r="I184" s="464"/>
    </row>
    <row r="185" spans="1:9" ht="12.95" customHeight="1">
      <c r="A185" s="9">
        <f t="shared" si="6"/>
        <v>178</v>
      </c>
      <c r="B185" s="504">
        <v>44716.375</v>
      </c>
      <c r="C185" s="489">
        <f t="shared" si="7"/>
        <v>258.59999999999997</v>
      </c>
      <c r="D185" s="489">
        <v>2.5859999999999999</v>
      </c>
      <c r="E185" s="464"/>
      <c r="F185" s="464">
        <f t="shared" si="8"/>
        <v>2.0859999999999999</v>
      </c>
      <c r="G185" s="464"/>
      <c r="H185" s="464"/>
      <c r="I185" s="464"/>
    </row>
    <row r="186" spans="1:9" ht="12.95" customHeight="1">
      <c r="A186" s="9">
        <f t="shared" si="6"/>
        <v>179</v>
      </c>
      <c r="B186" s="504">
        <v>44716.416666666664</v>
      </c>
      <c r="C186" s="489">
        <f t="shared" si="7"/>
        <v>233.9</v>
      </c>
      <c r="D186" s="489">
        <v>2.339</v>
      </c>
      <c r="E186" s="464"/>
      <c r="F186" s="464">
        <f t="shared" si="8"/>
        <v>1.839</v>
      </c>
      <c r="G186" s="464"/>
      <c r="H186" s="464"/>
      <c r="I186" s="464"/>
    </row>
    <row r="187" spans="1:9" ht="12.95" customHeight="1">
      <c r="A187" s="9">
        <f t="shared" si="6"/>
        <v>180</v>
      </c>
      <c r="B187" s="504">
        <v>44716.458333333336</v>
      </c>
      <c r="C187" s="489">
        <f t="shared" si="7"/>
        <v>199.10000000000002</v>
      </c>
      <c r="D187" s="489">
        <v>1.9910000000000001</v>
      </c>
      <c r="E187" s="464"/>
      <c r="F187" s="464">
        <f t="shared" si="8"/>
        <v>1.4910000000000001</v>
      </c>
      <c r="G187" s="464"/>
      <c r="H187" s="464"/>
      <c r="I187" s="464"/>
    </row>
    <row r="188" spans="1:9" ht="12.95" customHeight="1">
      <c r="A188" s="9">
        <f t="shared" si="6"/>
        <v>181</v>
      </c>
      <c r="B188" s="504">
        <v>44716.5</v>
      </c>
      <c r="C188" s="489">
        <f t="shared" si="7"/>
        <v>169.79999999999998</v>
      </c>
      <c r="D188" s="489">
        <v>1.698</v>
      </c>
      <c r="E188" s="464"/>
      <c r="F188" s="464">
        <f t="shared" si="8"/>
        <v>1.198</v>
      </c>
      <c r="G188" s="464"/>
      <c r="H188" s="464"/>
      <c r="I188" s="464"/>
    </row>
    <row r="189" spans="1:9" ht="12.95" customHeight="1">
      <c r="A189" s="9">
        <f t="shared" si="6"/>
        <v>182</v>
      </c>
      <c r="B189" s="504">
        <v>44716.541666666664</v>
      </c>
      <c r="C189" s="489">
        <f t="shared" si="7"/>
        <v>143.55000000000001</v>
      </c>
      <c r="D189" s="489">
        <v>1.4355</v>
      </c>
      <c r="E189" s="464"/>
      <c r="F189" s="464">
        <f t="shared" si="8"/>
        <v>0.9355</v>
      </c>
      <c r="G189" s="464"/>
      <c r="H189" s="464"/>
      <c r="I189" s="464"/>
    </row>
    <row r="190" spans="1:9" ht="12.95" customHeight="1">
      <c r="A190" s="9">
        <f t="shared" si="6"/>
        <v>183</v>
      </c>
      <c r="B190" s="504">
        <v>44716.583333333336</v>
      </c>
      <c r="C190" s="489">
        <f t="shared" si="7"/>
        <v>131.9</v>
      </c>
      <c r="D190" s="489">
        <v>1.319</v>
      </c>
      <c r="E190" s="464"/>
      <c r="F190" s="464">
        <f t="shared" si="8"/>
        <v>0.81899999999999995</v>
      </c>
      <c r="G190" s="464"/>
      <c r="H190" s="464"/>
      <c r="I190" s="464"/>
    </row>
    <row r="191" spans="1:9" ht="12.95" customHeight="1">
      <c r="A191" s="9">
        <f t="shared" si="6"/>
        <v>184</v>
      </c>
      <c r="B191" s="504">
        <v>44716.625</v>
      </c>
      <c r="C191" s="489">
        <f t="shared" si="7"/>
        <v>130.4</v>
      </c>
      <c r="D191" s="489">
        <v>1.304</v>
      </c>
      <c r="E191" s="464"/>
      <c r="F191" s="464">
        <f t="shared" si="8"/>
        <v>0.80400000000000005</v>
      </c>
      <c r="G191" s="464"/>
      <c r="H191" s="464"/>
      <c r="I191" s="464"/>
    </row>
    <row r="192" spans="1:9" ht="12.95" customHeight="1">
      <c r="A192" s="9">
        <f t="shared" si="6"/>
        <v>185</v>
      </c>
      <c r="B192" s="504">
        <v>44716.666666666664</v>
      </c>
      <c r="C192" s="489">
        <f t="shared" si="7"/>
        <v>142.1</v>
      </c>
      <c r="D192" s="489">
        <v>1.421</v>
      </c>
      <c r="E192" s="464"/>
      <c r="F192" s="464">
        <f t="shared" si="8"/>
        <v>0.92100000000000004</v>
      </c>
      <c r="G192" s="464"/>
      <c r="H192" s="464"/>
      <c r="I192" s="464"/>
    </row>
    <row r="193" spans="1:9" ht="12.95" customHeight="1">
      <c r="A193" s="9">
        <f t="shared" si="6"/>
        <v>186</v>
      </c>
      <c r="B193" s="504">
        <v>44716.708333333336</v>
      </c>
      <c r="C193" s="489">
        <f t="shared" si="7"/>
        <v>159.4</v>
      </c>
      <c r="D193" s="489">
        <v>1.5940000000000001</v>
      </c>
      <c r="E193" s="464"/>
      <c r="F193" s="464">
        <f t="shared" si="8"/>
        <v>1.0940000000000001</v>
      </c>
      <c r="G193" s="464"/>
      <c r="H193" s="464"/>
      <c r="I193" s="464"/>
    </row>
    <row r="194" spans="1:9" ht="12.95" customHeight="1">
      <c r="A194" s="9">
        <f t="shared" si="6"/>
        <v>187</v>
      </c>
      <c r="B194" s="504">
        <v>44716.75</v>
      </c>
      <c r="C194" s="489">
        <f t="shared" si="7"/>
        <v>174.8</v>
      </c>
      <c r="D194" s="489">
        <v>1.748</v>
      </c>
      <c r="E194" s="464"/>
      <c r="F194" s="464">
        <f t="shared" si="8"/>
        <v>1.248</v>
      </c>
      <c r="G194" s="464"/>
      <c r="H194" s="464"/>
      <c r="I194" s="464"/>
    </row>
    <row r="195" spans="1:9" ht="12.95" customHeight="1">
      <c r="A195" s="9">
        <f t="shared" si="6"/>
        <v>188</v>
      </c>
      <c r="B195" s="504">
        <v>44716.791666666664</v>
      </c>
      <c r="C195" s="489">
        <f t="shared" si="7"/>
        <v>182</v>
      </c>
      <c r="D195" s="489">
        <v>1.82</v>
      </c>
      <c r="E195" s="464"/>
      <c r="F195" s="464">
        <f t="shared" si="8"/>
        <v>1.32</v>
      </c>
      <c r="G195" s="464"/>
      <c r="H195" s="464"/>
      <c r="I195" s="464"/>
    </row>
    <row r="196" spans="1:9" ht="12.95" customHeight="1">
      <c r="A196" s="9">
        <f t="shared" si="6"/>
        <v>189</v>
      </c>
      <c r="B196" s="504">
        <v>44716.833333333336</v>
      </c>
      <c r="C196" s="489">
        <f t="shared" si="7"/>
        <v>177.1</v>
      </c>
      <c r="D196" s="489">
        <v>1.7709999999999999</v>
      </c>
      <c r="E196" s="464"/>
      <c r="F196" s="464">
        <f t="shared" si="8"/>
        <v>1.2709999999999999</v>
      </c>
      <c r="G196" s="464"/>
      <c r="H196" s="464"/>
      <c r="I196" s="464"/>
    </row>
    <row r="197" spans="1:9" ht="12.95" customHeight="1">
      <c r="A197" s="9">
        <f t="shared" si="6"/>
        <v>190</v>
      </c>
      <c r="B197" s="504">
        <v>44716.875</v>
      </c>
      <c r="C197" s="489">
        <f t="shared" si="7"/>
        <v>158.80000000000001</v>
      </c>
      <c r="D197" s="489">
        <v>1.5880000000000001</v>
      </c>
      <c r="E197" s="464"/>
      <c r="F197" s="464">
        <f t="shared" si="8"/>
        <v>1.0880000000000001</v>
      </c>
      <c r="G197" s="464"/>
      <c r="H197" s="464"/>
      <c r="I197" s="464"/>
    </row>
    <row r="198" spans="1:9" ht="12.95" customHeight="1">
      <c r="A198" s="9">
        <f t="shared" si="6"/>
        <v>191</v>
      </c>
      <c r="B198" s="504">
        <v>44716.916666666664</v>
      </c>
      <c r="C198" s="489">
        <f t="shared" si="7"/>
        <v>136</v>
      </c>
      <c r="D198" s="489">
        <v>1.36</v>
      </c>
      <c r="E198" s="464"/>
      <c r="F198" s="464">
        <f t="shared" si="8"/>
        <v>0.8600000000000001</v>
      </c>
      <c r="G198" s="464"/>
      <c r="H198" s="464"/>
      <c r="I198" s="464"/>
    </row>
    <row r="199" spans="1:9" ht="12.95" customHeight="1">
      <c r="A199" s="10">
        <f t="shared" si="6"/>
        <v>192</v>
      </c>
      <c r="B199" s="504">
        <v>44716.958333333336</v>
      </c>
      <c r="C199" s="489">
        <f t="shared" si="7"/>
        <v>112.4</v>
      </c>
      <c r="D199" s="489">
        <v>1.1240000000000001</v>
      </c>
      <c r="E199" s="464"/>
      <c r="F199" s="464">
        <f t="shared" si="8"/>
        <v>0.62400000000000011</v>
      </c>
      <c r="G199" s="464"/>
      <c r="H199" s="464"/>
      <c r="I199" s="464"/>
    </row>
    <row r="200" spans="1:9" ht="12.95" customHeight="1">
      <c r="A200" s="6">
        <f t="shared" ref="A200:A263" si="9">A199+1</f>
        <v>193</v>
      </c>
      <c r="B200" s="504">
        <v>44717</v>
      </c>
      <c r="C200" s="489">
        <f t="shared" si="7"/>
        <v>90.5</v>
      </c>
      <c r="D200" s="489">
        <v>0.90500000000000003</v>
      </c>
      <c r="E200" s="464"/>
      <c r="F200" s="464">
        <f t="shared" si="8"/>
        <v>0.40500000000000003</v>
      </c>
      <c r="G200" s="464"/>
      <c r="H200" s="464"/>
      <c r="I200" s="464"/>
    </row>
    <row r="201" spans="1:9" ht="12.95" customHeight="1">
      <c r="A201" s="6">
        <f t="shared" si="9"/>
        <v>194</v>
      </c>
      <c r="B201" s="504">
        <v>44717.041666666664</v>
      </c>
      <c r="C201" s="489">
        <f t="shared" ref="C201:C264" si="10">D201*100</f>
        <v>78.600000000000009</v>
      </c>
      <c r="D201" s="489">
        <v>0.78600000000000003</v>
      </c>
      <c r="E201" s="464"/>
      <c r="F201" s="464">
        <f t="shared" ref="F201:F264" si="11">D201-0.5</f>
        <v>0.28600000000000003</v>
      </c>
      <c r="G201" s="464"/>
      <c r="H201" s="464"/>
      <c r="I201" s="464"/>
    </row>
    <row r="202" spans="1:9" ht="12.95" customHeight="1">
      <c r="A202" s="6">
        <f t="shared" si="9"/>
        <v>195</v>
      </c>
      <c r="B202" s="504">
        <v>44717.083333333336</v>
      </c>
      <c r="C202" s="489">
        <f t="shared" si="10"/>
        <v>84.5</v>
      </c>
      <c r="D202" s="489">
        <v>0.84499999999999997</v>
      </c>
      <c r="E202" s="464"/>
      <c r="F202" s="464">
        <f t="shared" si="11"/>
        <v>0.34499999999999997</v>
      </c>
      <c r="G202" s="464"/>
      <c r="H202" s="464"/>
      <c r="I202" s="464"/>
    </row>
    <row r="203" spans="1:9" ht="12.95" customHeight="1">
      <c r="A203" s="6">
        <f t="shared" si="9"/>
        <v>196</v>
      </c>
      <c r="B203" s="504">
        <v>44717.125</v>
      </c>
      <c r="C203" s="489">
        <f t="shared" si="10"/>
        <v>107</v>
      </c>
      <c r="D203" s="489">
        <v>1.07</v>
      </c>
      <c r="E203" s="464"/>
      <c r="F203" s="464">
        <f t="shared" si="11"/>
        <v>0.57000000000000006</v>
      </c>
      <c r="G203" s="464"/>
      <c r="H203" s="464"/>
      <c r="I203" s="464"/>
    </row>
    <row r="204" spans="1:9" ht="12.95" customHeight="1">
      <c r="A204" s="6">
        <f t="shared" si="9"/>
        <v>197</v>
      </c>
      <c r="B204" s="504">
        <v>44717.166666666664</v>
      </c>
      <c r="C204" s="489">
        <f t="shared" si="10"/>
        <v>141.30000000000001</v>
      </c>
      <c r="D204" s="489">
        <v>1.413</v>
      </c>
      <c r="E204" s="464"/>
      <c r="F204" s="464">
        <f t="shared" si="11"/>
        <v>0.91300000000000003</v>
      </c>
      <c r="G204" s="464"/>
      <c r="H204" s="464"/>
      <c r="I204" s="464"/>
    </row>
    <row r="205" spans="1:9" ht="12.95" customHeight="1">
      <c r="A205" s="6">
        <f t="shared" si="9"/>
        <v>198</v>
      </c>
      <c r="B205" s="504">
        <v>44717.208333333336</v>
      </c>
      <c r="C205" s="489">
        <f t="shared" si="10"/>
        <v>179.20000000000002</v>
      </c>
      <c r="D205" s="489">
        <v>1.792</v>
      </c>
      <c r="E205" s="464"/>
      <c r="F205" s="464">
        <f t="shared" si="11"/>
        <v>1.292</v>
      </c>
      <c r="G205" s="464"/>
      <c r="H205" s="464"/>
      <c r="I205" s="464"/>
    </row>
    <row r="206" spans="1:9" ht="12.95" customHeight="1">
      <c r="A206" s="6">
        <f t="shared" si="9"/>
        <v>199</v>
      </c>
      <c r="B206" s="504">
        <v>44717.25</v>
      </c>
      <c r="C206" s="489">
        <f t="shared" si="10"/>
        <v>217.89999999999998</v>
      </c>
      <c r="D206" s="489">
        <v>2.1789999999999998</v>
      </c>
      <c r="E206" s="464"/>
      <c r="F206" s="464">
        <f t="shared" si="11"/>
        <v>1.6789999999999998</v>
      </c>
      <c r="G206" s="464"/>
      <c r="H206" s="464"/>
      <c r="I206" s="464"/>
    </row>
    <row r="207" spans="1:9" ht="12.95" customHeight="1">
      <c r="A207" s="6">
        <f t="shared" si="9"/>
        <v>200</v>
      </c>
      <c r="B207" s="504">
        <v>44717.291666666664</v>
      </c>
      <c r="C207" s="489">
        <f t="shared" si="10"/>
        <v>244.20000000000002</v>
      </c>
      <c r="D207" s="489">
        <v>2.4420000000000002</v>
      </c>
      <c r="E207" s="464"/>
      <c r="F207" s="464">
        <f t="shared" si="11"/>
        <v>1.9420000000000002</v>
      </c>
      <c r="G207" s="464"/>
      <c r="H207" s="464"/>
      <c r="I207" s="464"/>
    </row>
    <row r="208" spans="1:9" ht="12.95" customHeight="1">
      <c r="A208" s="6">
        <f t="shared" si="9"/>
        <v>201</v>
      </c>
      <c r="B208" s="504">
        <v>44717.333333333336</v>
      </c>
      <c r="C208" s="489">
        <f t="shared" si="10"/>
        <v>256.3</v>
      </c>
      <c r="D208" s="489">
        <v>2.5630000000000002</v>
      </c>
      <c r="E208" s="464"/>
      <c r="F208" s="464">
        <f t="shared" si="11"/>
        <v>2.0630000000000002</v>
      </c>
      <c r="G208" s="464"/>
      <c r="H208" s="464"/>
      <c r="I208" s="464"/>
    </row>
    <row r="209" spans="1:9" ht="12.95" customHeight="1">
      <c r="A209" s="6">
        <f t="shared" si="9"/>
        <v>202</v>
      </c>
      <c r="B209" s="504">
        <v>44717.375</v>
      </c>
      <c r="C209" s="489">
        <f t="shared" si="10"/>
        <v>255.20000000000002</v>
      </c>
      <c r="D209" s="489">
        <v>2.552</v>
      </c>
      <c r="E209" s="464"/>
      <c r="F209" s="464">
        <f t="shared" si="11"/>
        <v>2.052</v>
      </c>
      <c r="G209" s="464"/>
      <c r="H209" s="464"/>
      <c r="I209" s="464"/>
    </row>
    <row r="210" spans="1:9" ht="12.95" customHeight="1">
      <c r="A210" s="6">
        <f t="shared" si="9"/>
        <v>203</v>
      </c>
      <c r="B210" s="504">
        <v>44717.416666666664</v>
      </c>
      <c r="C210" s="489">
        <f t="shared" si="10"/>
        <v>240.60000000000002</v>
      </c>
      <c r="D210" s="489">
        <v>2.4060000000000001</v>
      </c>
      <c r="E210" s="464"/>
      <c r="F210" s="464">
        <f t="shared" si="11"/>
        <v>1.9060000000000001</v>
      </c>
      <c r="G210" s="464"/>
      <c r="H210" s="464"/>
      <c r="I210" s="464"/>
    </row>
    <row r="211" spans="1:9" ht="12.95" customHeight="1">
      <c r="A211" s="6">
        <f t="shared" si="9"/>
        <v>204</v>
      </c>
      <c r="B211" s="504">
        <v>44717.458333333336</v>
      </c>
      <c r="C211" s="489">
        <f t="shared" si="10"/>
        <v>211.50000000000003</v>
      </c>
      <c r="D211" s="489">
        <v>2.1150000000000002</v>
      </c>
      <c r="E211" s="464"/>
      <c r="F211" s="464">
        <f t="shared" si="11"/>
        <v>1.6150000000000002</v>
      </c>
      <c r="G211" s="464"/>
      <c r="H211" s="464"/>
      <c r="I211" s="464"/>
    </row>
    <row r="212" spans="1:9" ht="12.95" customHeight="1">
      <c r="A212" s="6">
        <f t="shared" si="9"/>
        <v>205</v>
      </c>
      <c r="B212" s="504">
        <v>44717.5</v>
      </c>
      <c r="C212" s="489">
        <f t="shared" si="10"/>
        <v>180.5</v>
      </c>
      <c r="D212" s="489">
        <v>1.8049999999999999</v>
      </c>
      <c r="E212" s="464"/>
      <c r="F212" s="464">
        <f t="shared" si="11"/>
        <v>1.3049999999999999</v>
      </c>
      <c r="G212" s="464"/>
      <c r="H212" s="464"/>
      <c r="I212" s="464"/>
    </row>
    <row r="213" spans="1:9" ht="12.95" customHeight="1">
      <c r="A213" s="6">
        <f t="shared" si="9"/>
        <v>206</v>
      </c>
      <c r="B213" s="504">
        <v>44717.541666666664</v>
      </c>
      <c r="C213" s="489">
        <f t="shared" si="10"/>
        <v>156.4</v>
      </c>
      <c r="D213" s="489">
        <v>1.5640000000000001</v>
      </c>
      <c r="E213" s="464"/>
      <c r="F213" s="464">
        <f t="shared" si="11"/>
        <v>1.0640000000000001</v>
      </c>
      <c r="G213" s="464"/>
      <c r="H213" s="464"/>
      <c r="I213" s="464"/>
    </row>
    <row r="214" spans="1:9" ht="12.95" customHeight="1">
      <c r="A214" s="6">
        <f t="shared" si="9"/>
        <v>207</v>
      </c>
      <c r="B214" s="504">
        <v>44717.583333333336</v>
      </c>
      <c r="C214" s="489">
        <f t="shared" si="10"/>
        <v>143.9</v>
      </c>
      <c r="D214" s="489">
        <v>1.4390000000000001</v>
      </c>
      <c r="E214" s="464"/>
      <c r="F214" s="464">
        <f t="shared" si="11"/>
        <v>0.93900000000000006</v>
      </c>
      <c r="G214" s="464"/>
      <c r="H214" s="464"/>
      <c r="I214" s="464"/>
    </row>
    <row r="215" spans="1:9" ht="12.95" customHeight="1">
      <c r="A215" s="6">
        <f t="shared" si="9"/>
        <v>208</v>
      </c>
      <c r="B215" s="504">
        <v>44717.625</v>
      </c>
      <c r="C215" s="489">
        <f t="shared" si="10"/>
        <v>140.79999999999998</v>
      </c>
      <c r="D215" s="489">
        <v>1.4079999999999999</v>
      </c>
      <c r="E215" s="464"/>
      <c r="F215" s="464">
        <f t="shared" si="11"/>
        <v>0.90799999999999992</v>
      </c>
      <c r="G215" s="464"/>
      <c r="H215" s="464"/>
      <c r="I215" s="464"/>
    </row>
    <row r="216" spans="1:9" ht="12.95" customHeight="1">
      <c r="A216" s="6">
        <f t="shared" si="9"/>
        <v>209</v>
      </c>
      <c r="B216" s="504">
        <v>44717.666666666664</v>
      </c>
      <c r="C216" s="489">
        <f t="shared" si="10"/>
        <v>147.9</v>
      </c>
      <c r="D216" s="489">
        <v>1.4790000000000001</v>
      </c>
      <c r="E216" s="464"/>
      <c r="F216" s="464">
        <f t="shared" si="11"/>
        <v>0.97900000000000009</v>
      </c>
      <c r="G216" s="464"/>
      <c r="H216" s="464"/>
      <c r="I216" s="464"/>
    </row>
    <row r="217" spans="1:9" ht="12.95" customHeight="1">
      <c r="A217" s="6">
        <f t="shared" si="9"/>
        <v>210</v>
      </c>
      <c r="B217" s="504">
        <v>44717.708333333336</v>
      </c>
      <c r="C217" s="489">
        <f t="shared" si="10"/>
        <v>159.30000000000001</v>
      </c>
      <c r="D217" s="489">
        <v>1.593</v>
      </c>
      <c r="E217" s="464"/>
      <c r="F217" s="464">
        <f t="shared" si="11"/>
        <v>1.093</v>
      </c>
      <c r="G217" s="464"/>
      <c r="H217" s="464"/>
      <c r="I217" s="464"/>
    </row>
    <row r="218" spans="1:9" ht="12.95" customHeight="1">
      <c r="A218" s="6">
        <f t="shared" si="9"/>
        <v>211</v>
      </c>
      <c r="B218" s="504">
        <v>44717.75</v>
      </c>
      <c r="C218" s="489">
        <f t="shared" si="10"/>
        <v>172.10000000000002</v>
      </c>
      <c r="D218" s="489">
        <v>1.7210000000000001</v>
      </c>
      <c r="E218" s="464"/>
      <c r="F218" s="464">
        <f t="shared" si="11"/>
        <v>1.2210000000000001</v>
      </c>
      <c r="G218" s="464"/>
      <c r="H218" s="464"/>
      <c r="I218" s="464"/>
    </row>
    <row r="219" spans="1:9" ht="12.95" customHeight="1">
      <c r="A219" s="6">
        <f t="shared" si="9"/>
        <v>212</v>
      </c>
      <c r="B219" s="504">
        <v>44717.791666666664</v>
      </c>
      <c r="C219" s="489">
        <f t="shared" si="10"/>
        <v>180.8</v>
      </c>
      <c r="D219" s="489">
        <v>1.8080000000000001</v>
      </c>
      <c r="E219" s="464"/>
      <c r="F219" s="464">
        <f t="shared" si="11"/>
        <v>1.3080000000000001</v>
      </c>
      <c r="G219" s="464"/>
      <c r="H219" s="464"/>
      <c r="I219" s="464"/>
    </row>
    <row r="220" spans="1:9" ht="12.95" customHeight="1">
      <c r="A220" s="6">
        <f t="shared" si="9"/>
        <v>213</v>
      </c>
      <c r="B220" s="504">
        <v>44717.833333333336</v>
      </c>
      <c r="C220" s="489">
        <f t="shared" si="10"/>
        <v>180.5</v>
      </c>
      <c r="D220" s="489">
        <v>1.8049999999999999</v>
      </c>
      <c r="E220" s="464"/>
      <c r="F220" s="464">
        <f t="shared" si="11"/>
        <v>1.3049999999999999</v>
      </c>
      <c r="G220" s="464"/>
      <c r="H220" s="464"/>
      <c r="I220" s="464"/>
    </row>
    <row r="221" spans="1:9" ht="12.95" customHeight="1">
      <c r="A221" s="6">
        <f t="shared" si="9"/>
        <v>214</v>
      </c>
      <c r="B221" s="504">
        <v>44717.875</v>
      </c>
      <c r="C221" s="489">
        <f t="shared" si="10"/>
        <v>166.70000000000002</v>
      </c>
      <c r="D221" s="489">
        <v>1.667</v>
      </c>
      <c r="E221" s="464"/>
      <c r="F221" s="464">
        <f t="shared" si="11"/>
        <v>1.167</v>
      </c>
      <c r="G221" s="464"/>
      <c r="H221" s="464"/>
      <c r="I221" s="464"/>
    </row>
    <row r="222" spans="1:9" ht="12.95" customHeight="1">
      <c r="A222" s="6">
        <f t="shared" si="9"/>
        <v>215</v>
      </c>
      <c r="B222" s="504">
        <v>44717.916666666664</v>
      </c>
      <c r="C222" s="489">
        <f t="shared" si="10"/>
        <v>146</v>
      </c>
      <c r="D222" s="489">
        <v>1.46</v>
      </c>
      <c r="E222" s="464"/>
      <c r="F222" s="464">
        <f t="shared" si="11"/>
        <v>0.96</v>
      </c>
      <c r="G222" s="464"/>
      <c r="H222" s="464"/>
      <c r="I222" s="464"/>
    </row>
    <row r="223" spans="1:9" ht="12.95" customHeight="1">
      <c r="A223" s="7">
        <f t="shared" si="9"/>
        <v>216</v>
      </c>
      <c r="B223" s="504">
        <v>44717.958333333336</v>
      </c>
      <c r="C223" s="489">
        <f t="shared" si="10"/>
        <v>125.4</v>
      </c>
      <c r="D223" s="489">
        <v>1.254</v>
      </c>
      <c r="E223" s="464"/>
      <c r="F223" s="464">
        <f t="shared" si="11"/>
        <v>0.754</v>
      </c>
      <c r="G223" s="464"/>
      <c r="H223" s="464"/>
      <c r="I223" s="464"/>
    </row>
    <row r="224" spans="1:9" ht="12.95" customHeight="1">
      <c r="A224" s="9">
        <f t="shared" si="9"/>
        <v>217</v>
      </c>
      <c r="B224" s="504">
        <v>44718</v>
      </c>
      <c r="C224" s="489">
        <f t="shared" si="10"/>
        <v>104.69999999999999</v>
      </c>
      <c r="D224" s="489">
        <v>1.0469999999999999</v>
      </c>
      <c r="E224" s="464"/>
      <c r="F224" s="464">
        <f t="shared" si="11"/>
        <v>0.54699999999999993</v>
      </c>
      <c r="G224" s="464"/>
      <c r="H224" s="464"/>
      <c r="I224" s="464"/>
    </row>
    <row r="225" spans="1:9" ht="12.95" customHeight="1">
      <c r="A225" s="9">
        <f t="shared" si="9"/>
        <v>218</v>
      </c>
      <c r="B225" s="504">
        <v>44718.041666666664</v>
      </c>
      <c r="C225" s="489">
        <f t="shared" si="10"/>
        <v>90.600000000000009</v>
      </c>
      <c r="D225" s="489">
        <v>0.90600000000000003</v>
      </c>
      <c r="E225" s="464"/>
      <c r="F225" s="464">
        <f t="shared" si="11"/>
        <v>0.40600000000000003</v>
      </c>
      <c r="G225" s="464"/>
      <c r="H225" s="464"/>
      <c r="I225" s="464"/>
    </row>
    <row r="226" spans="1:9" ht="12.95" customHeight="1">
      <c r="A226" s="9">
        <f t="shared" si="9"/>
        <v>219</v>
      </c>
      <c r="B226" s="504">
        <v>44718.083333333336</v>
      </c>
      <c r="C226" s="489">
        <f t="shared" si="10"/>
        <v>87.1</v>
      </c>
      <c r="D226" s="489">
        <v>0.871</v>
      </c>
      <c r="E226" s="464"/>
      <c r="F226" s="464">
        <f t="shared" si="11"/>
        <v>0.371</v>
      </c>
      <c r="G226" s="464"/>
      <c r="H226" s="464"/>
      <c r="I226" s="464"/>
    </row>
    <row r="227" spans="1:9" ht="12.95" customHeight="1">
      <c r="A227" s="9">
        <f t="shared" si="9"/>
        <v>220</v>
      </c>
      <c r="B227" s="504">
        <v>44718.125</v>
      </c>
      <c r="C227" s="489">
        <f t="shared" si="10"/>
        <v>102.4</v>
      </c>
      <c r="D227" s="489">
        <v>1.024</v>
      </c>
      <c r="E227" s="464"/>
      <c r="F227" s="464">
        <f t="shared" si="11"/>
        <v>0.52400000000000002</v>
      </c>
      <c r="G227" s="464"/>
      <c r="H227" s="464"/>
      <c r="I227" s="464"/>
    </row>
    <row r="228" spans="1:9" ht="12.95" customHeight="1">
      <c r="A228" s="9">
        <f t="shared" si="9"/>
        <v>221</v>
      </c>
      <c r="B228" s="504">
        <v>44718.166666666664</v>
      </c>
      <c r="C228" s="489">
        <f t="shared" si="10"/>
        <v>131.4</v>
      </c>
      <c r="D228" s="489">
        <v>1.3140000000000001</v>
      </c>
      <c r="E228" s="464"/>
      <c r="F228" s="464">
        <f t="shared" si="11"/>
        <v>0.81400000000000006</v>
      </c>
      <c r="G228" s="464"/>
      <c r="H228" s="464"/>
      <c r="I228" s="464"/>
    </row>
    <row r="229" spans="1:9" ht="12.95" customHeight="1">
      <c r="A229" s="9">
        <f t="shared" si="9"/>
        <v>222</v>
      </c>
      <c r="B229" s="504">
        <v>44718.208333333336</v>
      </c>
      <c r="C229" s="489">
        <f t="shared" si="10"/>
        <v>166.79999999999998</v>
      </c>
      <c r="D229" s="489">
        <v>1.6679999999999999</v>
      </c>
      <c r="E229" s="464"/>
      <c r="F229" s="464">
        <f t="shared" si="11"/>
        <v>1.1679999999999999</v>
      </c>
      <c r="G229" s="464"/>
      <c r="H229" s="464"/>
      <c r="I229" s="464"/>
    </row>
    <row r="230" spans="1:9" ht="12.95" customHeight="1">
      <c r="A230" s="9">
        <f t="shared" si="9"/>
        <v>223</v>
      </c>
      <c r="B230" s="504">
        <v>44718.25</v>
      </c>
      <c r="C230" s="489">
        <f t="shared" si="10"/>
        <v>199.3</v>
      </c>
      <c r="D230" s="489">
        <v>1.9930000000000001</v>
      </c>
      <c r="E230" s="464"/>
      <c r="F230" s="464">
        <f t="shared" si="11"/>
        <v>1.4930000000000001</v>
      </c>
      <c r="G230" s="464"/>
      <c r="H230" s="464"/>
      <c r="I230" s="464"/>
    </row>
    <row r="231" spans="1:9" ht="12.95" customHeight="1">
      <c r="A231" s="9">
        <f t="shared" si="9"/>
        <v>224</v>
      </c>
      <c r="B231" s="504">
        <v>44718.291666666664</v>
      </c>
      <c r="C231" s="489">
        <f t="shared" si="10"/>
        <v>225</v>
      </c>
      <c r="D231" s="489">
        <v>2.25</v>
      </c>
      <c r="E231" s="464"/>
      <c r="F231" s="464">
        <f t="shared" si="11"/>
        <v>1.75</v>
      </c>
      <c r="G231" s="464"/>
      <c r="H231" s="464"/>
      <c r="I231" s="464"/>
    </row>
    <row r="232" spans="1:9" ht="12.95" customHeight="1">
      <c r="A232" s="9">
        <f t="shared" si="9"/>
        <v>225</v>
      </c>
      <c r="B232" s="504">
        <v>44718.333333333336</v>
      </c>
      <c r="C232" s="489">
        <f t="shared" si="10"/>
        <v>240.20000000000002</v>
      </c>
      <c r="D232" s="489">
        <v>2.4020000000000001</v>
      </c>
      <c r="E232" s="464"/>
      <c r="F232" s="464">
        <f t="shared" si="11"/>
        <v>1.9020000000000001</v>
      </c>
      <c r="G232" s="464"/>
      <c r="H232" s="464"/>
      <c r="I232" s="464"/>
    </row>
    <row r="233" spans="1:9" ht="12.95" customHeight="1">
      <c r="A233" s="9">
        <f t="shared" si="9"/>
        <v>226</v>
      </c>
      <c r="B233" s="504">
        <v>44718.375</v>
      </c>
      <c r="C233" s="489">
        <f t="shared" si="10"/>
        <v>242.20000000000002</v>
      </c>
      <c r="D233" s="489">
        <v>2.4220000000000002</v>
      </c>
      <c r="E233" s="464"/>
      <c r="F233" s="464">
        <f t="shared" si="11"/>
        <v>1.9220000000000002</v>
      </c>
      <c r="G233" s="464"/>
      <c r="H233" s="464"/>
      <c r="I233" s="464"/>
    </row>
    <row r="234" spans="1:9" ht="12.95" customHeight="1">
      <c r="A234" s="9">
        <f t="shared" si="9"/>
        <v>227</v>
      </c>
      <c r="B234" s="504">
        <v>44718.416666666664</v>
      </c>
      <c r="C234" s="489">
        <f t="shared" si="10"/>
        <v>235.70000000000002</v>
      </c>
      <c r="D234" s="489">
        <v>2.3570000000000002</v>
      </c>
      <c r="E234" s="464"/>
      <c r="F234" s="464">
        <f t="shared" si="11"/>
        <v>1.8570000000000002</v>
      </c>
      <c r="G234" s="464"/>
      <c r="H234" s="464"/>
      <c r="I234" s="464"/>
    </row>
    <row r="235" spans="1:9" ht="12.95" customHeight="1">
      <c r="A235" s="9">
        <f t="shared" si="9"/>
        <v>228</v>
      </c>
      <c r="B235" s="504">
        <v>44718.458333333336</v>
      </c>
      <c r="C235" s="489">
        <f t="shared" si="10"/>
        <v>218.29999999999998</v>
      </c>
      <c r="D235" s="489">
        <v>2.1829999999999998</v>
      </c>
      <c r="E235" s="464"/>
      <c r="F235" s="464">
        <f t="shared" si="11"/>
        <v>1.6829999999999998</v>
      </c>
      <c r="G235" s="464"/>
      <c r="H235" s="464"/>
      <c r="I235" s="464"/>
    </row>
    <row r="236" spans="1:9" ht="12.95" customHeight="1">
      <c r="A236" s="9">
        <f t="shared" si="9"/>
        <v>229</v>
      </c>
      <c r="B236" s="504">
        <v>44718.5</v>
      </c>
      <c r="C236" s="489">
        <f t="shared" si="10"/>
        <v>192.3</v>
      </c>
      <c r="D236" s="489">
        <v>1.923</v>
      </c>
      <c r="E236" s="464"/>
      <c r="F236" s="464">
        <f t="shared" si="11"/>
        <v>1.423</v>
      </c>
      <c r="G236" s="464"/>
      <c r="H236" s="464"/>
      <c r="I236" s="464"/>
    </row>
    <row r="237" spans="1:9" ht="12.95" customHeight="1">
      <c r="A237" s="9">
        <f t="shared" si="9"/>
        <v>230</v>
      </c>
      <c r="B237" s="504">
        <v>44718.541666666664</v>
      </c>
      <c r="C237" s="489">
        <f t="shared" si="10"/>
        <v>170.5</v>
      </c>
      <c r="D237" s="489">
        <v>1.7050000000000001</v>
      </c>
      <c r="E237" s="464"/>
      <c r="F237" s="464">
        <f t="shared" si="11"/>
        <v>1.2050000000000001</v>
      </c>
      <c r="G237" s="464"/>
      <c r="H237" s="464"/>
      <c r="I237" s="464"/>
    </row>
    <row r="238" spans="1:9" ht="12.95" customHeight="1">
      <c r="A238" s="9">
        <f t="shared" si="9"/>
        <v>231</v>
      </c>
      <c r="B238" s="504">
        <v>44718.583333333336</v>
      </c>
      <c r="C238" s="489">
        <f t="shared" si="10"/>
        <v>155.6</v>
      </c>
      <c r="D238" s="489">
        <v>1.556</v>
      </c>
      <c r="E238" s="464"/>
      <c r="F238" s="464">
        <f t="shared" si="11"/>
        <v>1.056</v>
      </c>
      <c r="G238" s="464"/>
      <c r="H238" s="464"/>
      <c r="I238" s="464"/>
    </row>
    <row r="239" spans="1:9" ht="12.95" customHeight="1">
      <c r="A239" s="9">
        <f t="shared" si="9"/>
        <v>232</v>
      </c>
      <c r="B239" s="504">
        <v>44718.625</v>
      </c>
      <c r="C239" s="489">
        <f t="shared" si="10"/>
        <v>147.30000000000001</v>
      </c>
      <c r="D239" s="489">
        <v>1.4730000000000001</v>
      </c>
      <c r="E239" s="464"/>
      <c r="F239" s="464">
        <f t="shared" si="11"/>
        <v>0.97300000000000009</v>
      </c>
      <c r="G239" s="464"/>
      <c r="H239" s="464"/>
      <c r="I239" s="464"/>
    </row>
    <row r="240" spans="1:9" ht="12.95" customHeight="1">
      <c r="A240" s="9">
        <f t="shared" si="9"/>
        <v>233</v>
      </c>
      <c r="B240" s="504">
        <v>44718.666666666664</v>
      </c>
      <c r="C240" s="489">
        <f t="shared" si="10"/>
        <v>147.9</v>
      </c>
      <c r="D240" s="489">
        <v>1.4790000000000001</v>
      </c>
      <c r="E240" s="464"/>
      <c r="F240" s="464">
        <f t="shared" si="11"/>
        <v>0.97900000000000009</v>
      </c>
      <c r="G240" s="464"/>
      <c r="H240" s="464"/>
      <c r="I240" s="464"/>
    </row>
    <row r="241" spans="1:9" ht="12.95" customHeight="1">
      <c r="A241" s="9">
        <f t="shared" si="9"/>
        <v>234</v>
      </c>
      <c r="B241" s="504">
        <v>44718.708333333336</v>
      </c>
      <c r="C241" s="489">
        <f t="shared" si="10"/>
        <v>157.29999999999998</v>
      </c>
      <c r="D241" s="489">
        <v>1.573</v>
      </c>
      <c r="E241" s="464"/>
      <c r="F241" s="464">
        <f t="shared" si="11"/>
        <v>1.073</v>
      </c>
      <c r="G241" s="464"/>
      <c r="H241" s="464"/>
      <c r="I241" s="464"/>
    </row>
    <row r="242" spans="1:9" ht="12.95" customHeight="1">
      <c r="A242" s="9">
        <f t="shared" si="9"/>
        <v>235</v>
      </c>
      <c r="B242" s="504">
        <v>44718.75</v>
      </c>
      <c r="C242" s="489">
        <f t="shared" si="10"/>
        <v>167.3</v>
      </c>
      <c r="D242" s="489">
        <v>1.673</v>
      </c>
      <c r="E242" s="464"/>
      <c r="F242" s="464">
        <f t="shared" si="11"/>
        <v>1.173</v>
      </c>
      <c r="G242" s="464"/>
      <c r="H242" s="464"/>
      <c r="I242" s="464"/>
    </row>
    <row r="243" spans="1:9" ht="12.95" customHeight="1">
      <c r="A243" s="9">
        <f t="shared" si="9"/>
        <v>236</v>
      </c>
      <c r="B243" s="504">
        <v>44718.791666666664</v>
      </c>
      <c r="C243" s="489">
        <f t="shared" si="10"/>
        <v>178.9</v>
      </c>
      <c r="D243" s="489">
        <v>1.7889999999999999</v>
      </c>
      <c r="E243" s="464"/>
      <c r="F243" s="464">
        <f t="shared" si="11"/>
        <v>1.2889999999999999</v>
      </c>
      <c r="G243" s="464"/>
      <c r="H243" s="464"/>
      <c r="I243" s="464"/>
    </row>
    <row r="244" spans="1:9" ht="12.95" customHeight="1">
      <c r="A244" s="9">
        <f t="shared" si="9"/>
        <v>237</v>
      </c>
      <c r="B244" s="504">
        <v>44718.833333333336</v>
      </c>
      <c r="C244" s="489">
        <f t="shared" si="10"/>
        <v>183.20000000000002</v>
      </c>
      <c r="D244" s="489">
        <v>1.8320000000000001</v>
      </c>
      <c r="E244" s="464"/>
      <c r="F244" s="464">
        <f t="shared" si="11"/>
        <v>1.3320000000000001</v>
      </c>
      <c r="G244" s="464"/>
      <c r="H244" s="464"/>
      <c r="I244" s="464"/>
    </row>
    <row r="245" spans="1:9" ht="12.95" customHeight="1">
      <c r="A245" s="9">
        <f t="shared" si="9"/>
        <v>238</v>
      </c>
      <c r="B245" s="504">
        <v>44718.875</v>
      </c>
      <c r="C245" s="489">
        <f t="shared" si="10"/>
        <v>175.5</v>
      </c>
      <c r="D245" s="489">
        <v>1.7549999999999999</v>
      </c>
      <c r="E245" s="464"/>
      <c r="F245" s="464">
        <f t="shared" si="11"/>
        <v>1.2549999999999999</v>
      </c>
      <c r="G245" s="464"/>
      <c r="H245" s="464"/>
      <c r="I245" s="464"/>
    </row>
    <row r="246" spans="1:9" ht="12.95" customHeight="1">
      <c r="A246" s="9">
        <f t="shared" si="9"/>
        <v>239</v>
      </c>
      <c r="B246" s="504">
        <v>44718.916666666664</v>
      </c>
      <c r="C246" s="489">
        <f t="shared" si="10"/>
        <v>155.6</v>
      </c>
      <c r="D246" s="489">
        <v>1.556</v>
      </c>
      <c r="E246" s="464"/>
      <c r="F246" s="464">
        <f t="shared" si="11"/>
        <v>1.056</v>
      </c>
      <c r="G246" s="464"/>
      <c r="H246" s="464"/>
      <c r="I246" s="464"/>
    </row>
    <row r="247" spans="1:9" ht="12.95" customHeight="1">
      <c r="A247" s="10">
        <f t="shared" si="9"/>
        <v>240</v>
      </c>
      <c r="B247" s="504">
        <v>44718.958333333336</v>
      </c>
      <c r="C247" s="489">
        <f t="shared" si="10"/>
        <v>137.5</v>
      </c>
      <c r="D247" s="489">
        <v>1.375</v>
      </c>
      <c r="E247" s="464"/>
      <c r="F247" s="464">
        <f t="shared" si="11"/>
        <v>0.875</v>
      </c>
      <c r="G247" s="464"/>
      <c r="H247" s="464"/>
      <c r="I247" s="464"/>
    </row>
    <row r="248" spans="1:9" ht="12.95" customHeight="1">
      <c r="A248" s="6">
        <f t="shared" si="9"/>
        <v>241</v>
      </c>
      <c r="B248" s="504">
        <v>44719</v>
      </c>
      <c r="C248" s="489">
        <f t="shared" si="10"/>
        <v>119.7</v>
      </c>
      <c r="D248" s="489">
        <v>1.1970000000000001</v>
      </c>
      <c r="E248" s="464"/>
      <c r="F248" s="464">
        <f t="shared" si="11"/>
        <v>0.69700000000000006</v>
      </c>
      <c r="G248" s="464"/>
      <c r="H248" s="464"/>
      <c r="I248" s="464"/>
    </row>
    <row r="249" spans="1:9" ht="12.95" customHeight="1">
      <c r="A249" s="6">
        <f t="shared" si="9"/>
        <v>242</v>
      </c>
      <c r="B249" s="504">
        <v>44719.041666666664</v>
      </c>
      <c r="C249" s="489">
        <f t="shared" si="10"/>
        <v>105.80000000000001</v>
      </c>
      <c r="D249" s="489">
        <v>1.0580000000000001</v>
      </c>
      <c r="E249" s="464"/>
      <c r="F249" s="464">
        <f t="shared" si="11"/>
        <v>0.55800000000000005</v>
      </c>
      <c r="G249" s="464"/>
      <c r="H249" s="464"/>
      <c r="I249" s="464"/>
    </row>
    <row r="250" spans="1:9" ht="12.95" customHeight="1">
      <c r="A250" s="6">
        <f t="shared" si="9"/>
        <v>243</v>
      </c>
      <c r="B250" s="504">
        <v>44719.083333333336</v>
      </c>
      <c r="C250" s="489">
        <f t="shared" si="10"/>
        <v>102.8</v>
      </c>
      <c r="D250" s="489">
        <v>1.028</v>
      </c>
      <c r="E250" s="464"/>
      <c r="F250" s="464">
        <f t="shared" si="11"/>
        <v>0.52800000000000002</v>
      </c>
      <c r="G250" s="464"/>
      <c r="H250" s="464"/>
      <c r="I250" s="464"/>
    </row>
    <row r="251" spans="1:9" ht="12.95" customHeight="1">
      <c r="A251" s="6">
        <f t="shared" si="9"/>
        <v>244</v>
      </c>
      <c r="B251" s="504">
        <v>44719.125</v>
      </c>
      <c r="C251" s="489">
        <f t="shared" si="10"/>
        <v>110.00000000000001</v>
      </c>
      <c r="D251" s="489">
        <v>1.1000000000000001</v>
      </c>
      <c r="E251" s="464"/>
      <c r="F251" s="464">
        <f t="shared" si="11"/>
        <v>0.60000000000000009</v>
      </c>
      <c r="G251" s="464"/>
      <c r="H251" s="464"/>
      <c r="I251" s="464"/>
    </row>
    <row r="252" spans="1:9" ht="12.95" customHeight="1">
      <c r="A252" s="6">
        <f t="shared" si="9"/>
        <v>245</v>
      </c>
      <c r="B252" s="504">
        <v>44719.166666666664</v>
      </c>
      <c r="C252" s="489">
        <f t="shared" si="10"/>
        <v>130.69999999999999</v>
      </c>
      <c r="D252" s="489">
        <v>1.3069999999999999</v>
      </c>
      <c r="E252" s="464"/>
      <c r="F252" s="464">
        <f t="shared" si="11"/>
        <v>0.80699999999999994</v>
      </c>
      <c r="G252" s="464"/>
      <c r="H252" s="464"/>
      <c r="I252" s="464"/>
    </row>
    <row r="253" spans="1:9" ht="12.95" customHeight="1">
      <c r="A253" s="6">
        <f t="shared" si="9"/>
        <v>246</v>
      </c>
      <c r="B253" s="504">
        <v>44719.208333333336</v>
      </c>
      <c r="C253" s="489">
        <f t="shared" si="10"/>
        <v>159.30000000000001</v>
      </c>
      <c r="D253" s="489">
        <v>1.593</v>
      </c>
      <c r="E253" s="464"/>
      <c r="F253" s="464">
        <f t="shared" si="11"/>
        <v>1.093</v>
      </c>
      <c r="G253" s="464"/>
      <c r="H253" s="464"/>
      <c r="I253" s="464"/>
    </row>
    <row r="254" spans="1:9" ht="12.95" customHeight="1">
      <c r="A254" s="6">
        <f t="shared" si="9"/>
        <v>247</v>
      </c>
      <c r="B254" s="504">
        <v>44719.25</v>
      </c>
      <c r="C254" s="489">
        <f t="shared" si="10"/>
        <v>188.6</v>
      </c>
      <c r="D254" s="489">
        <v>1.8859999999999999</v>
      </c>
      <c r="E254" s="464"/>
      <c r="F254" s="464">
        <f t="shared" si="11"/>
        <v>1.3859999999999999</v>
      </c>
      <c r="G254" s="464"/>
      <c r="H254" s="464"/>
      <c r="I254" s="464"/>
    </row>
    <row r="255" spans="1:9" ht="12.95" customHeight="1">
      <c r="A255" s="6">
        <f t="shared" si="9"/>
        <v>248</v>
      </c>
      <c r="B255" s="504">
        <v>44719.291666666664</v>
      </c>
      <c r="C255" s="489">
        <f t="shared" si="10"/>
        <v>209.60000000000002</v>
      </c>
      <c r="D255" s="489">
        <v>2.0960000000000001</v>
      </c>
      <c r="E255" s="464"/>
      <c r="F255" s="464">
        <f t="shared" si="11"/>
        <v>1.5960000000000001</v>
      </c>
      <c r="G255" s="464"/>
      <c r="H255" s="464"/>
      <c r="I255" s="464"/>
    </row>
    <row r="256" spans="1:9" ht="12.95" customHeight="1">
      <c r="A256" s="6">
        <f t="shared" si="9"/>
        <v>249</v>
      </c>
      <c r="B256" s="504">
        <v>44719.333333333336</v>
      </c>
      <c r="C256" s="489">
        <f t="shared" si="10"/>
        <v>224.10000000000002</v>
      </c>
      <c r="D256" s="489">
        <v>2.2410000000000001</v>
      </c>
      <c r="E256" s="464"/>
      <c r="F256" s="464">
        <f t="shared" si="11"/>
        <v>1.7410000000000001</v>
      </c>
      <c r="G256" s="464"/>
      <c r="H256" s="464"/>
      <c r="I256" s="464"/>
    </row>
    <row r="257" spans="1:9" ht="12.95" customHeight="1">
      <c r="A257" s="6">
        <f t="shared" si="9"/>
        <v>250</v>
      </c>
      <c r="B257" s="504">
        <v>44719.375</v>
      </c>
      <c r="C257" s="489">
        <f t="shared" si="10"/>
        <v>230.29999999999998</v>
      </c>
      <c r="D257" s="489">
        <v>2.3029999999999999</v>
      </c>
      <c r="E257" s="464"/>
      <c r="F257" s="464">
        <f t="shared" si="11"/>
        <v>1.8029999999999999</v>
      </c>
      <c r="G257" s="464"/>
      <c r="H257" s="464"/>
      <c r="I257" s="464"/>
    </row>
    <row r="258" spans="1:9" ht="12.95" customHeight="1">
      <c r="A258" s="6">
        <f t="shared" si="9"/>
        <v>251</v>
      </c>
      <c r="B258" s="504">
        <v>44719.416666666664</v>
      </c>
      <c r="C258" s="489">
        <f t="shared" si="10"/>
        <v>224.7</v>
      </c>
      <c r="D258" s="489">
        <v>2.2469999999999999</v>
      </c>
      <c r="E258" s="464"/>
      <c r="F258" s="464">
        <f t="shared" si="11"/>
        <v>1.7469999999999999</v>
      </c>
      <c r="G258" s="464"/>
      <c r="H258" s="464"/>
      <c r="I258" s="464"/>
    </row>
    <row r="259" spans="1:9" ht="12.95" customHeight="1">
      <c r="A259" s="6">
        <f t="shared" si="9"/>
        <v>252</v>
      </c>
      <c r="B259" s="504">
        <v>44719.458333333336</v>
      </c>
      <c r="C259" s="489">
        <f t="shared" si="10"/>
        <v>212.4</v>
      </c>
      <c r="D259" s="489">
        <v>2.1240000000000001</v>
      </c>
      <c r="E259" s="464"/>
      <c r="F259" s="464">
        <f t="shared" si="11"/>
        <v>1.6240000000000001</v>
      </c>
      <c r="G259" s="464"/>
      <c r="H259" s="464"/>
      <c r="I259" s="464"/>
    </row>
    <row r="260" spans="1:9" ht="12.95" customHeight="1">
      <c r="A260" s="6">
        <f t="shared" si="9"/>
        <v>253</v>
      </c>
      <c r="B260" s="504">
        <v>44719.5</v>
      </c>
      <c r="C260" s="489">
        <f t="shared" si="10"/>
        <v>198.6</v>
      </c>
      <c r="D260" s="489">
        <v>1.986</v>
      </c>
      <c r="E260" s="464"/>
      <c r="F260" s="464">
        <f t="shared" si="11"/>
        <v>1.486</v>
      </c>
      <c r="G260" s="464"/>
      <c r="H260" s="464"/>
      <c r="I260" s="464"/>
    </row>
    <row r="261" spans="1:9" ht="12.95" customHeight="1">
      <c r="A261" s="6">
        <f t="shared" si="9"/>
        <v>254</v>
      </c>
      <c r="B261" s="504">
        <v>44719.541666666664</v>
      </c>
      <c r="C261" s="489">
        <f t="shared" si="10"/>
        <v>180.8</v>
      </c>
      <c r="D261" s="489">
        <v>1.8080000000000001</v>
      </c>
      <c r="E261" s="464"/>
      <c r="F261" s="464">
        <f t="shared" si="11"/>
        <v>1.3080000000000001</v>
      </c>
      <c r="G261" s="464"/>
      <c r="H261" s="464"/>
      <c r="I261" s="464"/>
    </row>
    <row r="262" spans="1:9" ht="12.95" customHeight="1">
      <c r="A262" s="6">
        <f t="shared" si="9"/>
        <v>255</v>
      </c>
      <c r="B262" s="504">
        <v>44719.583333333336</v>
      </c>
      <c r="C262" s="489">
        <f t="shared" si="10"/>
        <v>162.9</v>
      </c>
      <c r="D262" s="489">
        <v>1.629</v>
      </c>
      <c r="E262" s="464"/>
      <c r="F262" s="464">
        <f t="shared" si="11"/>
        <v>1.129</v>
      </c>
      <c r="G262" s="464"/>
      <c r="H262" s="464"/>
      <c r="I262" s="464"/>
    </row>
    <row r="263" spans="1:9" ht="12.95" customHeight="1">
      <c r="A263" s="6">
        <f t="shared" si="9"/>
        <v>256</v>
      </c>
      <c r="B263" s="504">
        <v>44719.625</v>
      </c>
      <c r="C263" s="489">
        <f t="shared" si="10"/>
        <v>153.5</v>
      </c>
      <c r="D263" s="489">
        <v>1.5349999999999999</v>
      </c>
      <c r="E263" s="464"/>
      <c r="F263" s="464">
        <f t="shared" si="11"/>
        <v>1.0349999999999999</v>
      </c>
      <c r="G263" s="464"/>
      <c r="H263" s="464"/>
      <c r="I263" s="464"/>
    </row>
    <row r="264" spans="1:9" ht="12.95" customHeight="1">
      <c r="A264" s="6">
        <f t="shared" ref="A264:A327" si="12">A263+1</f>
        <v>257</v>
      </c>
      <c r="B264" s="504">
        <v>44719.666666666664</v>
      </c>
      <c r="C264" s="489">
        <f t="shared" si="10"/>
        <v>150.19999999999999</v>
      </c>
      <c r="D264" s="489">
        <v>1.502</v>
      </c>
      <c r="E264" s="464"/>
      <c r="F264" s="464">
        <f t="shared" si="11"/>
        <v>1.002</v>
      </c>
      <c r="G264" s="464"/>
      <c r="H264" s="464"/>
      <c r="I264" s="464"/>
    </row>
    <row r="265" spans="1:9" ht="12.95" customHeight="1">
      <c r="A265" s="6">
        <f t="shared" si="12"/>
        <v>258</v>
      </c>
      <c r="B265" s="504">
        <v>44719.708333333336</v>
      </c>
      <c r="C265" s="489">
        <f t="shared" ref="C265:C328" si="13">D265*100</f>
        <v>151.10000000000002</v>
      </c>
      <c r="D265" s="489">
        <v>1.5110000000000001</v>
      </c>
      <c r="E265" s="464"/>
      <c r="F265" s="464">
        <f t="shared" ref="F265:F328" si="14">D265-0.5</f>
        <v>1.0110000000000001</v>
      </c>
      <c r="G265" s="464"/>
      <c r="H265" s="464"/>
      <c r="I265" s="464"/>
    </row>
    <row r="266" spans="1:9" ht="12.95" customHeight="1">
      <c r="A266" s="6">
        <f t="shared" si="12"/>
        <v>259</v>
      </c>
      <c r="B266" s="504">
        <v>44719.75</v>
      </c>
      <c r="C266" s="489">
        <f t="shared" si="13"/>
        <v>159.5</v>
      </c>
      <c r="D266" s="489">
        <v>1.595</v>
      </c>
      <c r="E266" s="464"/>
      <c r="F266" s="464">
        <f t="shared" si="14"/>
        <v>1.095</v>
      </c>
      <c r="G266" s="464"/>
      <c r="H266" s="464"/>
      <c r="I266" s="464"/>
    </row>
    <row r="267" spans="1:9" ht="12.95" customHeight="1">
      <c r="A267" s="6">
        <f t="shared" si="12"/>
        <v>260</v>
      </c>
      <c r="B267" s="504">
        <v>44719.791666666664</v>
      </c>
      <c r="C267" s="489">
        <f t="shared" si="13"/>
        <v>172.4</v>
      </c>
      <c r="D267" s="489">
        <v>1.724</v>
      </c>
      <c r="E267" s="464"/>
      <c r="F267" s="464">
        <f t="shared" si="14"/>
        <v>1.224</v>
      </c>
      <c r="G267" s="464"/>
      <c r="H267" s="464"/>
      <c r="I267" s="464"/>
    </row>
    <row r="268" spans="1:9" ht="12.95" customHeight="1">
      <c r="A268" s="6">
        <f t="shared" si="12"/>
        <v>261</v>
      </c>
      <c r="B268" s="504">
        <v>44719.833333333336</v>
      </c>
      <c r="C268" s="489">
        <f t="shared" si="13"/>
        <v>179.6</v>
      </c>
      <c r="D268" s="489">
        <v>1.796</v>
      </c>
      <c r="E268" s="464"/>
      <c r="F268" s="464">
        <f t="shared" si="14"/>
        <v>1.296</v>
      </c>
      <c r="G268" s="464"/>
      <c r="H268" s="464"/>
      <c r="I268" s="464"/>
    </row>
    <row r="269" spans="1:9" ht="12.95" customHeight="1">
      <c r="A269" s="6">
        <f t="shared" si="12"/>
        <v>262</v>
      </c>
      <c r="B269" s="504">
        <v>44719.875</v>
      </c>
      <c r="C269" s="489">
        <f t="shared" si="13"/>
        <v>176.6</v>
      </c>
      <c r="D269" s="489">
        <v>1.766</v>
      </c>
      <c r="E269" s="464"/>
      <c r="F269" s="464">
        <f t="shared" si="14"/>
        <v>1.266</v>
      </c>
      <c r="G269" s="464"/>
      <c r="H269" s="464"/>
      <c r="I269" s="464"/>
    </row>
    <row r="270" spans="1:9" ht="12.95" customHeight="1">
      <c r="A270" s="6">
        <f t="shared" si="12"/>
        <v>263</v>
      </c>
      <c r="B270" s="504">
        <v>44719.916666666664</v>
      </c>
      <c r="C270" s="489">
        <f t="shared" si="13"/>
        <v>164</v>
      </c>
      <c r="D270" s="489">
        <v>1.64</v>
      </c>
      <c r="E270" s="464"/>
      <c r="F270" s="464">
        <f t="shared" si="14"/>
        <v>1.1399999999999999</v>
      </c>
      <c r="G270" s="464"/>
      <c r="H270" s="464"/>
      <c r="I270" s="464"/>
    </row>
    <row r="271" spans="1:9" ht="12.95" customHeight="1">
      <c r="A271" s="7">
        <f t="shared" si="12"/>
        <v>264</v>
      </c>
      <c r="B271" s="504">
        <v>44719.958333333336</v>
      </c>
      <c r="C271" s="489">
        <f t="shared" si="13"/>
        <v>149.5</v>
      </c>
      <c r="D271" s="489">
        <v>1.4950000000000001</v>
      </c>
      <c r="E271" s="464"/>
      <c r="F271" s="464">
        <f t="shared" si="14"/>
        <v>0.99500000000000011</v>
      </c>
      <c r="G271" s="464"/>
      <c r="H271" s="464"/>
      <c r="I271" s="464"/>
    </row>
    <row r="272" spans="1:9" ht="12.95" customHeight="1">
      <c r="A272" s="9">
        <f t="shared" si="12"/>
        <v>265</v>
      </c>
      <c r="B272" s="504">
        <v>44720</v>
      </c>
      <c r="C272" s="489">
        <f t="shared" si="13"/>
        <v>137.30000000000001</v>
      </c>
      <c r="D272" s="489">
        <v>1.373</v>
      </c>
      <c r="E272" s="464"/>
      <c r="F272" s="464">
        <f t="shared" si="14"/>
        <v>0.873</v>
      </c>
      <c r="G272" s="464"/>
      <c r="H272" s="464"/>
      <c r="I272" s="464"/>
    </row>
    <row r="273" spans="1:9" ht="12.95" customHeight="1">
      <c r="A273" s="9">
        <f t="shared" si="12"/>
        <v>266</v>
      </c>
      <c r="B273" s="504">
        <v>44720.041666666664</v>
      </c>
      <c r="C273" s="489">
        <f t="shared" si="13"/>
        <v>127.1</v>
      </c>
      <c r="D273" s="489">
        <v>1.2709999999999999</v>
      </c>
      <c r="E273" s="464"/>
      <c r="F273" s="464">
        <f t="shared" si="14"/>
        <v>0.77099999999999991</v>
      </c>
      <c r="G273" s="464"/>
      <c r="H273" s="464"/>
      <c r="I273" s="464"/>
    </row>
    <row r="274" spans="1:9" ht="12.95" customHeight="1">
      <c r="A274" s="9">
        <f t="shared" si="12"/>
        <v>267</v>
      </c>
      <c r="B274" s="504">
        <v>44720.083333333336</v>
      </c>
      <c r="C274" s="489">
        <f t="shared" si="13"/>
        <v>123.4</v>
      </c>
      <c r="D274" s="489">
        <v>1.234</v>
      </c>
      <c r="E274" s="464"/>
      <c r="F274" s="464">
        <f t="shared" si="14"/>
        <v>0.73399999999999999</v>
      </c>
      <c r="G274" s="464"/>
      <c r="H274" s="464"/>
      <c r="I274" s="464"/>
    </row>
    <row r="275" spans="1:9" ht="12.95" customHeight="1">
      <c r="A275" s="9">
        <f t="shared" si="12"/>
        <v>268</v>
      </c>
      <c r="B275" s="504">
        <v>44720.125</v>
      </c>
      <c r="C275" s="489">
        <f t="shared" si="13"/>
        <v>127.3</v>
      </c>
      <c r="D275" s="489">
        <v>1.2729999999999999</v>
      </c>
      <c r="E275" s="464"/>
      <c r="F275" s="464">
        <f t="shared" si="14"/>
        <v>0.77299999999999991</v>
      </c>
      <c r="G275" s="464"/>
      <c r="H275" s="464"/>
      <c r="I275" s="464"/>
    </row>
    <row r="276" spans="1:9" ht="12.95" customHeight="1">
      <c r="A276" s="9">
        <f t="shared" si="12"/>
        <v>269</v>
      </c>
      <c r="B276" s="504">
        <v>44720.166666666664</v>
      </c>
      <c r="C276" s="489">
        <f t="shared" si="13"/>
        <v>135.20000000000002</v>
      </c>
      <c r="D276" s="489">
        <v>1.3520000000000001</v>
      </c>
      <c r="E276" s="464"/>
      <c r="F276" s="464">
        <f t="shared" si="14"/>
        <v>0.85200000000000009</v>
      </c>
      <c r="G276" s="464"/>
      <c r="H276" s="464"/>
      <c r="I276" s="464"/>
    </row>
    <row r="277" spans="1:9" ht="12.95" customHeight="1">
      <c r="A277" s="9">
        <f t="shared" si="12"/>
        <v>270</v>
      </c>
      <c r="B277" s="504">
        <v>44720.208333333336</v>
      </c>
      <c r="C277" s="489">
        <f t="shared" si="13"/>
        <v>152.6</v>
      </c>
      <c r="D277" s="489">
        <v>1.526</v>
      </c>
      <c r="E277" s="464"/>
      <c r="F277" s="464">
        <f t="shared" si="14"/>
        <v>1.026</v>
      </c>
      <c r="G277" s="464"/>
      <c r="H277" s="464"/>
      <c r="I277" s="464"/>
    </row>
    <row r="278" spans="1:9" ht="12.95" customHeight="1">
      <c r="A278" s="9">
        <f t="shared" si="12"/>
        <v>271</v>
      </c>
      <c r="B278" s="504">
        <v>44720.25</v>
      </c>
      <c r="C278" s="489">
        <f t="shared" si="13"/>
        <v>173.9</v>
      </c>
      <c r="D278" s="489">
        <v>1.7390000000000001</v>
      </c>
      <c r="E278" s="464"/>
      <c r="F278" s="464">
        <f t="shared" si="14"/>
        <v>1.2390000000000001</v>
      </c>
      <c r="G278" s="464"/>
      <c r="H278" s="464"/>
      <c r="I278" s="464"/>
    </row>
    <row r="279" spans="1:9" ht="12.95" customHeight="1">
      <c r="A279" s="9">
        <f t="shared" si="12"/>
        <v>272</v>
      </c>
      <c r="B279" s="504">
        <v>44720.291666666664</v>
      </c>
      <c r="C279" s="489">
        <f t="shared" si="13"/>
        <v>190.5</v>
      </c>
      <c r="D279" s="489">
        <v>1.905</v>
      </c>
      <c r="E279" s="464"/>
      <c r="F279" s="464">
        <f t="shared" si="14"/>
        <v>1.405</v>
      </c>
      <c r="G279" s="464"/>
      <c r="H279" s="464"/>
      <c r="I279" s="464"/>
    </row>
    <row r="280" spans="1:9" ht="12.95" customHeight="1">
      <c r="A280" s="9">
        <f t="shared" si="12"/>
        <v>273</v>
      </c>
      <c r="B280" s="504">
        <v>44720.333333333336</v>
      </c>
      <c r="C280" s="489">
        <f t="shared" si="13"/>
        <v>203.9</v>
      </c>
      <c r="D280" s="489">
        <v>2.0390000000000001</v>
      </c>
      <c r="E280" s="464"/>
      <c r="F280" s="464">
        <f t="shared" si="14"/>
        <v>1.5390000000000001</v>
      </c>
      <c r="G280" s="464"/>
      <c r="H280" s="464"/>
      <c r="I280" s="464"/>
    </row>
    <row r="281" spans="1:9" ht="12.95" customHeight="1">
      <c r="A281" s="9">
        <f t="shared" si="12"/>
        <v>274</v>
      </c>
      <c r="B281" s="504">
        <v>44720.375</v>
      </c>
      <c r="C281" s="489">
        <f t="shared" si="13"/>
        <v>208.70000000000002</v>
      </c>
      <c r="D281" s="489">
        <v>2.0870000000000002</v>
      </c>
      <c r="E281" s="464"/>
      <c r="F281" s="464">
        <f t="shared" si="14"/>
        <v>1.5870000000000002</v>
      </c>
      <c r="G281" s="464"/>
      <c r="H281" s="464"/>
      <c r="I281" s="464"/>
    </row>
    <row r="282" spans="1:9" ht="12.95" customHeight="1">
      <c r="A282" s="9">
        <f t="shared" si="12"/>
        <v>275</v>
      </c>
      <c r="B282" s="504">
        <v>44720.416666666664</v>
      </c>
      <c r="C282" s="489">
        <f t="shared" si="13"/>
        <v>207.7</v>
      </c>
      <c r="D282" s="489">
        <v>2.077</v>
      </c>
      <c r="E282" s="464"/>
      <c r="F282" s="464">
        <f t="shared" si="14"/>
        <v>1.577</v>
      </c>
      <c r="G282" s="464"/>
      <c r="H282" s="464"/>
      <c r="I282" s="464"/>
    </row>
    <row r="283" spans="1:9" ht="12.95" customHeight="1">
      <c r="A283" s="9">
        <f t="shared" si="12"/>
        <v>276</v>
      </c>
      <c r="B283" s="504">
        <v>44720.458333333336</v>
      </c>
      <c r="C283" s="489">
        <f t="shared" si="13"/>
        <v>203.6</v>
      </c>
      <c r="D283" s="489">
        <v>2.036</v>
      </c>
      <c r="E283" s="464"/>
      <c r="F283" s="464">
        <f t="shared" si="14"/>
        <v>1.536</v>
      </c>
      <c r="G283" s="464"/>
      <c r="H283" s="464"/>
      <c r="I283" s="464"/>
    </row>
    <row r="284" spans="1:9" ht="12.95" customHeight="1">
      <c r="A284" s="9">
        <f t="shared" si="12"/>
        <v>277</v>
      </c>
      <c r="B284" s="504">
        <v>44720.5</v>
      </c>
      <c r="C284" s="489">
        <f t="shared" si="13"/>
        <v>197.6</v>
      </c>
      <c r="D284" s="489">
        <v>1.976</v>
      </c>
      <c r="E284" s="464"/>
      <c r="F284" s="464">
        <f t="shared" si="14"/>
        <v>1.476</v>
      </c>
      <c r="G284" s="464"/>
      <c r="H284" s="464"/>
      <c r="I284" s="464"/>
    </row>
    <row r="285" spans="1:9" ht="12.95" customHeight="1">
      <c r="A285" s="9">
        <f t="shared" si="12"/>
        <v>278</v>
      </c>
      <c r="B285" s="504">
        <v>44720.541666666664</v>
      </c>
      <c r="C285" s="489">
        <f t="shared" si="13"/>
        <v>187.3</v>
      </c>
      <c r="D285" s="489">
        <v>1.873</v>
      </c>
      <c r="E285" s="464"/>
      <c r="F285" s="464">
        <f t="shared" si="14"/>
        <v>1.373</v>
      </c>
      <c r="G285" s="464"/>
      <c r="H285" s="464"/>
      <c r="I285" s="464"/>
    </row>
    <row r="286" spans="1:9" ht="12.95" customHeight="1">
      <c r="A286" s="9">
        <f t="shared" si="12"/>
        <v>279</v>
      </c>
      <c r="B286" s="504">
        <v>44720.583333333336</v>
      </c>
      <c r="C286" s="489">
        <f t="shared" si="13"/>
        <v>176.5</v>
      </c>
      <c r="D286" s="489">
        <v>1.7649999999999999</v>
      </c>
      <c r="E286" s="464"/>
      <c r="F286" s="464">
        <f t="shared" si="14"/>
        <v>1.2649999999999999</v>
      </c>
      <c r="G286" s="464"/>
      <c r="H286" s="464"/>
      <c r="I286" s="464"/>
    </row>
    <row r="287" spans="1:9" ht="12.95" customHeight="1">
      <c r="A287" s="9">
        <f t="shared" si="12"/>
        <v>280</v>
      </c>
      <c r="B287" s="504">
        <v>44720.625</v>
      </c>
      <c r="C287" s="489">
        <f t="shared" si="13"/>
        <v>163.19999999999999</v>
      </c>
      <c r="D287" s="489">
        <v>1.6319999999999999</v>
      </c>
      <c r="E287" s="464"/>
      <c r="F287" s="464">
        <f t="shared" si="14"/>
        <v>1.1319999999999999</v>
      </c>
      <c r="G287" s="464"/>
      <c r="H287" s="464"/>
      <c r="I287" s="464"/>
    </row>
    <row r="288" spans="1:9" ht="12.95" customHeight="1">
      <c r="A288" s="9">
        <f t="shared" si="12"/>
        <v>281</v>
      </c>
      <c r="B288" s="504">
        <v>44720.666666666664</v>
      </c>
      <c r="C288" s="489">
        <f t="shared" si="13"/>
        <v>157.80000000000001</v>
      </c>
      <c r="D288" s="489">
        <v>1.5780000000000001</v>
      </c>
      <c r="E288" s="464"/>
      <c r="F288" s="464">
        <f t="shared" si="14"/>
        <v>1.0780000000000001</v>
      </c>
      <c r="G288" s="464"/>
      <c r="H288" s="464"/>
      <c r="I288" s="464"/>
    </row>
    <row r="289" spans="1:9" ht="12.95" customHeight="1">
      <c r="A289" s="9">
        <f t="shared" si="12"/>
        <v>282</v>
      </c>
      <c r="B289" s="504">
        <v>44720.708333333336</v>
      </c>
      <c r="C289" s="489">
        <f t="shared" si="13"/>
        <v>153.80000000000001</v>
      </c>
      <c r="D289" s="489">
        <v>1.538</v>
      </c>
      <c r="E289" s="464"/>
      <c r="F289" s="464">
        <f t="shared" si="14"/>
        <v>1.038</v>
      </c>
      <c r="G289" s="464"/>
      <c r="H289" s="464"/>
      <c r="I289" s="464"/>
    </row>
    <row r="290" spans="1:9" ht="12.95" customHeight="1">
      <c r="A290" s="9">
        <f t="shared" si="12"/>
        <v>283</v>
      </c>
      <c r="B290" s="504">
        <v>44720.75</v>
      </c>
      <c r="C290" s="489">
        <f t="shared" si="13"/>
        <v>154.4</v>
      </c>
      <c r="D290" s="489">
        <v>1.544</v>
      </c>
      <c r="E290" s="464"/>
      <c r="F290" s="464">
        <f t="shared" si="14"/>
        <v>1.044</v>
      </c>
      <c r="G290" s="464"/>
      <c r="H290" s="464"/>
      <c r="I290" s="464"/>
    </row>
    <row r="291" spans="1:9" ht="12.95" customHeight="1">
      <c r="A291" s="9">
        <f t="shared" si="12"/>
        <v>284</v>
      </c>
      <c r="B291" s="504">
        <v>44720.791666666664</v>
      </c>
      <c r="C291" s="489">
        <f t="shared" si="13"/>
        <v>162.1</v>
      </c>
      <c r="D291" s="489">
        <v>1.621</v>
      </c>
      <c r="E291" s="464"/>
      <c r="F291" s="464">
        <f t="shared" si="14"/>
        <v>1.121</v>
      </c>
      <c r="G291" s="464"/>
      <c r="H291" s="464"/>
      <c r="I291" s="464"/>
    </row>
    <row r="292" spans="1:9" ht="12.95" customHeight="1">
      <c r="A292" s="9">
        <f t="shared" si="12"/>
        <v>285</v>
      </c>
      <c r="B292" s="504">
        <v>44720.833333333336</v>
      </c>
      <c r="C292" s="489">
        <f t="shared" si="13"/>
        <v>170.4</v>
      </c>
      <c r="D292" s="489">
        <v>1.704</v>
      </c>
      <c r="E292" s="464"/>
      <c r="F292" s="464">
        <f t="shared" si="14"/>
        <v>1.204</v>
      </c>
      <c r="G292" s="464"/>
      <c r="H292" s="464"/>
      <c r="I292" s="464"/>
    </row>
    <row r="293" spans="1:9" ht="12.95" customHeight="1">
      <c r="A293" s="9">
        <f t="shared" si="12"/>
        <v>286</v>
      </c>
      <c r="B293" s="504">
        <v>44720.875</v>
      </c>
      <c r="C293" s="489">
        <f t="shared" si="13"/>
        <v>172.10000000000002</v>
      </c>
      <c r="D293" s="489">
        <v>1.7210000000000001</v>
      </c>
      <c r="E293" s="464"/>
      <c r="F293" s="464">
        <f t="shared" si="14"/>
        <v>1.2210000000000001</v>
      </c>
      <c r="G293" s="464"/>
      <c r="H293" s="464"/>
      <c r="I293" s="464"/>
    </row>
    <row r="294" spans="1:9" ht="12.95" customHeight="1">
      <c r="A294" s="9">
        <f t="shared" si="12"/>
        <v>287</v>
      </c>
      <c r="B294" s="504">
        <v>44720.916666666664</v>
      </c>
      <c r="C294" s="489">
        <f t="shared" si="13"/>
        <v>169.3</v>
      </c>
      <c r="D294" s="489">
        <v>1.6930000000000001</v>
      </c>
      <c r="E294" s="464"/>
      <c r="F294" s="464">
        <f t="shared" si="14"/>
        <v>1.1930000000000001</v>
      </c>
      <c r="G294" s="464"/>
      <c r="H294" s="464"/>
      <c r="I294" s="464"/>
    </row>
    <row r="295" spans="1:9" ht="12.95" customHeight="1">
      <c r="A295" s="10">
        <f t="shared" si="12"/>
        <v>288</v>
      </c>
      <c r="B295" s="504">
        <v>44720.958333333336</v>
      </c>
      <c r="C295" s="489">
        <f t="shared" si="13"/>
        <v>161</v>
      </c>
      <c r="D295" s="489">
        <v>1.61</v>
      </c>
      <c r="E295" s="464"/>
      <c r="F295" s="464">
        <f t="shared" si="14"/>
        <v>1.1100000000000001</v>
      </c>
      <c r="G295" s="464"/>
      <c r="H295" s="464"/>
      <c r="I295" s="464"/>
    </row>
    <row r="296" spans="1:9" ht="12.95" customHeight="1">
      <c r="A296" s="6">
        <f t="shared" si="12"/>
        <v>289</v>
      </c>
      <c r="B296" s="504">
        <v>44721</v>
      </c>
      <c r="C296" s="489">
        <f t="shared" si="13"/>
        <v>149.6</v>
      </c>
      <c r="D296" s="489">
        <v>1.496</v>
      </c>
      <c r="E296" s="464"/>
      <c r="F296" s="464">
        <f t="shared" si="14"/>
        <v>0.996</v>
      </c>
      <c r="G296" s="464"/>
      <c r="H296" s="464"/>
      <c r="I296" s="464"/>
    </row>
    <row r="297" spans="1:9" ht="12.95" customHeight="1">
      <c r="A297" s="6">
        <f t="shared" si="12"/>
        <v>290</v>
      </c>
      <c r="B297" s="504">
        <v>44721.041666666664</v>
      </c>
      <c r="C297" s="489">
        <f t="shared" si="13"/>
        <v>143.70000000000002</v>
      </c>
      <c r="D297" s="489">
        <v>1.4370000000000001</v>
      </c>
      <c r="E297" s="464"/>
      <c r="F297" s="464">
        <f t="shared" si="14"/>
        <v>0.93700000000000006</v>
      </c>
      <c r="G297" s="464"/>
      <c r="H297" s="464"/>
      <c r="I297" s="464"/>
    </row>
    <row r="298" spans="1:9" ht="12.95" customHeight="1">
      <c r="A298" s="6">
        <f t="shared" si="12"/>
        <v>291</v>
      </c>
      <c r="B298" s="504">
        <v>44721.083333333336</v>
      </c>
      <c r="C298" s="489">
        <f t="shared" si="13"/>
        <v>143.1</v>
      </c>
      <c r="D298" s="489">
        <v>1.431</v>
      </c>
      <c r="E298" s="464"/>
      <c r="F298" s="464">
        <f t="shared" si="14"/>
        <v>0.93100000000000005</v>
      </c>
      <c r="G298" s="464"/>
      <c r="H298" s="464"/>
      <c r="I298" s="464"/>
    </row>
    <row r="299" spans="1:9" ht="12.95" customHeight="1">
      <c r="A299" s="6">
        <f t="shared" si="12"/>
        <v>292</v>
      </c>
      <c r="B299" s="504">
        <v>44721.125</v>
      </c>
      <c r="C299" s="489">
        <f t="shared" si="13"/>
        <v>146.6</v>
      </c>
      <c r="D299" s="489">
        <v>1.466</v>
      </c>
      <c r="E299" s="464"/>
      <c r="F299" s="464">
        <f t="shared" si="14"/>
        <v>0.96599999999999997</v>
      </c>
      <c r="G299" s="464"/>
      <c r="H299" s="464"/>
      <c r="I299" s="464"/>
    </row>
    <row r="300" spans="1:9" ht="12.95" customHeight="1">
      <c r="A300" s="6">
        <f t="shared" si="12"/>
        <v>293</v>
      </c>
      <c r="B300" s="504">
        <v>44721.166666666664</v>
      </c>
      <c r="C300" s="489">
        <f t="shared" si="13"/>
        <v>153.9</v>
      </c>
      <c r="D300" s="489">
        <v>1.5389999999999999</v>
      </c>
      <c r="E300" s="464"/>
      <c r="F300" s="464">
        <f t="shared" si="14"/>
        <v>1.0389999999999999</v>
      </c>
      <c r="G300" s="464"/>
      <c r="H300" s="464"/>
      <c r="I300" s="464"/>
    </row>
    <row r="301" spans="1:9" ht="12.95" customHeight="1">
      <c r="A301" s="6">
        <f t="shared" si="12"/>
        <v>294</v>
      </c>
      <c r="B301" s="504">
        <v>44721.208333333336</v>
      </c>
      <c r="C301" s="489">
        <f t="shared" si="13"/>
        <v>163.6</v>
      </c>
      <c r="D301" s="489">
        <v>1.6359999999999999</v>
      </c>
      <c r="E301" s="464"/>
      <c r="F301" s="464">
        <f t="shared" si="14"/>
        <v>1.1359999999999999</v>
      </c>
      <c r="G301" s="464"/>
      <c r="H301" s="464"/>
      <c r="I301" s="464"/>
    </row>
    <row r="302" spans="1:9" ht="12.95" customHeight="1">
      <c r="A302" s="6">
        <f t="shared" si="12"/>
        <v>295</v>
      </c>
      <c r="B302" s="504">
        <v>44721.25</v>
      </c>
      <c r="C302" s="489">
        <f t="shared" si="13"/>
        <v>170.70000000000002</v>
      </c>
      <c r="D302" s="489">
        <v>1.7070000000000001</v>
      </c>
      <c r="E302" s="464"/>
      <c r="F302" s="464">
        <f t="shared" si="14"/>
        <v>1.2070000000000001</v>
      </c>
      <c r="G302" s="464"/>
      <c r="H302" s="464"/>
      <c r="I302" s="464"/>
    </row>
    <row r="303" spans="1:9" ht="12.95" customHeight="1">
      <c r="A303" s="6">
        <f t="shared" si="12"/>
        <v>296</v>
      </c>
      <c r="B303" s="504">
        <v>44721.291666666664</v>
      </c>
      <c r="C303" s="489">
        <f t="shared" si="13"/>
        <v>179.7</v>
      </c>
      <c r="D303" s="489">
        <v>1.7969999999999999</v>
      </c>
      <c r="E303" s="464"/>
      <c r="F303" s="464">
        <f t="shared" si="14"/>
        <v>1.2969999999999999</v>
      </c>
      <c r="G303" s="464"/>
      <c r="H303" s="464"/>
      <c r="I303" s="464"/>
    </row>
    <row r="304" spans="1:9" ht="12.95" customHeight="1">
      <c r="A304" s="6">
        <f t="shared" si="12"/>
        <v>297</v>
      </c>
      <c r="B304" s="504">
        <v>44721.333333333336</v>
      </c>
      <c r="C304" s="489">
        <f t="shared" si="13"/>
        <v>184.3</v>
      </c>
      <c r="D304" s="489">
        <v>1.843</v>
      </c>
      <c r="E304" s="464"/>
      <c r="F304" s="464">
        <f t="shared" si="14"/>
        <v>1.343</v>
      </c>
      <c r="G304" s="464"/>
      <c r="H304" s="464"/>
      <c r="I304" s="464"/>
    </row>
    <row r="305" spans="1:9" ht="12.95" customHeight="1">
      <c r="A305" s="6">
        <f t="shared" si="12"/>
        <v>298</v>
      </c>
      <c r="B305" s="504">
        <v>44721.375</v>
      </c>
      <c r="C305" s="489">
        <f t="shared" si="13"/>
        <v>187.4</v>
      </c>
      <c r="D305" s="489">
        <v>1.8740000000000001</v>
      </c>
      <c r="E305" s="464"/>
      <c r="F305" s="464">
        <f t="shared" si="14"/>
        <v>1.3740000000000001</v>
      </c>
      <c r="G305" s="464"/>
      <c r="H305" s="464"/>
      <c r="I305" s="464"/>
    </row>
    <row r="306" spans="1:9" ht="12.95" customHeight="1">
      <c r="A306" s="6">
        <f t="shared" si="12"/>
        <v>299</v>
      </c>
      <c r="B306" s="504">
        <v>44721.416666666664</v>
      </c>
      <c r="C306" s="489">
        <f t="shared" si="13"/>
        <v>189.9</v>
      </c>
      <c r="D306" s="489">
        <v>1.899</v>
      </c>
      <c r="E306" s="464"/>
      <c r="F306" s="464">
        <f t="shared" si="14"/>
        <v>1.399</v>
      </c>
      <c r="G306" s="464"/>
      <c r="H306" s="464"/>
      <c r="I306" s="464"/>
    </row>
    <row r="307" spans="1:9" ht="12.95" customHeight="1">
      <c r="A307" s="6">
        <f t="shared" si="12"/>
        <v>300</v>
      </c>
      <c r="B307" s="504">
        <v>44721.458333333336</v>
      </c>
      <c r="C307" s="489">
        <f t="shared" si="13"/>
        <v>192.4</v>
      </c>
      <c r="D307" s="489">
        <v>1.9239999999999999</v>
      </c>
      <c r="E307" s="464"/>
      <c r="F307" s="464">
        <f t="shared" si="14"/>
        <v>1.4239999999999999</v>
      </c>
      <c r="G307" s="464"/>
      <c r="H307" s="464"/>
      <c r="I307" s="464"/>
    </row>
    <row r="308" spans="1:9" ht="12.95" customHeight="1">
      <c r="A308" s="6">
        <f t="shared" si="12"/>
        <v>301</v>
      </c>
      <c r="B308" s="504">
        <v>44721.5</v>
      </c>
      <c r="C308" s="489">
        <f t="shared" si="13"/>
        <v>189.39999999999998</v>
      </c>
      <c r="D308" s="489">
        <v>1.8939999999999999</v>
      </c>
      <c r="E308" s="464"/>
      <c r="F308" s="464">
        <f t="shared" si="14"/>
        <v>1.3939999999999999</v>
      </c>
      <c r="G308" s="464"/>
      <c r="H308" s="464"/>
      <c r="I308" s="464"/>
    </row>
    <row r="309" spans="1:9" ht="12.95" customHeight="1">
      <c r="A309" s="6">
        <f t="shared" si="12"/>
        <v>302</v>
      </c>
      <c r="B309" s="504">
        <v>44721.541666666664</v>
      </c>
      <c r="C309" s="489">
        <f t="shared" si="13"/>
        <v>183.5</v>
      </c>
      <c r="D309" s="489">
        <v>1.835</v>
      </c>
      <c r="E309" s="464"/>
      <c r="F309" s="464">
        <f t="shared" si="14"/>
        <v>1.335</v>
      </c>
      <c r="G309" s="464"/>
      <c r="H309" s="464"/>
      <c r="I309" s="464"/>
    </row>
    <row r="310" spans="1:9" ht="12.95" customHeight="1">
      <c r="A310" s="6">
        <f t="shared" si="12"/>
        <v>303</v>
      </c>
      <c r="B310" s="504">
        <v>44721.583333333336</v>
      </c>
      <c r="C310" s="489">
        <f t="shared" si="13"/>
        <v>178.9</v>
      </c>
      <c r="D310" s="489">
        <v>1.7889999999999999</v>
      </c>
      <c r="E310" s="464"/>
      <c r="F310" s="464">
        <f t="shared" si="14"/>
        <v>1.2889999999999999</v>
      </c>
      <c r="G310" s="464"/>
      <c r="H310" s="464"/>
      <c r="I310" s="464"/>
    </row>
    <row r="311" spans="1:9" ht="12.95" customHeight="1">
      <c r="A311" s="6">
        <f t="shared" si="12"/>
        <v>304</v>
      </c>
      <c r="B311" s="504">
        <v>44721.625</v>
      </c>
      <c r="C311" s="489">
        <f t="shared" si="13"/>
        <v>167.4</v>
      </c>
      <c r="D311" s="489">
        <v>1.6739999999999999</v>
      </c>
      <c r="E311" s="464"/>
      <c r="F311" s="464">
        <f t="shared" si="14"/>
        <v>1.1739999999999999</v>
      </c>
      <c r="G311" s="464"/>
      <c r="H311" s="464"/>
      <c r="I311" s="464"/>
    </row>
    <row r="312" spans="1:9" ht="12.95" customHeight="1">
      <c r="A312" s="6">
        <f t="shared" si="12"/>
        <v>305</v>
      </c>
      <c r="B312" s="504">
        <v>44721.666666666664</v>
      </c>
      <c r="C312" s="489">
        <f t="shared" si="13"/>
        <v>157.6</v>
      </c>
      <c r="D312" s="489">
        <v>1.5760000000000001</v>
      </c>
      <c r="E312" s="464"/>
      <c r="F312" s="464">
        <f t="shared" si="14"/>
        <v>1.0760000000000001</v>
      </c>
      <c r="G312" s="464"/>
      <c r="H312" s="464"/>
      <c r="I312" s="464"/>
    </row>
    <row r="313" spans="1:9" ht="12.95" customHeight="1">
      <c r="A313" s="6">
        <f t="shared" si="12"/>
        <v>306</v>
      </c>
      <c r="B313" s="504">
        <v>44721.708333333336</v>
      </c>
      <c r="C313" s="489">
        <f t="shared" si="13"/>
        <v>150.89999999999998</v>
      </c>
      <c r="D313" s="489">
        <v>1.5089999999999999</v>
      </c>
      <c r="E313" s="464"/>
      <c r="F313" s="464">
        <f t="shared" si="14"/>
        <v>1.0089999999999999</v>
      </c>
      <c r="G313" s="464"/>
      <c r="H313" s="464"/>
      <c r="I313" s="464"/>
    </row>
    <row r="314" spans="1:9" ht="12.95" customHeight="1">
      <c r="A314" s="6">
        <f t="shared" si="12"/>
        <v>307</v>
      </c>
      <c r="B314" s="504">
        <v>44721.750000057873</v>
      </c>
      <c r="C314" s="489">
        <f t="shared" si="13"/>
        <v>146.80000000000001</v>
      </c>
      <c r="D314" s="489">
        <v>1.468</v>
      </c>
      <c r="E314" s="464"/>
      <c r="F314" s="464">
        <f t="shared" si="14"/>
        <v>0.96799999999999997</v>
      </c>
      <c r="G314" s="464"/>
      <c r="H314" s="464"/>
      <c r="I314" s="464"/>
    </row>
    <row r="315" spans="1:9" ht="12.95" customHeight="1">
      <c r="A315" s="6">
        <f t="shared" si="12"/>
        <v>308</v>
      </c>
      <c r="B315" s="504">
        <v>44721.79166678241</v>
      </c>
      <c r="C315" s="489">
        <f t="shared" si="13"/>
        <v>148.4</v>
      </c>
      <c r="D315" s="489">
        <v>1.484</v>
      </c>
      <c r="E315" s="464"/>
      <c r="F315" s="464">
        <f t="shared" si="14"/>
        <v>0.98399999999999999</v>
      </c>
      <c r="G315" s="464"/>
      <c r="H315" s="464"/>
      <c r="I315" s="464"/>
    </row>
    <row r="316" spans="1:9" ht="12.95" customHeight="1">
      <c r="A316" s="6">
        <f t="shared" si="12"/>
        <v>309</v>
      </c>
      <c r="B316" s="504">
        <v>44721.833333506947</v>
      </c>
      <c r="C316" s="489">
        <f t="shared" si="13"/>
        <v>152.69999999999999</v>
      </c>
      <c r="D316" s="489">
        <v>1.5269999999999999</v>
      </c>
      <c r="E316" s="464"/>
      <c r="F316" s="464">
        <f t="shared" si="14"/>
        <v>1.0269999999999999</v>
      </c>
      <c r="G316" s="464"/>
      <c r="H316" s="464"/>
      <c r="I316" s="464"/>
    </row>
    <row r="317" spans="1:9" ht="12.95" customHeight="1">
      <c r="A317" s="6">
        <f t="shared" si="12"/>
        <v>310</v>
      </c>
      <c r="B317" s="504">
        <v>44721.875000231485</v>
      </c>
      <c r="C317" s="489">
        <f t="shared" si="13"/>
        <v>154.4</v>
      </c>
      <c r="D317" s="489">
        <v>1.544</v>
      </c>
      <c r="E317" s="464"/>
      <c r="F317" s="464">
        <f t="shared" si="14"/>
        <v>1.044</v>
      </c>
      <c r="G317" s="464"/>
      <c r="H317" s="464"/>
      <c r="I317" s="464"/>
    </row>
    <row r="318" spans="1:9" ht="12.95" customHeight="1">
      <c r="A318" s="6">
        <f t="shared" si="12"/>
        <v>311</v>
      </c>
      <c r="B318" s="504">
        <v>44721.916666956022</v>
      </c>
      <c r="C318" s="489">
        <f t="shared" si="13"/>
        <v>158.4</v>
      </c>
      <c r="D318" s="489">
        <v>1.5840000000000001</v>
      </c>
      <c r="E318" s="464"/>
      <c r="F318" s="464">
        <f t="shared" si="14"/>
        <v>1.0840000000000001</v>
      </c>
      <c r="G318" s="464"/>
      <c r="H318" s="464"/>
      <c r="I318" s="464"/>
    </row>
    <row r="319" spans="1:9" ht="12.95" customHeight="1">
      <c r="A319" s="7">
        <f t="shared" si="12"/>
        <v>312</v>
      </c>
      <c r="B319" s="504">
        <v>44721.958333680559</v>
      </c>
      <c r="C319" s="489">
        <f t="shared" si="13"/>
        <v>156.9</v>
      </c>
      <c r="D319" s="489">
        <v>1.569</v>
      </c>
      <c r="E319" s="464"/>
      <c r="F319" s="464">
        <f t="shared" si="14"/>
        <v>1.069</v>
      </c>
      <c r="G319" s="464"/>
      <c r="H319" s="464"/>
      <c r="I319" s="464"/>
    </row>
    <row r="320" spans="1:9" ht="12.95" customHeight="1">
      <c r="A320" s="9">
        <f t="shared" si="12"/>
        <v>313</v>
      </c>
      <c r="B320" s="504">
        <v>44722.000000405096</v>
      </c>
      <c r="C320" s="489">
        <f t="shared" si="13"/>
        <v>162</v>
      </c>
      <c r="D320" s="489">
        <v>1.62</v>
      </c>
      <c r="E320" s="464"/>
      <c r="F320" s="464">
        <f t="shared" si="14"/>
        <v>1.1200000000000001</v>
      </c>
      <c r="G320" s="464"/>
      <c r="H320" s="464"/>
      <c r="I320" s="464"/>
    </row>
    <row r="321" spans="1:9" ht="12.95" customHeight="1">
      <c r="A321" s="9">
        <f t="shared" si="12"/>
        <v>314</v>
      </c>
      <c r="B321" s="504">
        <v>44722.041667129626</v>
      </c>
      <c r="C321" s="489">
        <f t="shared" si="13"/>
        <v>167.6</v>
      </c>
      <c r="D321" s="489">
        <v>1.6759999999999999</v>
      </c>
      <c r="E321" s="464"/>
      <c r="F321" s="464">
        <f t="shared" si="14"/>
        <v>1.1759999999999999</v>
      </c>
      <c r="G321" s="464"/>
      <c r="H321" s="464"/>
      <c r="I321" s="464"/>
    </row>
    <row r="322" spans="1:9" ht="12.95" customHeight="1">
      <c r="A322" s="9">
        <f t="shared" si="12"/>
        <v>315</v>
      </c>
      <c r="B322" s="504">
        <v>44722.083333854163</v>
      </c>
      <c r="C322" s="489">
        <f t="shared" si="13"/>
        <v>166.9</v>
      </c>
      <c r="D322" s="489">
        <v>1.669</v>
      </c>
      <c r="E322" s="464"/>
      <c r="F322" s="464">
        <f t="shared" si="14"/>
        <v>1.169</v>
      </c>
      <c r="G322" s="464"/>
      <c r="H322" s="464"/>
      <c r="I322" s="464"/>
    </row>
    <row r="323" spans="1:9" ht="12.95" customHeight="1">
      <c r="A323" s="9">
        <f t="shared" si="12"/>
        <v>316</v>
      </c>
      <c r="B323" s="504">
        <v>44722.125000578701</v>
      </c>
      <c r="C323" s="489">
        <f t="shared" si="13"/>
        <v>169.9</v>
      </c>
      <c r="D323" s="489">
        <v>1.6990000000000001</v>
      </c>
      <c r="E323" s="464"/>
      <c r="F323" s="464">
        <f t="shared" si="14"/>
        <v>1.1990000000000001</v>
      </c>
      <c r="G323" s="464"/>
      <c r="H323" s="464"/>
      <c r="I323" s="464"/>
    </row>
    <row r="324" spans="1:9" ht="12.95" customHeight="1">
      <c r="A324" s="9">
        <f t="shared" si="12"/>
        <v>317</v>
      </c>
      <c r="B324" s="504">
        <v>44722.166667303238</v>
      </c>
      <c r="C324" s="489">
        <f t="shared" si="13"/>
        <v>171.4</v>
      </c>
      <c r="D324" s="489">
        <v>1.714</v>
      </c>
      <c r="E324" s="464"/>
      <c r="F324" s="464">
        <f t="shared" si="14"/>
        <v>1.214</v>
      </c>
      <c r="G324" s="464"/>
      <c r="H324" s="464"/>
      <c r="I324" s="464"/>
    </row>
    <row r="325" spans="1:9" ht="12.95" customHeight="1">
      <c r="A325" s="9">
        <f t="shared" si="12"/>
        <v>318</v>
      </c>
      <c r="B325" s="504">
        <v>44722.208334027775</v>
      </c>
      <c r="C325" s="489">
        <f t="shared" si="13"/>
        <v>171.4</v>
      </c>
      <c r="D325" s="489">
        <v>1.714</v>
      </c>
      <c r="E325" s="464"/>
      <c r="F325" s="464">
        <f t="shared" si="14"/>
        <v>1.214</v>
      </c>
      <c r="G325" s="464"/>
      <c r="H325" s="464"/>
      <c r="I325" s="464"/>
    </row>
    <row r="326" spans="1:9" ht="12.95" customHeight="1">
      <c r="A326" s="9">
        <f t="shared" si="12"/>
        <v>319</v>
      </c>
      <c r="B326" s="504">
        <v>44722.250000752312</v>
      </c>
      <c r="C326" s="489">
        <f t="shared" si="13"/>
        <v>171.2</v>
      </c>
      <c r="D326" s="489">
        <v>1.712</v>
      </c>
      <c r="E326" s="464"/>
      <c r="F326" s="464">
        <f t="shared" si="14"/>
        <v>1.212</v>
      </c>
      <c r="G326" s="464"/>
      <c r="H326" s="464"/>
      <c r="I326" s="464"/>
    </row>
    <row r="327" spans="1:9" ht="12.95" customHeight="1">
      <c r="A327" s="9">
        <f t="shared" si="12"/>
        <v>320</v>
      </c>
      <c r="B327" s="504">
        <v>44722.291667476849</v>
      </c>
      <c r="C327" s="489">
        <f t="shared" si="13"/>
        <v>173</v>
      </c>
      <c r="D327" s="489">
        <v>1.73</v>
      </c>
      <c r="E327" s="464"/>
      <c r="F327" s="464">
        <f t="shared" si="14"/>
        <v>1.23</v>
      </c>
      <c r="G327" s="464"/>
      <c r="H327" s="464"/>
      <c r="I327" s="464"/>
    </row>
    <row r="328" spans="1:9" ht="12.95" customHeight="1">
      <c r="A328" s="9">
        <f t="shared" ref="A328:A391" si="15">A327+1</f>
        <v>321</v>
      </c>
      <c r="B328" s="504">
        <v>44722.333334201387</v>
      </c>
      <c r="C328" s="489">
        <f t="shared" si="13"/>
        <v>175.2</v>
      </c>
      <c r="D328" s="489">
        <v>1.752</v>
      </c>
      <c r="E328" s="464"/>
      <c r="F328" s="464">
        <f t="shared" si="14"/>
        <v>1.252</v>
      </c>
      <c r="G328" s="464"/>
      <c r="H328" s="464"/>
      <c r="I328" s="464"/>
    </row>
    <row r="329" spans="1:9" ht="12.95" customHeight="1">
      <c r="A329" s="9">
        <f t="shared" si="15"/>
        <v>322</v>
      </c>
      <c r="B329" s="504">
        <v>44722.375000925924</v>
      </c>
      <c r="C329" s="489">
        <f t="shared" ref="C329:C392" si="16">D329*100</f>
        <v>172.3</v>
      </c>
      <c r="D329" s="489">
        <v>1.7230000000000001</v>
      </c>
      <c r="E329" s="464"/>
      <c r="F329" s="464">
        <f t="shared" ref="F329:F392" si="17">D329-0.5</f>
        <v>1.2230000000000001</v>
      </c>
      <c r="G329" s="464"/>
      <c r="H329" s="464"/>
      <c r="I329" s="464"/>
    </row>
    <row r="330" spans="1:9" ht="12.95" customHeight="1">
      <c r="A330" s="9">
        <f t="shared" si="15"/>
        <v>323</v>
      </c>
      <c r="B330" s="504">
        <v>44722.416667650461</v>
      </c>
      <c r="C330" s="489">
        <f t="shared" si="16"/>
        <v>171.5</v>
      </c>
      <c r="D330" s="489">
        <v>1.7150000000000001</v>
      </c>
      <c r="E330" s="464"/>
      <c r="F330" s="464">
        <f t="shared" si="17"/>
        <v>1.2150000000000001</v>
      </c>
      <c r="G330" s="464"/>
      <c r="H330" s="464"/>
      <c r="I330" s="464"/>
    </row>
    <row r="331" spans="1:9" ht="12.95" customHeight="1">
      <c r="A331" s="9">
        <f t="shared" si="15"/>
        <v>324</v>
      </c>
      <c r="B331" s="504">
        <v>44722.458334374998</v>
      </c>
      <c r="C331" s="489">
        <f t="shared" si="16"/>
        <v>173.9</v>
      </c>
      <c r="D331" s="489">
        <v>1.7390000000000001</v>
      </c>
      <c r="E331" s="464"/>
      <c r="F331" s="464">
        <f t="shared" si="17"/>
        <v>1.2390000000000001</v>
      </c>
      <c r="G331" s="464"/>
      <c r="H331" s="464"/>
      <c r="I331" s="464"/>
    </row>
    <row r="332" spans="1:9" ht="12.95" customHeight="1">
      <c r="A332" s="9">
        <f t="shared" si="15"/>
        <v>325</v>
      </c>
      <c r="B332" s="504">
        <v>44722.500001099535</v>
      </c>
      <c r="C332" s="489">
        <f t="shared" si="16"/>
        <v>178.5</v>
      </c>
      <c r="D332" s="489">
        <v>1.7849999999999999</v>
      </c>
      <c r="E332" s="464"/>
      <c r="F332" s="464">
        <f t="shared" si="17"/>
        <v>1.2849999999999999</v>
      </c>
      <c r="G332" s="464"/>
      <c r="H332" s="464"/>
      <c r="I332" s="464"/>
    </row>
    <row r="333" spans="1:9" ht="12.95" customHeight="1">
      <c r="A333" s="9">
        <f t="shared" si="15"/>
        <v>326</v>
      </c>
      <c r="B333" s="504">
        <v>44722.541667824073</v>
      </c>
      <c r="C333" s="489">
        <f t="shared" si="16"/>
        <v>182.20000000000002</v>
      </c>
      <c r="D333" s="489">
        <v>1.8220000000000001</v>
      </c>
      <c r="E333" s="464"/>
      <c r="F333" s="464">
        <f t="shared" si="17"/>
        <v>1.3220000000000001</v>
      </c>
      <c r="G333" s="464"/>
      <c r="H333" s="464"/>
      <c r="I333" s="464"/>
    </row>
    <row r="334" spans="1:9" ht="12.95" customHeight="1">
      <c r="A334" s="9">
        <f t="shared" si="15"/>
        <v>327</v>
      </c>
      <c r="B334" s="504">
        <v>44722.58333454861</v>
      </c>
      <c r="C334" s="489">
        <f t="shared" si="16"/>
        <v>182.29999999999998</v>
      </c>
      <c r="D334" s="489">
        <v>1.823</v>
      </c>
      <c r="E334" s="464"/>
      <c r="F334" s="464">
        <f t="shared" si="17"/>
        <v>1.323</v>
      </c>
      <c r="G334" s="464"/>
      <c r="H334" s="464"/>
      <c r="I334" s="464"/>
    </row>
    <row r="335" spans="1:9" ht="12.95" customHeight="1">
      <c r="A335" s="9">
        <f t="shared" si="15"/>
        <v>328</v>
      </c>
      <c r="B335" s="504">
        <v>44722.625001273147</v>
      </c>
      <c r="C335" s="489">
        <f t="shared" si="16"/>
        <v>176.6</v>
      </c>
      <c r="D335" s="489">
        <v>1.766</v>
      </c>
      <c r="E335" s="464"/>
      <c r="F335" s="464">
        <f t="shared" si="17"/>
        <v>1.266</v>
      </c>
      <c r="G335" s="464"/>
      <c r="H335" s="464"/>
      <c r="I335" s="464"/>
    </row>
    <row r="336" spans="1:9" ht="12.95" customHeight="1">
      <c r="A336" s="9">
        <f t="shared" si="15"/>
        <v>329</v>
      </c>
      <c r="B336" s="504">
        <v>44722.666667997684</v>
      </c>
      <c r="C336" s="489">
        <f t="shared" si="16"/>
        <v>168.4</v>
      </c>
      <c r="D336" s="489">
        <v>1.6839999999999999</v>
      </c>
      <c r="E336" s="464"/>
      <c r="F336" s="464">
        <f t="shared" si="17"/>
        <v>1.1839999999999999</v>
      </c>
      <c r="G336" s="464"/>
      <c r="H336" s="464"/>
      <c r="I336" s="464"/>
    </row>
    <row r="337" spans="1:9" ht="12.95" customHeight="1">
      <c r="A337" s="9">
        <f t="shared" si="15"/>
        <v>330</v>
      </c>
      <c r="B337" s="504">
        <v>44722.708334722221</v>
      </c>
      <c r="C337" s="489">
        <f t="shared" si="16"/>
        <v>154.80000000000001</v>
      </c>
      <c r="D337" s="489">
        <v>1.548</v>
      </c>
      <c r="E337" s="464"/>
      <c r="F337" s="464">
        <f t="shared" si="17"/>
        <v>1.048</v>
      </c>
      <c r="G337" s="464"/>
      <c r="H337" s="464"/>
      <c r="I337" s="464"/>
    </row>
    <row r="338" spans="1:9" ht="12.95" customHeight="1">
      <c r="A338" s="9">
        <f t="shared" si="15"/>
        <v>331</v>
      </c>
      <c r="B338" s="504">
        <v>44722.750001446759</v>
      </c>
      <c r="C338" s="489">
        <f t="shared" si="16"/>
        <v>142.19999999999999</v>
      </c>
      <c r="D338" s="489">
        <v>1.4219999999999999</v>
      </c>
      <c r="E338" s="464"/>
      <c r="F338" s="464">
        <f t="shared" si="17"/>
        <v>0.92199999999999993</v>
      </c>
      <c r="G338" s="464"/>
      <c r="H338" s="464"/>
      <c r="I338" s="464"/>
    </row>
    <row r="339" spans="1:9" ht="12.95" customHeight="1">
      <c r="A339" s="9">
        <f t="shared" si="15"/>
        <v>332</v>
      </c>
      <c r="B339" s="504">
        <v>44722.791668171296</v>
      </c>
      <c r="C339" s="489">
        <f t="shared" si="16"/>
        <v>136.5</v>
      </c>
      <c r="D339" s="489">
        <v>1.365</v>
      </c>
      <c r="E339" s="464"/>
      <c r="F339" s="464">
        <f t="shared" si="17"/>
        <v>0.86499999999999999</v>
      </c>
      <c r="G339" s="464"/>
      <c r="H339" s="464"/>
      <c r="I339" s="464"/>
    </row>
    <row r="340" spans="1:9" ht="12.95" customHeight="1">
      <c r="A340" s="9">
        <f t="shared" si="15"/>
        <v>333</v>
      </c>
      <c r="B340" s="504">
        <v>44722.833334895833</v>
      </c>
      <c r="C340" s="489">
        <f t="shared" si="16"/>
        <v>137.30000000000001</v>
      </c>
      <c r="D340" s="489">
        <v>1.373</v>
      </c>
      <c r="E340" s="464"/>
      <c r="F340" s="464">
        <f t="shared" si="17"/>
        <v>0.873</v>
      </c>
      <c r="G340" s="464"/>
      <c r="H340" s="464"/>
      <c r="I340" s="464"/>
    </row>
    <row r="341" spans="1:9" ht="12.95" customHeight="1">
      <c r="A341" s="9">
        <f t="shared" si="15"/>
        <v>334</v>
      </c>
      <c r="B341" s="504">
        <v>44722.87500162037</v>
      </c>
      <c r="C341" s="489">
        <f t="shared" si="16"/>
        <v>139.30000000000001</v>
      </c>
      <c r="D341" s="489">
        <v>1.393</v>
      </c>
      <c r="E341" s="464"/>
      <c r="F341" s="464">
        <f t="shared" si="17"/>
        <v>0.89300000000000002</v>
      </c>
      <c r="G341" s="464"/>
      <c r="H341" s="464"/>
      <c r="I341" s="464"/>
    </row>
    <row r="342" spans="1:9" ht="12.95" customHeight="1">
      <c r="A342" s="9">
        <f t="shared" si="15"/>
        <v>335</v>
      </c>
      <c r="B342" s="504">
        <v>44722.916668344908</v>
      </c>
      <c r="C342" s="489">
        <f t="shared" si="16"/>
        <v>145.79999999999998</v>
      </c>
      <c r="D342" s="489">
        <v>1.458</v>
      </c>
      <c r="E342" s="464"/>
      <c r="F342" s="464">
        <f t="shared" si="17"/>
        <v>0.95799999999999996</v>
      </c>
      <c r="G342" s="464"/>
      <c r="H342" s="464"/>
      <c r="I342" s="464"/>
    </row>
    <row r="343" spans="1:9" ht="12.95" customHeight="1">
      <c r="A343" s="10">
        <f t="shared" si="15"/>
        <v>336</v>
      </c>
      <c r="B343" s="504">
        <v>44722.958335069445</v>
      </c>
      <c r="C343" s="489">
        <f t="shared" si="16"/>
        <v>156.1</v>
      </c>
      <c r="D343" s="489">
        <v>1.5609999999999999</v>
      </c>
      <c r="E343" s="464"/>
      <c r="F343" s="464">
        <f t="shared" si="17"/>
        <v>1.0609999999999999</v>
      </c>
      <c r="G343" s="464"/>
      <c r="H343" s="464"/>
      <c r="I343" s="464"/>
    </row>
    <row r="344" spans="1:9" ht="12.95" customHeight="1">
      <c r="A344" s="6">
        <f t="shared" si="15"/>
        <v>337</v>
      </c>
      <c r="B344" s="504">
        <v>44723.000001793982</v>
      </c>
      <c r="C344" s="489">
        <f t="shared" si="16"/>
        <v>169.6</v>
      </c>
      <c r="D344" s="489">
        <v>1.696</v>
      </c>
      <c r="E344" s="464"/>
      <c r="F344" s="464">
        <f t="shared" si="17"/>
        <v>1.196</v>
      </c>
      <c r="G344" s="464"/>
      <c r="H344" s="464"/>
      <c r="I344" s="464"/>
    </row>
    <row r="345" spans="1:9" ht="12.95" customHeight="1">
      <c r="A345" s="6">
        <f t="shared" si="15"/>
        <v>338</v>
      </c>
      <c r="B345" s="504">
        <v>44723.041668518519</v>
      </c>
      <c r="C345" s="489">
        <f t="shared" si="16"/>
        <v>181.6</v>
      </c>
      <c r="D345" s="489">
        <v>1.8160000000000001</v>
      </c>
      <c r="E345" s="464"/>
      <c r="F345" s="464">
        <f t="shared" si="17"/>
        <v>1.3160000000000001</v>
      </c>
      <c r="G345" s="464"/>
      <c r="H345" s="464"/>
      <c r="I345" s="464"/>
    </row>
    <row r="346" spans="1:9" ht="12.95" customHeight="1">
      <c r="A346" s="6">
        <f t="shared" si="15"/>
        <v>339</v>
      </c>
      <c r="B346" s="504">
        <v>44723.083335243056</v>
      </c>
      <c r="C346" s="489">
        <f t="shared" si="16"/>
        <v>190.3</v>
      </c>
      <c r="D346" s="489">
        <v>1.903</v>
      </c>
      <c r="E346" s="464"/>
      <c r="F346" s="464">
        <f t="shared" si="17"/>
        <v>1.403</v>
      </c>
      <c r="G346" s="464"/>
      <c r="H346" s="464"/>
      <c r="I346" s="464"/>
    </row>
    <row r="347" spans="1:9" ht="12.95" customHeight="1">
      <c r="A347" s="6">
        <f t="shared" si="15"/>
        <v>340</v>
      </c>
      <c r="B347" s="504">
        <v>44723.125001967594</v>
      </c>
      <c r="C347" s="489">
        <f t="shared" si="16"/>
        <v>196.8</v>
      </c>
      <c r="D347" s="489">
        <v>1.968</v>
      </c>
      <c r="E347" s="464"/>
      <c r="F347" s="464">
        <f t="shared" si="17"/>
        <v>1.468</v>
      </c>
      <c r="G347" s="464"/>
      <c r="H347" s="464"/>
      <c r="I347" s="464"/>
    </row>
    <row r="348" spans="1:9" ht="12.95" customHeight="1">
      <c r="A348" s="6">
        <f t="shared" si="15"/>
        <v>341</v>
      </c>
      <c r="B348" s="504">
        <v>44723.166668692131</v>
      </c>
      <c r="C348" s="489">
        <f t="shared" si="16"/>
        <v>201.2</v>
      </c>
      <c r="D348" s="489">
        <v>2.012</v>
      </c>
      <c r="E348" s="464"/>
      <c r="F348" s="464">
        <f t="shared" si="17"/>
        <v>1.512</v>
      </c>
      <c r="G348" s="464"/>
      <c r="H348" s="464"/>
      <c r="I348" s="464"/>
    </row>
    <row r="349" spans="1:9" ht="12.95" customHeight="1">
      <c r="A349" s="6">
        <f t="shared" si="15"/>
        <v>342</v>
      </c>
      <c r="B349" s="504">
        <v>44723.208335416668</v>
      </c>
      <c r="C349" s="489">
        <f t="shared" si="16"/>
        <v>200</v>
      </c>
      <c r="D349" s="489">
        <v>2</v>
      </c>
      <c r="E349" s="464"/>
      <c r="F349" s="464">
        <f t="shared" si="17"/>
        <v>1.5</v>
      </c>
      <c r="G349" s="464"/>
      <c r="H349" s="464"/>
      <c r="I349" s="464"/>
    </row>
    <row r="350" spans="1:9" ht="12.95" customHeight="1">
      <c r="A350" s="6">
        <f t="shared" si="15"/>
        <v>343</v>
      </c>
      <c r="B350" s="504">
        <v>44723.250002141205</v>
      </c>
      <c r="C350" s="489">
        <f t="shared" si="16"/>
        <v>191.3</v>
      </c>
      <c r="D350" s="489">
        <v>1.913</v>
      </c>
      <c r="E350" s="464"/>
      <c r="F350" s="464">
        <f t="shared" si="17"/>
        <v>1.413</v>
      </c>
      <c r="G350" s="464"/>
      <c r="H350" s="464"/>
      <c r="I350" s="464"/>
    </row>
    <row r="351" spans="1:9" ht="12.95" customHeight="1">
      <c r="A351" s="6">
        <f t="shared" si="15"/>
        <v>344</v>
      </c>
      <c r="B351" s="504">
        <v>44723.291668865742</v>
      </c>
      <c r="C351" s="489">
        <f t="shared" si="16"/>
        <v>182</v>
      </c>
      <c r="D351" s="489">
        <v>1.82</v>
      </c>
      <c r="E351" s="464"/>
      <c r="F351" s="464">
        <f t="shared" si="17"/>
        <v>1.32</v>
      </c>
      <c r="G351" s="464"/>
      <c r="H351" s="464"/>
      <c r="I351" s="464"/>
    </row>
    <row r="352" spans="1:9" ht="12.95" customHeight="1">
      <c r="A352" s="6">
        <f t="shared" si="15"/>
        <v>345</v>
      </c>
      <c r="B352" s="504">
        <v>44723.33333559028</v>
      </c>
      <c r="C352" s="489">
        <f t="shared" si="16"/>
        <v>172.2</v>
      </c>
      <c r="D352" s="489">
        <v>1.722</v>
      </c>
      <c r="E352" s="464"/>
      <c r="F352" s="464">
        <f t="shared" si="17"/>
        <v>1.222</v>
      </c>
      <c r="G352" s="464"/>
      <c r="H352" s="464"/>
      <c r="I352" s="464"/>
    </row>
    <row r="353" spans="1:9" ht="12.95" customHeight="1">
      <c r="A353" s="6">
        <f t="shared" si="15"/>
        <v>346</v>
      </c>
      <c r="B353" s="504">
        <v>44723.375002314817</v>
      </c>
      <c r="C353" s="489">
        <f t="shared" si="16"/>
        <v>164.79999999999998</v>
      </c>
      <c r="D353" s="489">
        <v>1.6479999999999999</v>
      </c>
      <c r="E353" s="464"/>
      <c r="F353" s="464">
        <f t="shared" si="17"/>
        <v>1.1479999999999999</v>
      </c>
      <c r="G353" s="464"/>
      <c r="H353" s="464"/>
      <c r="I353" s="464"/>
    </row>
    <row r="354" spans="1:9" ht="12.95" customHeight="1">
      <c r="A354" s="6">
        <f t="shared" si="15"/>
        <v>347</v>
      </c>
      <c r="B354" s="504">
        <v>44723.416669039354</v>
      </c>
      <c r="C354" s="489">
        <f t="shared" si="16"/>
        <v>160</v>
      </c>
      <c r="D354" s="489">
        <v>1.6</v>
      </c>
      <c r="E354" s="464"/>
      <c r="F354" s="464">
        <f t="shared" si="17"/>
        <v>1.1000000000000001</v>
      </c>
      <c r="G354" s="464"/>
      <c r="H354" s="464"/>
      <c r="I354" s="464"/>
    </row>
    <row r="355" spans="1:9" ht="12.95" customHeight="1">
      <c r="A355" s="6">
        <f t="shared" si="15"/>
        <v>348</v>
      </c>
      <c r="B355" s="504">
        <v>44723.458335763891</v>
      </c>
      <c r="C355" s="489">
        <f t="shared" si="16"/>
        <v>158.1</v>
      </c>
      <c r="D355" s="489">
        <v>1.581</v>
      </c>
      <c r="E355" s="464"/>
      <c r="F355" s="464">
        <f t="shared" si="17"/>
        <v>1.081</v>
      </c>
      <c r="G355" s="464"/>
      <c r="H355" s="464"/>
      <c r="I355" s="464"/>
    </row>
    <row r="356" spans="1:9" ht="12.95" customHeight="1">
      <c r="A356" s="6">
        <f t="shared" si="15"/>
        <v>349</v>
      </c>
      <c r="B356" s="504">
        <v>44723.500002488428</v>
      </c>
      <c r="C356" s="489">
        <f t="shared" si="16"/>
        <v>160.80000000000001</v>
      </c>
      <c r="D356" s="489">
        <v>1.6080000000000001</v>
      </c>
      <c r="E356" s="464"/>
      <c r="F356" s="464">
        <f t="shared" si="17"/>
        <v>1.1080000000000001</v>
      </c>
      <c r="G356" s="464"/>
      <c r="H356" s="464"/>
      <c r="I356" s="464"/>
    </row>
    <row r="357" spans="1:9" ht="12.95" customHeight="1">
      <c r="A357" s="6">
        <f t="shared" si="15"/>
        <v>350</v>
      </c>
      <c r="B357" s="504">
        <v>44723.541669212966</v>
      </c>
      <c r="C357" s="489">
        <f t="shared" si="16"/>
        <v>166.4</v>
      </c>
      <c r="D357" s="489">
        <v>1.6639999999999999</v>
      </c>
      <c r="E357" s="464"/>
      <c r="F357" s="464">
        <f t="shared" si="17"/>
        <v>1.1639999999999999</v>
      </c>
      <c r="G357" s="464"/>
      <c r="H357" s="464"/>
      <c r="I357" s="464"/>
    </row>
    <row r="358" spans="1:9" ht="12.95" customHeight="1">
      <c r="A358" s="6">
        <f t="shared" si="15"/>
        <v>351</v>
      </c>
      <c r="B358" s="504">
        <v>44723.583335937503</v>
      </c>
      <c r="C358" s="489">
        <f t="shared" si="16"/>
        <v>174.3</v>
      </c>
      <c r="D358" s="489">
        <v>1.7430000000000001</v>
      </c>
      <c r="E358" s="464"/>
      <c r="F358" s="464">
        <f t="shared" si="17"/>
        <v>1.2430000000000001</v>
      </c>
      <c r="G358" s="464"/>
      <c r="H358" s="464"/>
      <c r="I358" s="464"/>
    </row>
    <row r="359" spans="1:9" ht="12.95" customHeight="1">
      <c r="A359" s="6">
        <f t="shared" si="15"/>
        <v>352</v>
      </c>
      <c r="B359" s="504">
        <v>44723.62500266204</v>
      </c>
      <c r="C359" s="489">
        <f t="shared" si="16"/>
        <v>178</v>
      </c>
      <c r="D359" s="489">
        <v>1.78</v>
      </c>
      <c r="E359" s="464"/>
      <c r="F359" s="464">
        <f t="shared" si="17"/>
        <v>1.28</v>
      </c>
      <c r="G359" s="464"/>
      <c r="H359" s="464"/>
      <c r="I359" s="464"/>
    </row>
    <row r="360" spans="1:9" ht="12.95" customHeight="1">
      <c r="A360" s="6">
        <f t="shared" si="15"/>
        <v>353</v>
      </c>
      <c r="B360" s="504">
        <v>44723.666669386577</v>
      </c>
      <c r="C360" s="489">
        <f t="shared" si="16"/>
        <v>171.8</v>
      </c>
      <c r="D360" s="489">
        <v>1.718</v>
      </c>
      <c r="E360" s="464"/>
      <c r="F360" s="464">
        <f t="shared" si="17"/>
        <v>1.218</v>
      </c>
      <c r="G360" s="464"/>
      <c r="H360" s="464"/>
      <c r="I360" s="464"/>
    </row>
    <row r="361" spans="1:9" ht="12.95" customHeight="1">
      <c r="A361" s="6">
        <f t="shared" si="15"/>
        <v>354</v>
      </c>
      <c r="B361" s="504">
        <v>44723.708336111114</v>
      </c>
      <c r="C361" s="489">
        <f t="shared" si="16"/>
        <v>161.69999999999999</v>
      </c>
      <c r="D361" s="489">
        <v>1.617</v>
      </c>
      <c r="E361" s="464"/>
      <c r="F361" s="464">
        <f t="shared" si="17"/>
        <v>1.117</v>
      </c>
      <c r="G361" s="464"/>
      <c r="H361" s="464"/>
      <c r="I361" s="464"/>
    </row>
    <row r="362" spans="1:9" ht="12.95" customHeight="1">
      <c r="A362" s="6">
        <f t="shared" si="15"/>
        <v>355</v>
      </c>
      <c r="B362" s="504">
        <v>44723.750002835652</v>
      </c>
      <c r="C362" s="489">
        <f t="shared" si="16"/>
        <v>149.30000000000001</v>
      </c>
      <c r="D362" s="489">
        <v>1.4930000000000001</v>
      </c>
      <c r="E362" s="464"/>
      <c r="F362" s="464">
        <f t="shared" si="17"/>
        <v>0.9930000000000001</v>
      </c>
      <c r="G362" s="464"/>
      <c r="H362" s="464"/>
      <c r="I362" s="464"/>
    </row>
    <row r="363" spans="1:9" ht="12.95" customHeight="1">
      <c r="A363" s="6">
        <f t="shared" si="15"/>
        <v>356</v>
      </c>
      <c r="B363" s="504">
        <v>44723.791669560182</v>
      </c>
      <c r="C363" s="489">
        <f t="shared" si="16"/>
        <v>136.80000000000001</v>
      </c>
      <c r="D363" s="489">
        <v>1.3680000000000001</v>
      </c>
      <c r="E363" s="464"/>
      <c r="F363" s="464">
        <f t="shared" si="17"/>
        <v>0.8680000000000001</v>
      </c>
      <c r="G363" s="464"/>
      <c r="H363" s="464"/>
      <c r="I363" s="464"/>
    </row>
    <row r="364" spans="1:9" ht="12.95" customHeight="1">
      <c r="A364" s="6">
        <f t="shared" si="15"/>
        <v>357</v>
      </c>
      <c r="B364" s="504">
        <v>44723.833336284719</v>
      </c>
      <c r="C364" s="489">
        <f t="shared" si="16"/>
        <v>124.30000000000001</v>
      </c>
      <c r="D364" s="489">
        <v>1.2430000000000001</v>
      </c>
      <c r="E364" s="464"/>
      <c r="F364" s="464">
        <f t="shared" si="17"/>
        <v>0.7430000000000001</v>
      </c>
      <c r="G364" s="464"/>
      <c r="H364" s="464"/>
      <c r="I364" s="464"/>
    </row>
    <row r="365" spans="1:9" ht="12.95" customHeight="1">
      <c r="A365" s="6">
        <f t="shared" si="15"/>
        <v>358</v>
      </c>
      <c r="B365" s="504">
        <v>44723.875003009256</v>
      </c>
      <c r="C365" s="489">
        <f t="shared" si="16"/>
        <v>119.8</v>
      </c>
      <c r="D365" s="489">
        <v>1.198</v>
      </c>
      <c r="E365" s="464"/>
      <c r="F365" s="464">
        <f t="shared" si="17"/>
        <v>0.69799999999999995</v>
      </c>
      <c r="G365" s="464"/>
      <c r="H365" s="464"/>
      <c r="I365" s="464"/>
    </row>
    <row r="366" spans="1:9" ht="12.95" customHeight="1">
      <c r="A366" s="6">
        <f t="shared" si="15"/>
        <v>359</v>
      </c>
      <c r="B366" s="504">
        <v>44723.916669733793</v>
      </c>
      <c r="C366" s="489">
        <f t="shared" si="16"/>
        <v>123.8</v>
      </c>
      <c r="D366" s="489">
        <v>1.238</v>
      </c>
      <c r="E366" s="464"/>
      <c r="F366" s="464">
        <f t="shared" si="17"/>
        <v>0.73799999999999999</v>
      </c>
      <c r="G366" s="464"/>
      <c r="H366" s="464"/>
      <c r="I366" s="464"/>
    </row>
    <row r="367" spans="1:9" ht="12.95" customHeight="1">
      <c r="A367" s="7">
        <f t="shared" si="15"/>
        <v>360</v>
      </c>
      <c r="B367" s="504">
        <v>44723.95833645833</v>
      </c>
      <c r="C367" s="489">
        <f t="shared" si="16"/>
        <v>138.79999999999998</v>
      </c>
      <c r="D367" s="489">
        <v>1.3879999999999999</v>
      </c>
      <c r="E367" s="464"/>
      <c r="F367" s="464">
        <f t="shared" si="17"/>
        <v>0.8879999999999999</v>
      </c>
      <c r="G367" s="464"/>
      <c r="H367" s="464"/>
      <c r="I367" s="464"/>
    </row>
    <row r="368" spans="1:9" ht="12.95" customHeight="1">
      <c r="A368" s="6">
        <f t="shared" si="15"/>
        <v>361</v>
      </c>
      <c r="B368" s="504">
        <v>44724.000003182868</v>
      </c>
      <c r="C368" s="489">
        <f t="shared" si="16"/>
        <v>159.20000000000002</v>
      </c>
      <c r="D368" s="489">
        <v>1.5920000000000001</v>
      </c>
      <c r="E368" s="464"/>
      <c r="F368" s="464">
        <f t="shared" si="17"/>
        <v>1.0920000000000001</v>
      </c>
      <c r="G368" s="464"/>
      <c r="H368" s="464"/>
      <c r="I368" s="464"/>
    </row>
    <row r="369" spans="1:9" ht="15.75">
      <c r="A369" s="7">
        <f t="shared" si="15"/>
        <v>362</v>
      </c>
      <c r="B369" s="504">
        <v>44724.041669907405</v>
      </c>
      <c r="C369" s="489">
        <f t="shared" si="16"/>
        <v>181.9</v>
      </c>
      <c r="D369" s="489">
        <v>1.819</v>
      </c>
      <c r="E369" s="464"/>
      <c r="F369" s="464">
        <f t="shared" si="17"/>
        <v>1.319</v>
      </c>
      <c r="G369" s="464"/>
      <c r="H369" s="464"/>
      <c r="I369" s="464"/>
    </row>
    <row r="370" spans="1:9" ht="15.75">
      <c r="A370" s="6">
        <f t="shared" si="15"/>
        <v>363</v>
      </c>
      <c r="B370" s="504">
        <v>44724.083336631942</v>
      </c>
      <c r="C370" s="489">
        <f t="shared" si="16"/>
        <v>204.8</v>
      </c>
      <c r="D370" s="489">
        <v>2.048</v>
      </c>
      <c r="E370" s="464"/>
      <c r="F370" s="464">
        <f t="shared" si="17"/>
        <v>1.548</v>
      </c>
      <c r="G370" s="464"/>
      <c r="H370" s="464"/>
      <c r="I370" s="464"/>
    </row>
    <row r="371" spans="1:9" ht="15.75">
      <c r="A371" s="7">
        <f t="shared" si="15"/>
        <v>364</v>
      </c>
      <c r="B371" s="504">
        <v>44724.125003356479</v>
      </c>
      <c r="C371" s="489">
        <f t="shared" si="16"/>
        <v>223.8</v>
      </c>
      <c r="D371" s="489">
        <v>2.238</v>
      </c>
      <c r="E371" s="464"/>
      <c r="F371" s="464">
        <f t="shared" si="17"/>
        <v>1.738</v>
      </c>
      <c r="G371" s="464"/>
      <c r="H371" s="464"/>
      <c r="I371" s="464"/>
    </row>
    <row r="372" spans="1:9" ht="15.75">
      <c r="A372" s="6">
        <f t="shared" si="15"/>
        <v>365</v>
      </c>
      <c r="B372" s="504">
        <v>44724.166670081016</v>
      </c>
      <c r="C372" s="489">
        <f t="shared" si="16"/>
        <v>234.79999999999998</v>
      </c>
      <c r="D372" s="489">
        <v>2.3479999999999999</v>
      </c>
      <c r="E372" s="464"/>
      <c r="F372" s="464">
        <f t="shared" si="17"/>
        <v>1.8479999999999999</v>
      </c>
      <c r="G372" s="464"/>
      <c r="H372" s="464"/>
      <c r="I372" s="464"/>
    </row>
    <row r="373" spans="1:9" ht="15.75">
      <c r="A373" s="7">
        <f t="shared" si="15"/>
        <v>366</v>
      </c>
      <c r="B373" s="504">
        <v>44724.208336805554</v>
      </c>
      <c r="C373" s="489">
        <f t="shared" si="16"/>
        <v>230.9</v>
      </c>
      <c r="D373" s="489">
        <v>2.3090000000000002</v>
      </c>
      <c r="E373" s="464"/>
      <c r="F373" s="464">
        <f t="shared" si="17"/>
        <v>1.8090000000000002</v>
      </c>
      <c r="G373" s="464"/>
      <c r="H373" s="464"/>
      <c r="I373" s="464"/>
    </row>
    <row r="374" spans="1:9" ht="15.75">
      <c r="A374" s="6">
        <f t="shared" si="15"/>
        <v>367</v>
      </c>
      <c r="B374" s="504">
        <v>44724.250003530091</v>
      </c>
      <c r="C374" s="489">
        <f t="shared" si="16"/>
        <v>220.00000000000003</v>
      </c>
      <c r="D374" s="489">
        <v>2.2000000000000002</v>
      </c>
      <c r="E374" s="464"/>
      <c r="F374" s="464">
        <f t="shared" si="17"/>
        <v>1.7000000000000002</v>
      </c>
      <c r="G374" s="464"/>
      <c r="H374" s="464"/>
      <c r="I374" s="464"/>
    </row>
    <row r="375" spans="1:9" ht="15.75">
      <c r="A375" s="7">
        <f t="shared" si="15"/>
        <v>368</v>
      </c>
      <c r="B375" s="504">
        <v>44724.291670254628</v>
      </c>
      <c r="C375" s="489">
        <f t="shared" si="16"/>
        <v>200.89999999999998</v>
      </c>
      <c r="D375" s="489">
        <v>2.0089999999999999</v>
      </c>
      <c r="E375" s="464"/>
      <c r="F375" s="464">
        <f t="shared" si="17"/>
        <v>1.5089999999999999</v>
      </c>
      <c r="G375" s="464"/>
      <c r="H375" s="464"/>
      <c r="I375" s="464"/>
    </row>
    <row r="376" spans="1:9" ht="15.75">
      <c r="A376" s="6">
        <f t="shared" si="15"/>
        <v>369</v>
      </c>
      <c r="B376" s="504">
        <v>44724.333336979165</v>
      </c>
      <c r="C376" s="489">
        <f t="shared" si="16"/>
        <v>179.7</v>
      </c>
      <c r="D376" s="489">
        <v>1.7969999999999999</v>
      </c>
      <c r="E376" s="464"/>
      <c r="F376" s="464">
        <f t="shared" si="17"/>
        <v>1.2969999999999999</v>
      </c>
      <c r="G376" s="464"/>
      <c r="H376" s="464"/>
      <c r="I376" s="464"/>
    </row>
    <row r="377" spans="1:9" ht="15.75">
      <c r="A377" s="7">
        <f t="shared" si="15"/>
        <v>370</v>
      </c>
      <c r="B377" s="504">
        <v>44724.375003703703</v>
      </c>
      <c r="C377" s="489">
        <f t="shared" si="16"/>
        <v>161</v>
      </c>
      <c r="D377" s="489">
        <v>1.61</v>
      </c>
      <c r="E377" s="464"/>
      <c r="F377" s="464">
        <f t="shared" si="17"/>
        <v>1.1100000000000001</v>
      </c>
      <c r="G377" s="464"/>
      <c r="H377" s="464"/>
      <c r="I377" s="464"/>
    </row>
    <row r="378" spans="1:9" ht="15.75">
      <c r="A378" s="6">
        <f t="shared" si="15"/>
        <v>371</v>
      </c>
      <c r="B378" s="504">
        <v>44724.41667042824</v>
      </c>
      <c r="C378" s="489">
        <f t="shared" si="16"/>
        <v>148</v>
      </c>
      <c r="D378" s="489">
        <v>1.48</v>
      </c>
      <c r="E378" s="464"/>
      <c r="F378" s="464">
        <f t="shared" si="17"/>
        <v>0.98</v>
      </c>
      <c r="G378" s="464"/>
      <c r="H378" s="464"/>
      <c r="I378" s="464"/>
    </row>
    <row r="379" spans="1:9" ht="15.75">
      <c r="A379" s="7">
        <f t="shared" si="15"/>
        <v>372</v>
      </c>
      <c r="B379" s="504">
        <v>44724.458337152777</v>
      </c>
      <c r="C379" s="489">
        <f t="shared" si="16"/>
        <v>140</v>
      </c>
      <c r="D379" s="489">
        <v>1.4</v>
      </c>
      <c r="E379" s="464"/>
      <c r="F379" s="464">
        <f t="shared" si="17"/>
        <v>0.89999999999999991</v>
      </c>
      <c r="G379" s="464"/>
      <c r="H379" s="464"/>
      <c r="I379" s="464"/>
    </row>
    <row r="380" spans="1:9" ht="15.75">
      <c r="A380" s="6">
        <f t="shared" si="15"/>
        <v>373</v>
      </c>
      <c r="B380" s="504">
        <v>44724.500003877314</v>
      </c>
      <c r="C380" s="489">
        <f t="shared" si="16"/>
        <v>145.4</v>
      </c>
      <c r="D380" s="489">
        <v>1.454</v>
      </c>
      <c r="E380" s="464"/>
      <c r="F380" s="464">
        <f t="shared" si="17"/>
        <v>0.95399999999999996</v>
      </c>
      <c r="G380" s="464"/>
      <c r="H380" s="464"/>
      <c r="I380" s="464"/>
    </row>
    <row r="381" spans="1:9" ht="15.75">
      <c r="A381" s="7">
        <f t="shared" si="15"/>
        <v>374</v>
      </c>
      <c r="B381" s="504">
        <v>44724.541670601851</v>
      </c>
      <c r="C381" s="489">
        <f t="shared" si="16"/>
        <v>151.6</v>
      </c>
      <c r="D381" s="489">
        <v>1.516</v>
      </c>
      <c r="E381" s="464"/>
      <c r="F381" s="464">
        <f t="shared" si="17"/>
        <v>1.016</v>
      </c>
      <c r="G381" s="464"/>
      <c r="H381" s="464"/>
      <c r="I381" s="464"/>
    </row>
    <row r="382" spans="1:9" ht="15.75">
      <c r="A382" s="6">
        <f t="shared" si="15"/>
        <v>375</v>
      </c>
      <c r="B382" s="504">
        <v>44724.583337326389</v>
      </c>
      <c r="C382" s="489">
        <f t="shared" si="16"/>
        <v>160.69999999999999</v>
      </c>
      <c r="D382" s="489">
        <v>1.607</v>
      </c>
      <c r="E382" s="464"/>
      <c r="F382" s="464">
        <f t="shared" si="17"/>
        <v>1.107</v>
      </c>
      <c r="G382" s="464"/>
      <c r="H382" s="464"/>
      <c r="I382" s="464"/>
    </row>
    <row r="383" spans="1:9" ht="15.75">
      <c r="A383" s="7">
        <f t="shared" si="15"/>
        <v>376</v>
      </c>
      <c r="B383" s="504">
        <v>44724.625003993053</v>
      </c>
      <c r="C383" s="489">
        <f t="shared" si="16"/>
        <v>169</v>
      </c>
      <c r="D383" s="489">
        <v>1.69</v>
      </c>
      <c r="E383" s="464"/>
      <c r="F383" s="464">
        <f t="shared" si="17"/>
        <v>1.19</v>
      </c>
      <c r="G383" s="464"/>
      <c r="H383" s="464"/>
      <c r="I383" s="464"/>
    </row>
    <row r="384" spans="1:9" ht="15.75">
      <c r="A384" s="6">
        <f t="shared" si="15"/>
        <v>377</v>
      </c>
      <c r="B384" s="504">
        <v>44724.66667071759</v>
      </c>
      <c r="C384" s="489">
        <f t="shared" si="16"/>
        <v>169</v>
      </c>
      <c r="D384" s="489">
        <v>1.69</v>
      </c>
      <c r="E384" s="464"/>
      <c r="F384" s="464">
        <f t="shared" si="17"/>
        <v>1.19</v>
      </c>
      <c r="G384" s="464"/>
      <c r="H384" s="464"/>
      <c r="I384" s="464"/>
    </row>
    <row r="385" spans="1:9" ht="15.75">
      <c r="A385" s="7">
        <f t="shared" si="15"/>
        <v>378</v>
      </c>
      <c r="B385" s="504">
        <v>44724.708337442127</v>
      </c>
      <c r="C385" s="489">
        <f t="shared" si="16"/>
        <v>161.9</v>
      </c>
      <c r="D385" s="489">
        <v>1.619</v>
      </c>
      <c r="E385" s="464"/>
      <c r="F385" s="464">
        <f t="shared" si="17"/>
        <v>1.119</v>
      </c>
      <c r="G385" s="464"/>
      <c r="H385" s="464"/>
      <c r="I385" s="464"/>
    </row>
    <row r="386" spans="1:9" ht="15.75">
      <c r="A386" s="6">
        <f t="shared" si="15"/>
        <v>379</v>
      </c>
      <c r="B386" s="504">
        <v>44724.750004166664</v>
      </c>
      <c r="C386" s="489">
        <f t="shared" si="16"/>
        <v>147.19999999999999</v>
      </c>
      <c r="D386" s="489">
        <v>1.472</v>
      </c>
      <c r="E386" s="464"/>
      <c r="F386" s="464">
        <f t="shared" si="17"/>
        <v>0.97199999999999998</v>
      </c>
      <c r="G386" s="464"/>
      <c r="H386" s="464"/>
      <c r="I386" s="464"/>
    </row>
    <row r="387" spans="1:9" ht="15.75">
      <c r="A387" s="7">
        <f t="shared" si="15"/>
        <v>380</v>
      </c>
      <c r="B387" s="504">
        <v>44724.791670891202</v>
      </c>
      <c r="C387" s="489">
        <f t="shared" si="16"/>
        <v>130.1</v>
      </c>
      <c r="D387" s="489">
        <v>1.3009999999999999</v>
      </c>
      <c r="E387" s="464"/>
      <c r="F387" s="464">
        <f t="shared" si="17"/>
        <v>0.80099999999999993</v>
      </c>
      <c r="G387" s="464"/>
      <c r="H387" s="464"/>
      <c r="I387" s="464"/>
    </row>
    <row r="388" spans="1:9" ht="15.75">
      <c r="A388" s="6">
        <f t="shared" si="15"/>
        <v>381</v>
      </c>
      <c r="B388" s="504">
        <v>44724.833337615739</v>
      </c>
      <c r="C388" s="489">
        <f t="shared" si="16"/>
        <v>112.6</v>
      </c>
      <c r="D388" s="489">
        <v>1.1259999999999999</v>
      </c>
      <c r="E388" s="464"/>
      <c r="F388" s="464">
        <f t="shared" si="17"/>
        <v>0.62599999999999989</v>
      </c>
      <c r="G388" s="464"/>
      <c r="H388" s="464"/>
      <c r="I388" s="464"/>
    </row>
    <row r="389" spans="1:9" ht="15.75">
      <c r="A389" s="7">
        <f t="shared" si="15"/>
        <v>382</v>
      </c>
      <c r="B389" s="504">
        <v>44724.875004340276</v>
      </c>
      <c r="C389" s="489">
        <f t="shared" si="16"/>
        <v>102.49999999999999</v>
      </c>
      <c r="D389" s="489">
        <v>1.0249999999999999</v>
      </c>
      <c r="E389" s="464"/>
      <c r="F389" s="464">
        <f t="shared" si="17"/>
        <v>0.52499999999999991</v>
      </c>
      <c r="G389" s="464"/>
      <c r="H389" s="464"/>
      <c r="I389" s="464"/>
    </row>
    <row r="390" spans="1:9" ht="15.75">
      <c r="A390" s="6">
        <f t="shared" si="15"/>
        <v>383</v>
      </c>
      <c r="B390" s="504">
        <v>44724.916671064813</v>
      </c>
      <c r="C390" s="489">
        <f t="shared" si="16"/>
        <v>102.8</v>
      </c>
      <c r="D390" s="489">
        <v>1.028</v>
      </c>
      <c r="E390" s="464"/>
      <c r="F390" s="464">
        <f t="shared" si="17"/>
        <v>0.52800000000000002</v>
      </c>
      <c r="G390" s="464"/>
      <c r="H390" s="464"/>
      <c r="I390" s="464"/>
    </row>
    <row r="391" spans="1:9" ht="15.75">
      <c r="A391" s="7">
        <f t="shared" si="15"/>
        <v>384</v>
      </c>
      <c r="B391" s="504">
        <v>44724.95833778935</v>
      </c>
      <c r="C391" s="489">
        <f t="shared" si="16"/>
        <v>115.3</v>
      </c>
      <c r="D391" s="489">
        <v>1.153</v>
      </c>
      <c r="E391" s="464"/>
      <c r="F391" s="464">
        <f t="shared" si="17"/>
        <v>0.65300000000000002</v>
      </c>
      <c r="G391" s="464"/>
      <c r="H391" s="464"/>
      <c r="I391" s="464"/>
    </row>
    <row r="392" spans="1:9" ht="15.75">
      <c r="A392" s="6">
        <f t="shared" ref="A392:A455" si="18">A391+1</f>
        <v>385</v>
      </c>
      <c r="B392" s="504">
        <v>44725.000004513888</v>
      </c>
      <c r="C392" s="489">
        <f t="shared" si="16"/>
        <v>140.9</v>
      </c>
      <c r="D392" s="489">
        <v>1.409</v>
      </c>
      <c r="E392" s="464"/>
      <c r="F392" s="464">
        <f t="shared" si="17"/>
        <v>0.90900000000000003</v>
      </c>
      <c r="G392" s="464"/>
      <c r="H392" s="464"/>
      <c r="I392" s="464"/>
    </row>
    <row r="393" spans="1:9" ht="15.75">
      <c r="A393" s="7">
        <f t="shared" si="18"/>
        <v>386</v>
      </c>
      <c r="B393" s="504">
        <v>44725.041671238425</v>
      </c>
      <c r="C393" s="489">
        <f t="shared" ref="C393:C456" si="19">D393*100</f>
        <v>171.4</v>
      </c>
      <c r="D393" s="489">
        <v>1.714</v>
      </c>
      <c r="E393" s="464"/>
      <c r="F393" s="464">
        <f t="shared" ref="F393:F456" si="20">D393-0.5</f>
        <v>1.214</v>
      </c>
      <c r="G393" s="464"/>
      <c r="H393" s="464"/>
      <c r="I393" s="464"/>
    </row>
    <row r="394" spans="1:9" ht="15.75">
      <c r="A394" s="6">
        <f t="shared" si="18"/>
        <v>387</v>
      </c>
      <c r="B394" s="504">
        <v>44725.083337962962</v>
      </c>
      <c r="C394" s="489">
        <f t="shared" si="19"/>
        <v>202.59999999999997</v>
      </c>
      <c r="D394" s="489">
        <v>2.0259999999999998</v>
      </c>
      <c r="E394" s="464"/>
      <c r="F394" s="464">
        <f t="shared" si="20"/>
        <v>1.5259999999999998</v>
      </c>
      <c r="G394" s="464"/>
      <c r="H394" s="464"/>
      <c r="I394" s="464"/>
    </row>
    <row r="395" spans="1:9" ht="15.75">
      <c r="A395" s="7">
        <f t="shared" si="18"/>
        <v>388</v>
      </c>
      <c r="B395" s="504">
        <v>44725.125004687499</v>
      </c>
      <c r="C395" s="489">
        <f t="shared" si="19"/>
        <v>231.5</v>
      </c>
      <c r="D395" s="489">
        <v>2.3149999999999999</v>
      </c>
      <c r="E395" s="464"/>
      <c r="F395" s="464">
        <f t="shared" si="20"/>
        <v>1.8149999999999999</v>
      </c>
      <c r="G395" s="464"/>
      <c r="H395" s="464"/>
      <c r="I395" s="464"/>
    </row>
    <row r="396" spans="1:9" ht="15.75">
      <c r="A396" s="6">
        <f t="shared" si="18"/>
        <v>389</v>
      </c>
      <c r="B396" s="504">
        <v>44725.166671412037</v>
      </c>
      <c r="C396" s="489">
        <f t="shared" si="19"/>
        <v>252.1</v>
      </c>
      <c r="D396" s="489">
        <v>2.5209999999999999</v>
      </c>
      <c r="E396" s="464"/>
      <c r="F396" s="464">
        <f t="shared" si="20"/>
        <v>2.0209999999999999</v>
      </c>
      <c r="G396" s="464"/>
      <c r="H396" s="464"/>
      <c r="I396" s="464"/>
    </row>
    <row r="397" spans="1:9" ht="15.75">
      <c r="A397" s="7">
        <f t="shared" si="18"/>
        <v>390</v>
      </c>
      <c r="B397" s="504">
        <v>44725.208338136574</v>
      </c>
      <c r="C397" s="489">
        <f t="shared" si="19"/>
        <v>259.7</v>
      </c>
      <c r="D397" s="489">
        <v>2.597</v>
      </c>
      <c r="E397" s="464"/>
      <c r="F397" s="464">
        <f t="shared" si="20"/>
        <v>2.097</v>
      </c>
      <c r="G397" s="464"/>
      <c r="H397" s="464"/>
      <c r="I397" s="464"/>
    </row>
    <row r="398" spans="1:9" ht="15.75">
      <c r="A398" s="6">
        <f t="shared" si="18"/>
        <v>391</v>
      </c>
      <c r="B398" s="504">
        <v>44725.250004861111</v>
      </c>
      <c r="C398" s="489">
        <f t="shared" si="19"/>
        <v>254.5</v>
      </c>
      <c r="D398" s="489">
        <v>2.5449999999999999</v>
      </c>
      <c r="E398" s="464"/>
      <c r="F398" s="464">
        <f t="shared" si="20"/>
        <v>2.0449999999999999</v>
      </c>
      <c r="G398" s="464"/>
      <c r="H398" s="464"/>
      <c r="I398" s="464"/>
    </row>
    <row r="399" spans="1:9" ht="15.75">
      <c r="A399" s="7">
        <f t="shared" si="18"/>
        <v>392</v>
      </c>
      <c r="B399" s="504">
        <v>44725.291671585648</v>
      </c>
      <c r="C399" s="489">
        <f t="shared" si="19"/>
        <v>233.8</v>
      </c>
      <c r="D399" s="489">
        <v>2.3380000000000001</v>
      </c>
      <c r="E399" s="464"/>
      <c r="F399" s="464">
        <f t="shared" si="20"/>
        <v>1.8380000000000001</v>
      </c>
      <c r="G399" s="464"/>
      <c r="H399" s="464"/>
      <c r="I399" s="464"/>
    </row>
    <row r="400" spans="1:9" ht="15.75">
      <c r="A400" s="6">
        <f t="shared" si="18"/>
        <v>393</v>
      </c>
      <c r="B400" s="504">
        <v>44725.333338310185</v>
      </c>
      <c r="C400" s="489">
        <f t="shared" si="19"/>
        <v>206.1</v>
      </c>
      <c r="D400" s="489">
        <v>2.0609999999999999</v>
      </c>
      <c r="E400" s="464"/>
      <c r="F400" s="464">
        <f t="shared" si="20"/>
        <v>1.5609999999999999</v>
      </c>
      <c r="G400" s="464"/>
      <c r="H400" s="464"/>
      <c r="I400" s="464"/>
    </row>
    <row r="401" spans="1:9" ht="15.75">
      <c r="A401" s="7">
        <f t="shared" si="18"/>
        <v>394</v>
      </c>
      <c r="B401" s="504">
        <v>44725.375005034723</v>
      </c>
      <c r="C401" s="489">
        <f t="shared" si="19"/>
        <v>175.6</v>
      </c>
      <c r="D401" s="489">
        <v>1.756</v>
      </c>
      <c r="E401" s="464"/>
      <c r="F401" s="464">
        <f t="shared" si="20"/>
        <v>1.256</v>
      </c>
      <c r="G401" s="464"/>
      <c r="H401" s="464"/>
      <c r="I401" s="464"/>
    </row>
    <row r="402" spans="1:9" ht="15.75">
      <c r="A402" s="6">
        <f t="shared" si="18"/>
        <v>395</v>
      </c>
      <c r="B402" s="504">
        <v>44725.41667175926</v>
      </c>
      <c r="C402" s="489">
        <f t="shared" si="19"/>
        <v>152.6</v>
      </c>
      <c r="D402" s="489">
        <v>1.526</v>
      </c>
      <c r="E402" s="464"/>
      <c r="F402" s="464">
        <f t="shared" si="20"/>
        <v>1.026</v>
      </c>
      <c r="G402" s="464"/>
      <c r="H402" s="464"/>
      <c r="I402" s="464"/>
    </row>
    <row r="403" spans="1:9" ht="15.75">
      <c r="A403" s="7">
        <f t="shared" si="18"/>
        <v>396</v>
      </c>
      <c r="B403" s="504">
        <v>44725.458338483797</v>
      </c>
      <c r="C403" s="489">
        <f t="shared" si="19"/>
        <v>137.5</v>
      </c>
      <c r="D403" s="489">
        <v>1.375</v>
      </c>
      <c r="E403" s="464"/>
      <c r="F403" s="464">
        <f t="shared" si="20"/>
        <v>0.875</v>
      </c>
      <c r="G403" s="464"/>
      <c r="H403" s="464"/>
      <c r="I403" s="464"/>
    </row>
    <row r="404" spans="1:9" ht="15.75">
      <c r="A404" s="6">
        <f t="shared" si="18"/>
        <v>397</v>
      </c>
      <c r="B404" s="504">
        <v>44725.500005208334</v>
      </c>
      <c r="C404" s="489">
        <f t="shared" si="19"/>
        <v>133.69999999999999</v>
      </c>
      <c r="D404" s="489">
        <v>1.337</v>
      </c>
      <c r="E404" s="464"/>
      <c r="F404" s="464">
        <f t="shared" si="20"/>
        <v>0.83699999999999997</v>
      </c>
      <c r="G404" s="464"/>
      <c r="H404" s="464"/>
      <c r="I404" s="464"/>
    </row>
    <row r="405" spans="1:9" ht="15.75">
      <c r="A405" s="7">
        <f t="shared" si="18"/>
        <v>398</v>
      </c>
      <c r="B405" s="504">
        <v>44725.541671932871</v>
      </c>
      <c r="C405" s="489">
        <f t="shared" si="19"/>
        <v>140.9</v>
      </c>
      <c r="D405" s="489">
        <v>1.409</v>
      </c>
      <c r="E405" s="464"/>
      <c r="F405" s="464">
        <f t="shared" si="20"/>
        <v>0.90900000000000003</v>
      </c>
      <c r="G405" s="464"/>
      <c r="H405" s="464"/>
      <c r="I405" s="464"/>
    </row>
    <row r="406" spans="1:9" ht="15.75">
      <c r="A406" s="6">
        <f t="shared" si="18"/>
        <v>399</v>
      </c>
      <c r="B406" s="504">
        <v>44725.583338657409</v>
      </c>
      <c r="C406" s="489">
        <f t="shared" si="19"/>
        <v>151.89999999999998</v>
      </c>
      <c r="D406" s="489">
        <v>1.5189999999999999</v>
      </c>
      <c r="E406" s="464"/>
      <c r="F406" s="464">
        <f t="shared" si="20"/>
        <v>1.0189999999999999</v>
      </c>
      <c r="G406" s="464"/>
      <c r="H406" s="464"/>
      <c r="I406" s="464"/>
    </row>
    <row r="407" spans="1:9" ht="15.75">
      <c r="A407" s="7">
        <f t="shared" si="18"/>
        <v>400</v>
      </c>
      <c r="B407" s="504">
        <v>44725.625005381946</v>
      </c>
      <c r="C407" s="489">
        <f t="shared" si="19"/>
        <v>161.30000000000001</v>
      </c>
      <c r="D407" s="489">
        <v>1.613</v>
      </c>
      <c r="E407" s="464"/>
      <c r="F407" s="464">
        <f t="shared" si="20"/>
        <v>1.113</v>
      </c>
      <c r="G407" s="464"/>
      <c r="H407" s="464"/>
      <c r="I407" s="464"/>
    </row>
    <row r="408" spans="1:9" ht="15.75">
      <c r="A408" s="6">
        <f t="shared" si="18"/>
        <v>401</v>
      </c>
      <c r="B408" s="504">
        <v>44725.666672106483</v>
      </c>
      <c r="C408" s="489">
        <f t="shared" si="19"/>
        <v>165</v>
      </c>
      <c r="D408" s="489">
        <v>1.65</v>
      </c>
      <c r="E408" s="464"/>
      <c r="F408" s="464">
        <f t="shared" si="20"/>
        <v>1.1499999999999999</v>
      </c>
      <c r="G408" s="464"/>
      <c r="H408" s="464"/>
      <c r="I408" s="464"/>
    </row>
    <row r="409" spans="1:9" ht="15.75">
      <c r="A409" s="7">
        <f t="shared" si="18"/>
        <v>402</v>
      </c>
      <c r="B409" s="504">
        <v>44725.70833883102</v>
      </c>
      <c r="C409" s="489">
        <f t="shared" si="19"/>
        <v>159.60000000000002</v>
      </c>
      <c r="D409" s="489">
        <v>1.5960000000000001</v>
      </c>
      <c r="E409" s="464"/>
      <c r="F409" s="464">
        <f t="shared" si="20"/>
        <v>1.0960000000000001</v>
      </c>
      <c r="G409" s="464"/>
      <c r="H409" s="464"/>
      <c r="I409" s="464"/>
    </row>
    <row r="410" spans="1:9" ht="15.75">
      <c r="A410" s="6">
        <f t="shared" si="18"/>
        <v>403</v>
      </c>
      <c r="B410" s="504">
        <v>44725.750005555557</v>
      </c>
      <c r="C410" s="489">
        <f t="shared" si="19"/>
        <v>147.19999999999999</v>
      </c>
      <c r="D410" s="489">
        <v>1.472</v>
      </c>
      <c r="E410" s="464"/>
      <c r="F410" s="464">
        <f t="shared" si="20"/>
        <v>0.97199999999999998</v>
      </c>
      <c r="G410" s="464"/>
      <c r="H410" s="464"/>
      <c r="I410" s="464"/>
    </row>
    <row r="411" spans="1:9" ht="15.75">
      <c r="A411" s="7">
        <f t="shared" si="18"/>
        <v>404</v>
      </c>
      <c r="B411" s="504">
        <v>44725.791672280095</v>
      </c>
      <c r="C411" s="489">
        <f t="shared" si="19"/>
        <v>130.80000000000001</v>
      </c>
      <c r="D411" s="489">
        <v>1.3080000000000001</v>
      </c>
      <c r="E411" s="464"/>
      <c r="F411" s="464">
        <f t="shared" si="20"/>
        <v>0.80800000000000005</v>
      </c>
      <c r="G411" s="464"/>
      <c r="H411" s="464"/>
      <c r="I411" s="464"/>
    </row>
    <row r="412" spans="1:9" ht="15.75">
      <c r="A412" s="6">
        <f t="shared" si="18"/>
        <v>405</v>
      </c>
      <c r="B412" s="504">
        <v>44725.833339004632</v>
      </c>
      <c r="C412" s="489">
        <f t="shared" si="19"/>
        <v>112.6</v>
      </c>
      <c r="D412" s="489">
        <v>1.1259999999999999</v>
      </c>
      <c r="E412" s="464"/>
      <c r="F412" s="464">
        <f t="shared" si="20"/>
        <v>0.62599999999999989</v>
      </c>
      <c r="G412" s="464"/>
      <c r="H412" s="464"/>
      <c r="I412" s="464"/>
    </row>
    <row r="413" spans="1:9" ht="15.75">
      <c r="A413" s="7">
        <f t="shared" si="18"/>
        <v>406</v>
      </c>
      <c r="B413" s="504">
        <v>44725.875005729169</v>
      </c>
      <c r="C413" s="489">
        <f t="shared" si="19"/>
        <v>94.399999999999991</v>
      </c>
      <c r="D413" s="489">
        <v>0.94399999999999995</v>
      </c>
      <c r="E413" s="464"/>
      <c r="F413" s="464">
        <f t="shared" si="20"/>
        <v>0.44399999999999995</v>
      </c>
      <c r="G413" s="464"/>
      <c r="H413" s="464"/>
      <c r="I413" s="464"/>
    </row>
    <row r="414" spans="1:9" ht="15.75">
      <c r="A414" s="6">
        <f t="shared" si="18"/>
        <v>407</v>
      </c>
      <c r="B414" s="504">
        <v>44725.916672453706</v>
      </c>
      <c r="C414" s="489">
        <f t="shared" si="19"/>
        <v>88.4</v>
      </c>
      <c r="D414" s="489">
        <v>0.88400000000000001</v>
      </c>
      <c r="E414" s="464"/>
      <c r="F414" s="464">
        <f t="shared" si="20"/>
        <v>0.38400000000000001</v>
      </c>
      <c r="G414" s="464"/>
      <c r="H414" s="464"/>
      <c r="I414" s="464"/>
    </row>
    <row r="415" spans="1:9" ht="15.75">
      <c r="A415" s="7">
        <f t="shared" si="18"/>
        <v>408</v>
      </c>
      <c r="B415" s="504">
        <v>44725.958339178243</v>
      </c>
      <c r="C415" s="489">
        <f t="shared" si="19"/>
        <v>93.600000000000009</v>
      </c>
      <c r="D415" s="489">
        <v>0.93600000000000005</v>
      </c>
      <c r="E415" s="464"/>
      <c r="F415" s="464">
        <f t="shared" si="20"/>
        <v>0.43600000000000005</v>
      </c>
      <c r="G415" s="464"/>
      <c r="H415" s="464"/>
      <c r="I415" s="464"/>
    </row>
    <row r="416" spans="1:9" ht="15.75">
      <c r="A416" s="6">
        <f t="shared" si="18"/>
        <v>409</v>
      </c>
      <c r="B416" s="504">
        <v>44726.000005902781</v>
      </c>
      <c r="C416" s="489">
        <f t="shared" si="19"/>
        <v>115.9</v>
      </c>
      <c r="D416" s="489">
        <v>1.159</v>
      </c>
      <c r="E416" s="464"/>
      <c r="F416" s="464">
        <f t="shared" si="20"/>
        <v>0.65900000000000003</v>
      </c>
      <c r="G416" s="464"/>
      <c r="H416" s="464"/>
      <c r="I416" s="464"/>
    </row>
    <row r="417" spans="1:9" ht="15.75">
      <c r="A417" s="7">
        <f t="shared" si="18"/>
        <v>410</v>
      </c>
      <c r="B417" s="504">
        <v>44726.041672627318</v>
      </c>
      <c r="C417" s="489">
        <f t="shared" si="19"/>
        <v>149</v>
      </c>
      <c r="D417" s="489">
        <v>1.49</v>
      </c>
      <c r="E417" s="464"/>
      <c r="F417" s="464">
        <f t="shared" si="20"/>
        <v>0.99</v>
      </c>
      <c r="G417" s="464"/>
      <c r="H417" s="464"/>
      <c r="I417" s="464"/>
    </row>
    <row r="418" spans="1:9" ht="15.75">
      <c r="A418" s="6">
        <f t="shared" si="18"/>
        <v>411</v>
      </c>
      <c r="B418" s="504">
        <v>44726.083339351855</v>
      </c>
      <c r="C418" s="489">
        <f t="shared" si="19"/>
        <v>187.1</v>
      </c>
      <c r="D418" s="489">
        <v>1.871</v>
      </c>
      <c r="E418" s="464"/>
      <c r="F418" s="464">
        <f t="shared" si="20"/>
        <v>1.371</v>
      </c>
      <c r="G418" s="464"/>
      <c r="H418" s="464"/>
      <c r="I418" s="464"/>
    </row>
    <row r="419" spans="1:9" ht="15.75">
      <c r="A419" s="7">
        <f t="shared" si="18"/>
        <v>412</v>
      </c>
      <c r="B419" s="504">
        <v>44726.125006076392</v>
      </c>
      <c r="C419" s="489">
        <f t="shared" si="19"/>
        <v>225.70000000000002</v>
      </c>
      <c r="D419" s="489">
        <v>2.2570000000000001</v>
      </c>
      <c r="E419" s="464"/>
      <c r="F419" s="464">
        <f t="shared" si="20"/>
        <v>1.7570000000000001</v>
      </c>
      <c r="G419" s="464"/>
      <c r="H419" s="464"/>
      <c r="I419" s="464"/>
    </row>
    <row r="420" spans="1:9" ht="15.75">
      <c r="A420" s="6">
        <f t="shared" si="18"/>
        <v>413</v>
      </c>
      <c r="B420" s="504">
        <v>44726.16667280093</v>
      </c>
      <c r="C420" s="489">
        <f t="shared" si="19"/>
        <v>255.39999999999998</v>
      </c>
      <c r="D420" s="489">
        <v>2.5539999999999998</v>
      </c>
      <c r="E420" s="464"/>
      <c r="F420" s="464">
        <f t="shared" si="20"/>
        <v>2.0539999999999998</v>
      </c>
      <c r="G420" s="464"/>
      <c r="H420" s="464"/>
      <c r="I420" s="464"/>
    </row>
    <row r="421" spans="1:9" ht="15.75">
      <c r="A421" s="7">
        <f t="shared" si="18"/>
        <v>414</v>
      </c>
      <c r="B421" s="504">
        <v>44726.208339525459</v>
      </c>
      <c r="C421" s="489">
        <f t="shared" si="19"/>
        <v>273</v>
      </c>
      <c r="D421" s="489">
        <v>2.73</v>
      </c>
      <c r="E421" s="464"/>
      <c r="F421" s="464">
        <f t="shared" si="20"/>
        <v>2.23</v>
      </c>
      <c r="G421" s="464"/>
      <c r="H421" s="464"/>
      <c r="I421" s="464"/>
    </row>
    <row r="422" spans="1:9" ht="15.75">
      <c r="A422" s="6">
        <f t="shared" si="18"/>
        <v>415</v>
      </c>
      <c r="B422" s="504">
        <v>44726.250006249997</v>
      </c>
      <c r="C422" s="489">
        <f t="shared" si="19"/>
        <v>274.7</v>
      </c>
      <c r="D422" s="489">
        <v>2.7469999999999999</v>
      </c>
      <c r="E422" s="464"/>
      <c r="F422" s="464">
        <f t="shared" si="20"/>
        <v>2.2469999999999999</v>
      </c>
      <c r="G422" s="464"/>
      <c r="H422" s="464"/>
      <c r="I422" s="464"/>
    </row>
    <row r="423" spans="1:9" ht="15.75">
      <c r="A423" s="7">
        <f t="shared" si="18"/>
        <v>416</v>
      </c>
      <c r="B423" s="504">
        <v>44726.291672974534</v>
      </c>
      <c r="C423" s="489">
        <f t="shared" si="19"/>
        <v>259.8</v>
      </c>
      <c r="D423" s="489">
        <v>2.5979999999999999</v>
      </c>
      <c r="E423" s="464"/>
      <c r="F423" s="464">
        <f t="shared" si="20"/>
        <v>2.0979999999999999</v>
      </c>
      <c r="G423" s="464"/>
      <c r="H423" s="464"/>
      <c r="I423" s="464"/>
    </row>
    <row r="424" spans="1:9" ht="15.75">
      <c r="A424" s="6">
        <f t="shared" si="18"/>
        <v>417</v>
      </c>
      <c r="B424" s="504">
        <v>44726.333339699071</v>
      </c>
      <c r="C424" s="489">
        <f t="shared" si="19"/>
        <v>231.9</v>
      </c>
      <c r="D424" s="489">
        <v>2.319</v>
      </c>
      <c r="E424" s="464"/>
      <c r="F424" s="464">
        <f t="shared" si="20"/>
        <v>1.819</v>
      </c>
      <c r="G424" s="464"/>
      <c r="H424" s="464"/>
      <c r="I424" s="464"/>
    </row>
    <row r="425" spans="1:9" ht="15.75">
      <c r="A425" s="7">
        <f t="shared" si="18"/>
        <v>418</v>
      </c>
      <c r="B425" s="504">
        <v>44726.375006423608</v>
      </c>
      <c r="C425" s="489">
        <f t="shared" si="19"/>
        <v>199</v>
      </c>
      <c r="D425" s="489">
        <v>1.99</v>
      </c>
      <c r="E425" s="464"/>
      <c r="F425" s="464">
        <f t="shared" si="20"/>
        <v>1.49</v>
      </c>
      <c r="G425" s="464"/>
      <c r="H425" s="464"/>
      <c r="I425" s="464"/>
    </row>
    <row r="426" spans="1:9" ht="15.75">
      <c r="A426" s="6">
        <f t="shared" si="18"/>
        <v>419</v>
      </c>
      <c r="B426" s="504">
        <v>44726.416673148145</v>
      </c>
      <c r="C426" s="489">
        <f t="shared" si="19"/>
        <v>169.2</v>
      </c>
      <c r="D426" s="489">
        <v>1.6919999999999999</v>
      </c>
      <c r="E426" s="464"/>
      <c r="F426" s="464">
        <f t="shared" si="20"/>
        <v>1.1919999999999999</v>
      </c>
      <c r="G426" s="464"/>
      <c r="H426" s="464"/>
      <c r="I426" s="464"/>
    </row>
    <row r="427" spans="1:9" ht="15.75">
      <c r="A427" s="7">
        <f t="shared" si="18"/>
        <v>420</v>
      </c>
      <c r="B427" s="504">
        <v>44726.458339872683</v>
      </c>
      <c r="C427" s="489">
        <f t="shared" si="19"/>
        <v>142.19999999999999</v>
      </c>
      <c r="D427" s="489">
        <v>1.4219999999999999</v>
      </c>
      <c r="E427" s="464"/>
      <c r="F427" s="464">
        <f t="shared" si="20"/>
        <v>0.92199999999999993</v>
      </c>
      <c r="G427" s="464"/>
      <c r="H427" s="464"/>
      <c r="I427" s="464"/>
    </row>
    <row r="428" spans="1:9" ht="15.75">
      <c r="A428" s="6">
        <f t="shared" si="18"/>
        <v>421</v>
      </c>
      <c r="B428" s="504">
        <v>44726.50000659722</v>
      </c>
      <c r="C428" s="489">
        <f t="shared" si="19"/>
        <v>129.69999999999999</v>
      </c>
      <c r="D428" s="489">
        <v>1.2969999999999999</v>
      </c>
      <c r="E428" s="464"/>
      <c r="F428" s="464">
        <f t="shared" si="20"/>
        <v>0.79699999999999993</v>
      </c>
      <c r="G428" s="464"/>
      <c r="H428" s="464"/>
      <c r="I428" s="464"/>
    </row>
    <row r="429" spans="1:9" ht="15.75">
      <c r="A429" s="7">
        <f t="shared" si="18"/>
        <v>422</v>
      </c>
      <c r="B429" s="504">
        <v>44726.541673321757</v>
      </c>
      <c r="C429" s="489">
        <f t="shared" si="19"/>
        <v>129</v>
      </c>
      <c r="D429" s="489">
        <v>1.29</v>
      </c>
      <c r="E429" s="464"/>
      <c r="F429" s="464">
        <f t="shared" si="20"/>
        <v>0.79</v>
      </c>
      <c r="G429" s="464"/>
      <c r="H429" s="464"/>
      <c r="I429" s="464"/>
    </row>
    <row r="430" spans="1:9" ht="15.75">
      <c r="A430" s="6">
        <f t="shared" si="18"/>
        <v>423</v>
      </c>
      <c r="B430" s="504">
        <v>44726.583340046294</v>
      </c>
      <c r="C430" s="489">
        <f t="shared" si="19"/>
        <v>138.6</v>
      </c>
      <c r="D430" s="489">
        <v>1.3859999999999999</v>
      </c>
      <c r="E430" s="464"/>
      <c r="F430" s="464">
        <f t="shared" si="20"/>
        <v>0.8859999999999999</v>
      </c>
      <c r="G430" s="464"/>
      <c r="H430" s="464"/>
      <c r="I430" s="464"/>
    </row>
    <row r="431" spans="1:9" ht="15.75">
      <c r="A431" s="7">
        <f t="shared" si="18"/>
        <v>424</v>
      </c>
      <c r="B431" s="504">
        <v>44726.625006770832</v>
      </c>
      <c r="C431" s="489">
        <f t="shared" si="19"/>
        <v>149.70000000000002</v>
      </c>
      <c r="D431" s="489">
        <v>1.4970000000000001</v>
      </c>
      <c r="E431" s="464"/>
      <c r="F431" s="464">
        <f t="shared" si="20"/>
        <v>0.99700000000000011</v>
      </c>
      <c r="G431" s="464"/>
      <c r="H431" s="464"/>
      <c r="I431" s="464"/>
    </row>
    <row r="432" spans="1:9" ht="15.75">
      <c r="A432" s="6">
        <f t="shared" si="18"/>
        <v>425</v>
      </c>
      <c r="B432" s="504">
        <v>44726.666673495369</v>
      </c>
      <c r="C432" s="489">
        <f t="shared" si="19"/>
        <v>157.80000000000001</v>
      </c>
      <c r="D432" s="489">
        <v>1.5780000000000001</v>
      </c>
      <c r="E432" s="464"/>
      <c r="F432" s="464">
        <f t="shared" si="20"/>
        <v>1.0780000000000001</v>
      </c>
      <c r="G432" s="464"/>
      <c r="H432" s="464"/>
      <c r="I432" s="464"/>
    </row>
    <row r="433" spans="1:9" ht="15.75">
      <c r="A433" s="7">
        <f t="shared" si="18"/>
        <v>426</v>
      </c>
      <c r="B433" s="504">
        <v>44726.708340219906</v>
      </c>
      <c r="C433" s="489">
        <f t="shared" si="19"/>
        <v>157.5</v>
      </c>
      <c r="D433" s="489">
        <v>1.575</v>
      </c>
      <c r="E433" s="464"/>
      <c r="F433" s="464">
        <f t="shared" si="20"/>
        <v>1.075</v>
      </c>
      <c r="G433" s="464"/>
      <c r="H433" s="464"/>
      <c r="I433" s="464"/>
    </row>
    <row r="434" spans="1:9" ht="15.75">
      <c r="A434" s="6">
        <f t="shared" si="18"/>
        <v>427</v>
      </c>
      <c r="B434" s="504">
        <v>44726.750006944443</v>
      </c>
      <c r="C434" s="489">
        <f t="shared" si="19"/>
        <v>146.9</v>
      </c>
      <c r="D434" s="489">
        <v>1.4690000000000001</v>
      </c>
      <c r="E434" s="464"/>
      <c r="F434" s="464">
        <f t="shared" si="20"/>
        <v>0.96900000000000008</v>
      </c>
      <c r="G434" s="464"/>
      <c r="H434" s="464"/>
      <c r="I434" s="464"/>
    </row>
    <row r="435" spans="1:9" ht="15.75">
      <c r="A435" s="7">
        <f t="shared" si="18"/>
        <v>428</v>
      </c>
      <c r="B435" s="504">
        <v>44726.79167366898</v>
      </c>
      <c r="C435" s="489">
        <f t="shared" si="19"/>
        <v>131.9</v>
      </c>
      <c r="D435" s="489">
        <v>1.319</v>
      </c>
      <c r="E435" s="464"/>
      <c r="F435" s="464">
        <f t="shared" si="20"/>
        <v>0.81899999999999995</v>
      </c>
      <c r="G435" s="464"/>
      <c r="H435" s="464"/>
      <c r="I435" s="464"/>
    </row>
    <row r="436" spans="1:9" ht="15.75">
      <c r="A436" s="6">
        <f t="shared" si="18"/>
        <v>429</v>
      </c>
      <c r="B436" s="504">
        <v>44726.833340393518</v>
      </c>
      <c r="C436" s="489">
        <f t="shared" si="19"/>
        <v>113.39999999999999</v>
      </c>
      <c r="D436" s="489">
        <v>1.1339999999999999</v>
      </c>
      <c r="E436" s="464"/>
      <c r="F436" s="464">
        <f t="shared" si="20"/>
        <v>0.6339999999999999</v>
      </c>
      <c r="G436" s="464"/>
      <c r="H436" s="464"/>
      <c r="I436" s="464"/>
    </row>
    <row r="437" spans="1:9" ht="15.75">
      <c r="A437" s="7">
        <f t="shared" si="18"/>
        <v>430</v>
      </c>
      <c r="B437" s="504">
        <v>44726.875007118055</v>
      </c>
      <c r="C437" s="489">
        <f t="shared" si="19"/>
        <v>94.699999999999989</v>
      </c>
      <c r="D437" s="489">
        <v>0.94699999999999995</v>
      </c>
      <c r="E437" s="464"/>
      <c r="F437" s="464">
        <f t="shared" si="20"/>
        <v>0.44699999999999995</v>
      </c>
      <c r="G437" s="464"/>
      <c r="H437" s="464"/>
      <c r="I437" s="464"/>
    </row>
    <row r="438" spans="1:9" ht="15.75">
      <c r="A438" s="6">
        <f t="shared" si="18"/>
        <v>431</v>
      </c>
      <c r="B438" s="504">
        <v>44726.916673842592</v>
      </c>
      <c r="C438" s="489">
        <f t="shared" si="19"/>
        <v>78.100000000000009</v>
      </c>
      <c r="D438" s="489">
        <v>0.78100000000000003</v>
      </c>
      <c r="E438" s="464"/>
      <c r="F438" s="464">
        <f t="shared" si="20"/>
        <v>0.28100000000000003</v>
      </c>
      <c r="G438" s="464"/>
      <c r="H438" s="464"/>
      <c r="I438" s="464"/>
    </row>
    <row r="439" spans="1:9" ht="15.75">
      <c r="A439" s="7">
        <f t="shared" si="18"/>
        <v>432</v>
      </c>
      <c r="B439" s="504">
        <v>44726.958340567129</v>
      </c>
      <c r="C439" s="489">
        <f t="shared" si="19"/>
        <v>74.8</v>
      </c>
      <c r="D439" s="489">
        <v>0.748</v>
      </c>
      <c r="E439" s="464"/>
      <c r="F439" s="464">
        <f t="shared" si="20"/>
        <v>0.248</v>
      </c>
      <c r="G439" s="464"/>
      <c r="H439" s="464"/>
      <c r="I439" s="464"/>
    </row>
    <row r="440" spans="1:9" ht="15.75">
      <c r="A440" s="6">
        <f t="shared" si="18"/>
        <v>433</v>
      </c>
      <c r="B440" s="504">
        <v>44727.000007291666</v>
      </c>
      <c r="C440" s="489">
        <f t="shared" si="19"/>
        <v>88.9</v>
      </c>
      <c r="D440" s="489">
        <v>0.88900000000000001</v>
      </c>
      <c r="E440" s="464"/>
      <c r="F440" s="464">
        <f t="shared" si="20"/>
        <v>0.38900000000000001</v>
      </c>
      <c r="G440" s="464"/>
      <c r="H440" s="464"/>
      <c r="I440" s="464"/>
    </row>
    <row r="441" spans="1:9" ht="15.75">
      <c r="A441" s="7">
        <f t="shared" si="18"/>
        <v>434</v>
      </c>
      <c r="B441" s="504">
        <v>44727.041674016204</v>
      </c>
      <c r="C441" s="489">
        <f t="shared" si="19"/>
        <v>119.39999999999999</v>
      </c>
      <c r="D441" s="489">
        <v>1.194</v>
      </c>
      <c r="E441" s="464"/>
      <c r="F441" s="464">
        <f t="shared" si="20"/>
        <v>0.69399999999999995</v>
      </c>
      <c r="G441" s="464"/>
      <c r="H441" s="464"/>
      <c r="I441" s="464"/>
    </row>
    <row r="442" spans="1:9" ht="15.75">
      <c r="A442" s="6">
        <f t="shared" si="18"/>
        <v>435</v>
      </c>
      <c r="B442" s="504">
        <v>44727.083340740741</v>
      </c>
      <c r="C442" s="489">
        <f t="shared" si="19"/>
        <v>161.4</v>
      </c>
      <c r="D442" s="489">
        <v>1.6140000000000001</v>
      </c>
      <c r="E442" s="464"/>
      <c r="F442" s="464">
        <f t="shared" si="20"/>
        <v>1.1140000000000001</v>
      </c>
      <c r="G442" s="464"/>
      <c r="H442" s="464"/>
      <c r="I442" s="464"/>
    </row>
    <row r="443" spans="1:9" ht="15.75">
      <c r="A443" s="7">
        <f t="shared" si="18"/>
        <v>436</v>
      </c>
      <c r="B443" s="504">
        <v>44727.125007465278</v>
      </c>
      <c r="C443" s="489">
        <f t="shared" si="19"/>
        <v>208.9</v>
      </c>
      <c r="D443" s="489">
        <v>2.089</v>
      </c>
      <c r="E443" s="464"/>
      <c r="F443" s="464">
        <f t="shared" si="20"/>
        <v>1.589</v>
      </c>
      <c r="G443" s="464"/>
      <c r="H443" s="464"/>
      <c r="I443" s="464"/>
    </row>
    <row r="444" spans="1:9" ht="15.75">
      <c r="A444" s="6">
        <f t="shared" si="18"/>
        <v>437</v>
      </c>
      <c r="B444" s="504">
        <v>44727.166674189815</v>
      </c>
      <c r="C444" s="489">
        <f t="shared" si="19"/>
        <v>247.40000000000003</v>
      </c>
      <c r="D444" s="489">
        <v>2.4740000000000002</v>
      </c>
      <c r="E444" s="464"/>
      <c r="F444" s="464">
        <f t="shared" si="20"/>
        <v>1.9740000000000002</v>
      </c>
      <c r="G444" s="464"/>
      <c r="H444" s="464"/>
      <c r="I444" s="464"/>
    </row>
    <row r="445" spans="1:9" ht="15.75">
      <c r="A445" s="7">
        <f t="shared" si="18"/>
        <v>438</v>
      </c>
      <c r="B445" s="504">
        <v>44727.208340914352</v>
      </c>
      <c r="C445" s="489">
        <f t="shared" si="19"/>
        <v>276.90000000000003</v>
      </c>
      <c r="D445" s="489">
        <v>2.7690000000000001</v>
      </c>
      <c r="E445" s="464"/>
      <c r="F445" s="464">
        <f t="shared" si="20"/>
        <v>2.2690000000000001</v>
      </c>
      <c r="G445" s="464"/>
      <c r="H445" s="464"/>
      <c r="I445" s="464"/>
    </row>
    <row r="446" spans="1:9" ht="15.75">
      <c r="A446" s="6">
        <f t="shared" si="18"/>
        <v>439</v>
      </c>
      <c r="B446" s="504">
        <v>44727.25000763889</v>
      </c>
      <c r="C446" s="489">
        <f t="shared" si="19"/>
        <v>288</v>
      </c>
      <c r="D446" s="489">
        <v>2.88</v>
      </c>
      <c r="E446" s="464"/>
      <c r="F446" s="464">
        <f t="shared" si="20"/>
        <v>2.38</v>
      </c>
      <c r="G446" s="464"/>
      <c r="H446" s="464"/>
      <c r="I446" s="464"/>
    </row>
    <row r="447" spans="1:9" ht="15.75">
      <c r="A447" s="7">
        <f t="shared" si="18"/>
        <v>440</v>
      </c>
      <c r="B447" s="504">
        <v>44727.291674363427</v>
      </c>
      <c r="C447" s="489">
        <f t="shared" si="19"/>
        <v>281.2</v>
      </c>
      <c r="D447" s="489">
        <v>2.8119999999999998</v>
      </c>
      <c r="E447" s="464"/>
      <c r="F447" s="464">
        <f t="shared" si="20"/>
        <v>2.3119999999999998</v>
      </c>
      <c r="G447" s="464"/>
      <c r="H447" s="464"/>
      <c r="I447" s="464"/>
    </row>
    <row r="448" spans="1:9" ht="15.75">
      <c r="A448" s="6">
        <f t="shared" si="18"/>
        <v>441</v>
      </c>
      <c r="B448" s="504">
        <v>44727.333341087964</v>
      </c>
      <c r="C448" s="489">
        <f t="shared" si="19"/>
        <v>256.8</v>
      </c>
      <c r="D448" s="489">
        <v>2.5680000000000001</v>
      </c>
      <c r="E448" s="464"/>
      <c r="F448" s="464">
        <f t="shared" si="20"/>
        <v>2.0680000000000001</v>
      </c>
      <c r="G448" s="464"/>
      <c r="H448" s="464"/>
      <c r="I448" s="464"/>
    </row>
    <row r="449" spans="1:9" ht="15.75">
      <c r="A449" s="7">
        <f t="shared" si="18"/>
        <v>442</v>
      </c>
      <c r="B449" s="504">
        <v>44727.375007812501</v>
      </c>
      <c r="C449" s="489">
        <f t="shared" si="19"/>
        <v>222.5</v>
      </c>
      <c r="D449" s="489">
        <v>2.2250000000000001</v>
      </c>
      <c r="E449" s="464"/>
      <c r="F449" s="464">
        <f t="shared" si="20"/>
        <v>1.7250000000000001</v>
      </c>
      <c r="G449" s="464"/>
      <c r="H449" s="464"/>
      <c r="I449" s="464"/>
    </row>
    <row r="450" spans="1:9" ht="15.75">
      <c r="A450" s="6">
        <f t="shared" si="18"/>
        <v>443</v>
      </c>
      <c r="B450" s="504">
        <v>44727.416674537038</v>
      </c>
      <c r="C450" s="489">
        <f t="shared" si="19"/>
        <v>190.39999999999998</v>
      </c>
      <c r="D450" s="489">
        <v>1.9039999999999999</v>
      </c>
      <c r="E450" s="464"/>
      <c r="F450" s="464">
        <f t="shared" si="20"/>
        <v>1.4039999999999999</v>
      </c>
      <c r="G450" s="464"/>
      <c r="H450" s="464"/>
      <c r="I450" s="464"/>
    </row>
    <row r="451" spans="1:9" ht="15.75">
      <c r="A451" s="7">
        <f t="shared" si="18"/>
        <v>444</v>
      </c>
      <c r="B451" s="504">
        <v>44727.458341261576</v>
      </c>
      <c r="C451" s="489">
        <f t="shared" si="19"/>
        <v>158.5</v>
      </c>
      <c r="D451" s="489">
        <v>1.585</v>
      </c>
      <c r="E451" s="464"/>
      <c r="F451" s="464">
        <f t="shared" si="20"/>
        <v>1.085</v>
      </c>
      <c r="G451" s="464"/>
      <c r="H451" s="464"/>
      <c r="I451" s="464"/>
    </row>
    <row r="452" spans="1:9" ht="15.75">
      <c r="A452" s="6">
        <f t="shared" si="18"/>
        <v>445</v>
      </c>
      <c r="B452" s="504">
        <v>44727.500007986113</v>
      </c>
      <c r="C452" s="489">
        <f t="shared" si="19"/>
        <v>138.1</v>
      </c>
      <c r="D452" s="489">
        <v>1.381</v>
      </c>
      <c r="E452" s="464"/>
      <c r="F452" s="464">
        <f t="shared" si="20"/>
        <v>0.88100000000000001</v>
      </c>
      <c r="G452" s="464"/>
      <c r="H452" s="464"/>
      <c r="I452" s="464"/>
    </row>
    <row r="453" spans="1:9" ht="15.75">
      <c r="A453" s="7">
        <f t="shared" si="18"/>
        <v>446</v>
      </c>
      <c r="B453" s="504">
        <v>44727.54167471065</v>
      </c>
      <c r="C453" s="489">
        <f t="shared" si="19"/>
        <v>128.1</v>
      </c>
      <c r="D453" s="489">
        <v>1.2809999999999999</v>
      </c>
      <c r="E453" s="464"/>
      <c r="F453" s="464">
        <f t="shared" si="20"/>
        <v>0.78099999999999992</v>
      </c>
      <c r="G453" s="464"/>
      <c r="H453" s="464"/>
      <c r="I453" s="464"/>
    </row>
    <row r="454" spans="1:9" ht="15.75">
      <c r="A454" s="6">
        <f t="shared" si="18"/>
        <v>447</v>
      </c>
      <c r="B454" s="504">
        <v>44727.583341435187</v>
      </c>
      <c r="C454" s="489">
        <f t="shared" si="19"/>
        <v>129.5</v>
      </c>
      <c r="D454" s="489">
        <v>1.2949999999999999</v>
      </c>
      <c r="E454" s="464"/>
      <c r="F454" s="464">
        <f t="shared" si="20"/>
        <v>0.79499999999999993</v>
      </c>
      <c r="G454" s="464"/>
      <c r="H454" s="464"/>
      <c r="I454" s="464"/>
    </row>
    <row r="455" spans="1:9" ht="15.75">
      <c r="A455" s="7">
        <f t="shared" si="18"/>
        <v>448</v>
      </c>
      <c r="B455" s="504">
        <v>44727.625008159725</v>
      </c>
      <c r="C455" s="489">
        <f t="shared" si="19"/>
        <v>142.5</v>
      </c>
      <c r="D455" s="489">
        <v>1.425</v>
      </c>
      <c r="E455" s="464"/>
      <c r="F455" s="464">
        <f t="shared" si="20"/>
        <v>0.92500000000000004</v>
      </c>
      <c r="G455" s="464"/>
      <c r="H455" s="464"/>
      <c r="I455" s="464"/>
    </row>
    <row r="456" spans="1:9" ht="15.75">
      <c r="A456" s="6">
        <f t="shared" ref="A456:A519" si="21">A455+1</f>
        <v>449</v>
      </c>
      <c r="B456" s="504">
        <v>44727.666674884262</v>
      </c>
      <c r="C456" s="489">
        <f t="shared" si="19"/>
        <v>149.19999999999999</v>
      </c>
      <c r="D456" s="489">
        <v>1.492</v>
      </c>
      <c r="E456" s="464"/>
      <c r="F456" s="464">
        <f t="shared" si="20"/>
        <v>0.99199999999999999</v>
      </c>
      <c r="G456" s="464"/>
      <c r="H456" s="464"/>
      <c r="I456" s="464"/>
    </row>
    <row r="457" spans="1:9" ht="15.75">
      <c r="A457" s="7">
        <f t="shared" si="21"/>
        <v>450</v>
      </c>
      <c r="B457" s="504">
        <v>44727.708341608799</v>
      </c>
      <c r="C457" s="489">
        <f t="shared" ref="C457:C520" si="22">D457*100</f>
        <v>155.9</v>
      </c>
      <c r="D457" s="489">
        <v>1.5589999999999999</v>
      </c>
      <c r="E457" s="464"/>
      <c r="F457" s="464">
        <f t="shared" ref="F457:F520" si="23">D457-0.5</f>
        <v>1.0589999999999999</v>
      </c>
      <c r="G457" s="464"/>
      <c r="H457" s="464"/>
      <c r="I457" s="464"/>
    </row>
    <row r="458" spans="1:9" ht="15.75">
      <c r="A458" s="6">
        <f t="shared" si="21"/>
        <v>451</v>
      </c>
      <c r="B458" s="504">
        <v>44727.750008333336</v>
      </c>
      <c r="C458" s="489">
        <f t="shared" si="22"/>
        <v>151.1</v>
      </c>
      <c r="D458" s="489">
        <v>1.5109999999999999</v>
      </c>
      <c r="E458" s="464"/>
      <c r="F458" s="464">
        <f t="shared" si="23"/>
        <v>1.0109999999999999</v>
      </c>
      <c r="G458" s="464"/>
      <c r="H458" s="464"/>
      <c r="I458" s="464"/>
    </row>
    <row r="459" spans="1:9" ht="15.75">
      <c r="A459" s="7">
        <f t="shared" si="21"/>
        <v>452</v>
      </c>
      <c r="B459" s="504">
        <v>44727.791675057873</v>
      </c>
      <c r="C459" s="489">
        <f t="shared" si="22"/>
        <v>136.80000000000001</v>
      </c>
      <c r="D459" s="489">
        <v>1.3680000000000001</v>
      </c>
      <c r="E459" s="464"/>
      <c r="F459" s="464">
        <f t="shared" si="23"/>
        <v>0.8680000000000001</v>
      </c>
      <c r="G459" s="464"/>
      <c r="H459" s="464"/>
      <c r="I459" s="464"/>
    </row>
    <row r="460" spans="1:9" ht="15.75">
      <c r="A460" s="6">
        <f t="shared" si="21"/>
        <v>453</v>
      </c>
      <c r="B460" s="504">
        <v>44727.833341782411</v>
      </c>
      <c r="C460" s="489">
        <f t="shared" si="22"/>
        <v>119</v>
      </c>
      <c r="D460" s="489">
        <v>1.19</v>
      </c>
      <c r="E460" s="464"/>
      <c r="F460" s="464">
        <f t="shared" si="23"/>
        <v>0.69</v>
      </c>
      <c r="G460" s="464"/>
      <c r="H460" s="464"/>
      <c r="I460" s="464"/>
    </row>
    <row r="461" spans="1:9" ht="15.75">
      <c r="A461" s="7">
        <f t="shared" si="21"/>
        <v>454</v>
      </c>
      <c r="B461" s="504">
        <v>44727.875008506948</v>
      </c>
      <c r="C461" s="489">
        <f t="shared" si="22"/>
        <v>100.1</v>
      </c>
      <c r="D461" s="489">
        <v>1.0009999999999999</v>
      </c>
      <c r="E461" s="464"/>
      <c r="F461" s="464">
        <f t="shared" si="23"/>
        <v>0.50099999999999989</v>
      </c>
      <c r="G461" s="464"/>
      <c r="H461" s="464"/>
      <c r="I461" s="464"/>
    </row>
    <row r="462" spans="1:9" ht="15.75">
      <c r="A462" s="6">
        <f t="shared" si="21"/>
        <v>455</v>
      </c>
      <c r="B462" s="504">
        <v>44727.916675231485</v>
      </c>
      <c r="C462" s="489">
        <f t="shared" si="22"/>
        <v>83</v>
      </c>
      <c r="D462" s="489">
        <v>0.83</v>
      </c>
      <c r="E462" s="464"/>
      <c r="F462" s="464">
        <f t="shared" si="23"/>
        <v>0.32999999999999996</v>
      </c>
      <c r="G462" s="464"/>
      <c r="H462" s="464"/>
      <c r="I462" s="464"/>
    </row>
    <row r="463" spans="1:9" ht="15.75">
      <c r="A463" s="7">
        <f t="shared" si="21"/>
        <v>456</v>
      </c>
      <c r="B463" s="504">
        <v>44727.958341956015</v>
      </c>
      <c r="C463" s="489">
        <f t="shared" si="22"/>
        <v>65.3</v>
      </c>
      <c r="D463" s="489">
        <v>0.65300000000000002</v>
      </c>
      <c r="E463" s="464"/>
      <c r="F463" s="464">
        <f t="shared" si="23"/>
        <v>0.15300000000000002</v>
      </c>
      <c r="G463" s="464"/>
      <c r="H463" s="464"/>
      <c r="I463" s="464"/>
    </row>
    <row r="464" spans="1:9" ht="15.75">
      <c r="A464" s="6">
        <f t="shared" si="21"/>
        <v>457</v>
      </c>
      <c r="B464" s="504">
        <v>44728.000008680552</v>
      </c>
      <c r="C464" s="489">
        <f t="shared" si="22"/>
        <v>65.2</v>
      </c>
      <c r="D464" s="489">
        <v>0.65200000000000002</v>
      </c>
      <c r="E464" s="464"/>
      <c r="F464" s="464">
        <f t="shared" si="23"/>
        <v>0.15200000000000002</v>
      </c>
      <c r="G464" s="464"/>
      <c r="H464" s="464"/>
      <c r="I464" s="464"/>
    </row>
    <row r="465" spans="1:9" ht="15.75">
      <c r="A465" s="7">
        <f t="shared" si="21"/>
        <v>458</v>
      </c>
      <c r="B465" s="504">
        <v>44728.041675405089</v>
      </c>
      <c r="C465" s="489">
        <f t="shared" si="22"/>
        <v>86.8</v>
      </c>
      <c r="D465" s="489">
        <v>0.86799999999999999</v>
      </c>
      <c r="E465" s="464"/>
      <c r="F465" s="464">
        <f t="shared" si="23"/>
        <v>0.36799999999999999</v>
      </c>
      <c r="G465" s="464"/>
      <c r="H465" s="464"/>
      <c r="I465" s="464"/>
    </row>
    <row r="466" spans="1:9" ht="15.75">
      <c r="A466" s="6">
        <f t="shared" si="21"/>
        <v>459</v>
      </c>
      <c r="B466" s="504">
        <v>44728.083342129627</v>
      </c>
      <c r="C466" s="489">
        <f t="shared" si="22"/>
        <v>125.2</v>
      </c>
      <c r="D466" s="489">
        <v>1.252</v>
      </c>
      <c r="E466" s="464"/>
      <c r="F466" s="464">
        <f t="shared" si="23"/>
        <v>0.752</v>
      </c>
      <c r="G466" s="464"/>
      <c r="H466" s="464"/>
      <c r="I466" s="464"/>
    </row>
    <row r="467" spans="1:9" ht="15.75">
      <c r="A467" s="7">
        <f t="shared" si="21"/>
        <v>460</v>
      </c>
      <c r="B467" s="504">
        <v>44728.125008854164</v>
      </c>
      <c r="C467" s="489">
        <f t="shared" si="22"/>
        <v>174.8</v>
      </c>
      <c r="D467" s="489">
        <v>1.748</v>
      </c>
      <c r="E467" s="464"/>
      <c r="F467" s="464">
        <f t="shared" si="23"/>
        <v>1.248</v>
      </c>
      <c r="G467" s="464"/>
      <c r="H467" s="464"/>
      <c r="I467" s="464"/>
    </row>
    <row r="468" spans="1:9" ht="15.75">
      <c r="A468" s="6">
        <f t="shared" si="21"/>
        <v>461</v>
      </c>
      <c r="B468" s="504">
        <v>44728.166675578701</v>
      </c>
      <c r="C468" s="489">
        <f t="shared" si="22"/>
        <v>225.89999999999998</v>
      </c>
      <c r="D468" s="489">
        <v>2.2589999999999999</v>
      </c>
      <c r="E468" s="464"/>
      <c r="F468" s="464">
        <f t="shared" si="23"/>
        <v>1.7589999999999999</v>
      </c>
      <c r="G468" s="464"/>
      <c r="H468" s="464"/>
      <c r="I468" s="464"/>
    </row>
    <row r="469" spans="1:9" ht="15.75">
      <c r="A469" s="7">
        <f t="shared" si="21"/>
        <v>462</v>
      </c>
      <c r="B469" s="504">
        <v>44728.208342303238</v>
      </c>
      <c r="C469" s="489">
        <f t="shared" si="22"/>
        <v>264.5</v>
      </c>
      <c r="D469" s="489">
        <v>2.645</v>
      </c>
      <c r="E469" s="464"/>
      <c r="F469" s="464">
        <f t="shared" si="23"/>
        <v>2.145</v>
      </c>
      <c r="G469" s="464"/>
      <c r="H469" s="464"/>
      <c r="I469" s="464"/>
    </row>
    <row r="470" spans="1:9" ht="15.75">
      <c r="A470" s="6">
        <f t="shared" si="21"/>
        <v>463</v>
      </c>
      <c r="B470" s="504">
        <v>44728.250009027775</v>
      </c>
      <c r="C470" s="489">
        <f t="shared" si="22"/>
        <v>287</v>
      </c>
      <c r="D470" s="489">
        <v>2.87</v>
      </c>
      <c r="E470" s="464"/>
      <c r="F470" s="464">
        <f t="shared" si="23"/>
        <v>2.37</v>
      </c>
      <c r="G470" s="464"/>
      <c r="H470" s="464"/>
      <c r="I470" s="464"/>
    </row>
    <row r="471" spans="1:9" ht="15.75">
      <c r="A471" s="7">
        <f t="shared" si="21"/>
        <v>464</v>
      </c>
      <c r="B471" s="504">
        <v>44728.291675752313</v>
      </c>
      <c r="C471" s="489">
        <f t="shared" si="22"/>
        <v>288.89999999999998</v>
      </c>
      <c r="D471" s="489">
        <v>2.8889999999999998</v>
      </c>
      <c r="E471" s="464"/>
      <c r="F471" s="464">
        <f t="shared" si="23"/>
        <v>2.3889999999999998</v>
      </c>
      <c r="G471" s="464"/>
      <c r="H471" s="464"/>
      <c r="I471" s="464"/>
    </row>
    <row r="472" spans="1:9" ht="15.75">
      <c r="A472" s="6">
        <f t="shared" si="21"/>
        <v>465</v>
      </c>
      <c r="B472" s="504">
        <v>44728.33334247685</v>
      </c>
      <c r="C472" s="489">
        <f t="shared" si="22"/>
        <v>271.09999999999997</v>
      </c>
      <c r="D472" s="489">
        <v>2.7109999999999999</v>
      </c>
      <c r="E472" s="464"/>
      <c r="F472" s="464">
        <f t="shared" si="23"/>
        <v>2.2109999999999999</v>
      </c>
      <c r="G472" s="464"/>
      <c r="H472" s="464"/>
      <c r="I472" s="464"/>
    </row>
    <row r="473" spans="1:9" ht="15.75">
      <c r="A473" s="7">
        <f t="shared" si="21"/>
        <v>466</v>
      </c>
      <c r="B473" s="504">
        <v>44728.375009201387</v>
      </c>
      <c r="C473" s="489">
        <f t="shared" si="22"/>
        <v>242.20000000000002</v>
      </c>
      <c r="D473" s="489">
        <v>2.4220000000000002</v>
      </c>
      <c r="E473" s="464"/>
      <c r="F473" s="464">
        <f t="shared" si="23"/>
        <v>1.9220000000000002</v>
      </c>
      <c r="G473" s="464"/>
      <c r="H473" s="464"/>
      <c r="I473" s="464"/>
    </row>
    <row r="474" spans="1:9" ht="15.75">
      <c r="A474" s="6">
        <f t="shared" si="21"/>
        <v>467</v>
      </c>
      <c r="B474" s="504">
        <v>44728.416675925924</v>
      </c>
      <c r="C474" s="489">
        <f t="shared" si="22"/>
        <v>210.8</v>
      </c>
      <c r="D474" s="489">
        <v>2.1080000000000001</v>
      </c>
      <c r="E474" s="464"/>
      <c r="F474" s="464">
        <f t="shared" si="23"/>
        <v>1.6080000000000001</v>
      </c>
      <c r="G474" s="464"/>
      <c r="H474" s="464"/>
      <c r="I474" s="464"/>
    </row>
    <row r="475" spans="1:9" ht="15.75">
      <c r="A475" s="7">
        <f t="shared" si="21"/>
        <v>468</v>
      </c>
      <c r="B475" s="504">
        <v>44728.458342650461</v>
      </c>
      <c r="C475" s="489">
        <f t="shared" si="22"/>
        <v>178.5</v>
      </c>
      <c r="D475" s="489">
        <v>1.7849999999999999</v>
      </c>
      <c r="E475" s="464"/>
      <c r="F475" s="464">
        <f t="shared" si="23"/>
        <v>1.2849999999999999</v>
      </c>
      <c r="G475" s="464"/>
      <c r="H475" s="464"/>
      <c r="I475" s="464"/>
    </row>
    <row r="476" spans="1:9" ht="15.75">
      <c r="A476" s="6">
        <f t="shared" si="21"/>
        <v>469</v>
      </c>
      <c r="B476" s="504">
        <v>44728.500009374999</v>
      </c>
      <c r="C476" s="489">
        <f t="shared" si="22"/>
        <v>155</v>
      </c>
      <c r="D476" s="489">
        <v>1.55</v>
      </c>
      <c r="E476" s="464"/>
      <c r="F476" s="464">
        <f t="shared" si="23"/>
        <v>1.05</v>
      </c>
      <c r="G476" s="464"/>
      <c r="H476" s="464"/>
      <c r="I476" s="464"/>
    </row>
    <row r="477" spans="1:9" ht="15.75">
      <c r="A477" s="7">
        <f t="shared" si="21"/>
        <v>470</v>
      </c>
      <c r="B477" s="504">
        <v>44728.541676099536</v>
      </c>
      <c r="C477" s="489">
        <f t="shared" si="22"/>
        <v>138.19999999999999</v>
      </c>
      <c r="D477" s="489">
        <v>1.3819999999999999</v>
      </c>
      <c r="E477" s="464"/>
      <c r="F477" s="464">
        <f t="shared" si="23"/>
        <v>0.8819999999999999</v>
      </c>
      <c r="G477" s="464"/>
      <c r="H477" s="464"/>
      <c r="I477" s="464"/>
    </row>
    <row r="478" spans="1:9" ht="15.75">
      <c r="A478" s="6">
        <f t="shared" si="21"/>
        <v>471</v>
      </c>
      <c r="B478" s="504">
        <v>44728.583342824073</v>
      </c>
      <c r="C478" s="489">
        <f t="shared" si="22"/>
        <v>132.5</v>
      </c>
      <c r="D478" s="489">
        <v>1.325</v>
      </c>
      <c r="E478" s="464"/>
      <c r="F478" s="464">
        <f t="shared" si="23"/>
        <v>0.82499999999999996</v>
      </c>
      <c r="G478" s="464"/>
      <c r="H478" s="464"/>
      <c r="I478" s="464"/>
    </row>
    <row r="479" spans="1:9" ht="15.75">
      <c r="A479" s="7">
        <f t="shared" si="21"/>
        <v>472</v>
      </c>
      <c r="B479" s="504">
        <v>44728.62500954861</v>
      </c>
      <c r="C479" s="489">
        <f t="shared" si="22"/>
        <v>138.5</v>
      </c>
      <c r="D479" s="489">
        <v>1.385</v>
      </c>
      <c r="E479" s="464"/>
      <c r="F479" s="464">
        <f t="shared" si="23"/>
        <v>0.88500000000000001</v>
      </c>
      <c r="G479" s="464"/>
      <c r="H479" s="464"/>
      <c r="I479" s="464"/>
    </row>
    <row r="480" spans="1:9" ht="15.75">
      <c r="A480" s="6">
        <f t="shared" si="21"/>
        <v>473</v>
      </c>
      <c r="B480" s="504">
        <v>44728.666676273147</v>
      </c>
      <c r="C480" s="489">
        <f t="shared" si="22"/>
        <v>149.80000000000001</v>
      </c>
      <c r="D480" s="489">
        <v>1.498</v>
      </c>
      <c r="E480" s="464"/>
      <c r="F480" s="464">
        <f t="shared" si="23"/>
        <v>0.998</v>
      </c>
      <c r="G480" s="464"/>
      <c r="H480" s="464"/>
      <c r="I480" s="464"/>
    </row>
    <row r="481" spans="1:9" ht="15.75">
      <c r="A481" s="7">
        <f t="shared" si="21"/>
        <v>474</v>
      </c>
      <c r="B481" s="504">
        <v>44728.708342997685</v>
      </c>
      <c r="C481" s="489">
        <f t="shared" si="22"/>
        <v>157.69999999999999</v>
      </c>
      <c r="D481" s="489">
        <v>1.577</v>
      </c>
      <c r="E481" s="464"/>
      <c r="F481" s="464">
        <f t="shared" si="23"/>
        <v>1.077</v>
      </c>
      <c r="G481" s="464"/>
      <c r="H481" s="464"/>
      <c r="I481" s="464"/>
    </row>
    <row r="482" spans="1:9" ht="15.75">
      <c r="A482" s="6">
        <f t="shared" si="21"/>
        <v>475</v>
      </c>
      <c r="B482" s="504">
        <v>44728.750009722222</v>
      </c>
      <c r="C482" s="489">
        <f t="shared" si="22"/>
        <v>158.4</v>
      </c>
      <c r="D482" s="489">
        <v>1.5840000000000001</v>
      </c>
      <c r="E482" s="464"/>
      <c r="F482" s="464">
        <f t="shared" si="23"/>
        <v>1.0840000000000001</v>
      </c>
      <c r="G482" s="464"/>
      <c r="H482" s="464"/>
      <c r="I482" s="464"/>
    </row>
    <row r="483" spans="1:9" ht="15.75">
      <c r="A483" s="7">
        <f t="shared" si="21"/>
        <v>476</v>
      </c>
      <c r="B483" s="504">
        <v>44728.791676446759</v>
      </c>
      <c r="C483" s="489">
        <f t="shared" si="22"/>
        <v>147.5</v>
      </c>
      <c r="D483" s="489">
        <v>1.4750000000000001</v>
      </c>
      <c r="E483" s="464"/>
      <c r="F483" s="464">
        <f t="shared" si="23"/>
        <v>0.97500000000000009</v>
      </c>
      <c r="G483" s="464"/>
      <c r="H483" s="464"/>
      <c r="I483" s="464"/>
    </row>
    <row r="484" spans="1:9" ht="15.75">
      <c r="A484" s="6">
        <f t="shared" si="21"/>
        <v>477</v>
      </c>
      <c r="B484" s="504">
        <v>44728.833343171296</v>
      </c>
      <c r="C484" s="489">
        <f t="shared" si="22"/>
        <v>129.5</v>
      </c>
      <c r="D484" s="489">
        <v>1.2949999999999999</v>
      </c>
      <c r="E484" s="464"/>
      <c r="F484" s="464">
        <f t="shared" si="23"/>
        <v>0.79499999999999993</v>
      </c>
      <c r="G484" s="464"/>
      <c r="H484" s="464"/>
      <c r="I484" s="464"/>
    </row>
    <row r="485" spans="1:9" ht="15.75">
      <c r="A485" s="7">
        <f t="shared" si="21"/>
        <v>478</v>
      </c>
      <c r="B485" s="504">
        <v>44728.875009895834</v>
      </c>
      <c r="C485" s="489">
        <f t="shared" si="22"/>
        <v>105.4</v>
      </c>
      <c r="D485" s="489">
        <v>1.054</v>
      </c>
      <c r="E485" s="464"/>
      <c r="F485" s="464">
        <f t="shared" si="23"/>
        <v>0.55400000000000005</v>
      </c>
      <c r="G485" s="464"/>
      <c r="H485" s="464"/>
      <c r="I485" s="464"/>
    </row>
    <row r="486" spans="1:9" ht="15.75">
      <c r="A486" s="6">
        <f t="shared" si="21"/>
        <v>479</v>
      </c>
      <c r="B486" s="504">
        <v>44728.916676620371</v>
      </c>
      <c r="C486" s="489">
        <f t="shared" si="22"/>
        <v>80.800000000000011</v>
      </c>
      <c r="D486" s="489">
        <v>0.80800000000000005</v>
      </c>
      <c r="E486" s="464"/>
      <c r="F486" s="464">
        <f t="shared" si="23"/>
        <v>0.30800000000000005</v>
      </c>
      <c r="G486" s="464"/>
      <c r="H486" s="464"/>
      <c r="I486" s="464"/>
    </row>
    <row r="487" spans="1:9" ht="15.75">
      <c r="A487" s="7">
        <f t="shared" si="21"/>
        <v>480</v>
      </c>
      <c r="B487" s="504">
        <v>44728.958343344908</v>
      </c>
      <c r="C487" s="489">
        <f t="shared" si="22"/>
        <v>62.6</v>
      </c>
      <c r="D487" s="489">
        <v>0.626</v>
      </c>
      <c r="E487" s="464"/>
      <c r="F487" s="464">
        <f t="shared" si="23"/>
        <v>0.126</v>
      </c>
      <c r="G487" s="464"/>
      <c r="H487" s="464"/>
      <c r="I487" s="464"/>
    </row>
    <row r="488" spans="1:9" ht="15.75">
      <c r="A488" s="6">
        <f t="shared" si="21"/>
        <v>481</v>
      </c>
      <c r="B488" s="504">
        <v>44729.000010069445</v>
      </c>
      <c r="C488" s="489">
        <f t="shared" si="22"/>
        <v>56.000000000000007</v>
      </c>
      <c r="D488" s="489">
        <v>0.56000000000000005</v>
      </c>
      <c r="E488" s="464"/>
      <c r="F488" s="464">
        <f t="shared" si="23"/>
        <v>6.0000000000000053E-2</v>
      </c>
      <c r="G488" s="464"/>
      <c r="H488" s="464"/>
      <c r="I488" s="464"/>
    </row>
    <row r="489" spans="1:9" ht="15.75">
      <c r="A489" s="7">
        <f t="shared" si="21"/>
        <v>482</v>
      </c>
      <c r="B489" s="504">
        <v>44729.041676793982</v>
      </c>
      <c r="C489" s="489">
        <f t="shared" si="22"/>
        <v>68.5</v>
      </c>
      <c r="D489" s="489">
        <v>0.68500000000000005</v>
      </c>
      <c r="E489" s="464"/>
      <c r="F489" s="464">
        <f t="shared" si="23"/>
        <v>0.18500000000000005</v>
      </c>
      <c r="G489" s="464"/>
      <c r="H489" s="464"/>
      <c r="I489" s="464"/>
    </row>
    <row r="490" spans="1:9" ht="15.75">
      <c r="A490" s="6">
        <f t="shared" si="21"/>
        <v>483</v>
      </c>
      <c r="B490" s="504">
        <v>44729.08334351852</v>
      </c>
      <c r="C490" s="489">
        <f t="shared" si="22"/>
        <v>95.8</v>
      </c>
      <c r="D490" s="489">
        <v>0.95799999999999996</v>
      </c>
      <c r="E490" s="464"/>
      <c r="F490" s="464">
        <f t="shared" si="23"/>
        <v>0.45799999999999996</v>
      </c>
      <c r="G490" s="464"/>
      <c r="H490" s="464"/>
      <c r="I490" s="464"/>
    </row>
    <row r="491" spans="1:9" ht="15.75">
      <c r="A491" s="7">
        <f t="shared" si="21"/>
        <v>484</v>
      </c>
      <c r="B491" s="504">
        <v>44729.125010243057</v>
      </c>
      <c r="C491" s="489">
        <f t="shared" si="22"/>
        <v>142.6</v>
      </c>
      <c r="D491" s="489">
        <v>1.4259999999999999</v>
      </c>
      <c r="E491" s="464"/>
      <c r="F491" s="464">
        <f t="shared" si="23"/>
        <v>0.92599999999999993</v>
      </c>
      <c r="G491" s="464"/>
      <c r="H491" s="464"/>
      <c r="I491" s="464"/>
    </row>
    <row r="492" spans="1:9" ht="15.75">
      <c r="A492" s="6">
        <f t="shared" si="21"/>
        <v>485</v>
      </c>
      <c r="B492" s="504">
        <v>44729.166676967594</v>
      </c>
      <c r="C492" s="489">
        <f t="shared" si="22"/>
        <v>192.1</v>
      </c>
      <c r="D492" s="489">
        <v>1.921</v>
      </c>
      <c r="E492" s="464"/>
      <c r="F492" s="464">
        <f t="shared" si="23"/>
        <v>1.421</v>
      </c>
      <c r="G492" s="464"/>
      <c r="H492" s="464"/>
      <c r="I492" s="464"/>
    </row>
    <row r="493" spans="1:9" ht="15.75">
      <c r="A493" s="7">
        <f t="shared" si="21"/>
        <v>486</v>
      </c>
      <c r="B493" s="504">
        <v>44729.208343692131</v>
      </c>
      <c r="C493" s="489">
        <f t="shared" si="22"/>
        <v>237.5</v>
      </c>
      <c r="D493" s="489">
        <v>2.375</v>
      </c>
      <c r="E493" s="464"/>
      <c r="F493" s="464">
        <f t="shared" si="23"/>
        <v>1.875</v>
      </c>
      <c r="G493" s="464"/>
      <c r="H493" s="464"/>
      <c r="I493" s="464"/>
    </row>
    <row r="494" spans="1:9" ht="15.75">
      <c r="A494" s="6">
        <f t="shared" si="21"/>
        <v>487</v>
      </c>
      <c r="B494" s="504">
        <v>44729.250010416668</v>
      </c>
      <c r="C494" s="489">
        <f t="shared" si="22"/>
        <v>272.5</v>
      </c>
      <c r="D494" s="489">
        <v>2.7250000000000001</v>
      </c>
      <c r="E494" s="464"/>
      <c r="F494" s="464">
        <f t="shared" si="23"/>
        <v>2.2250000000000001</v>
      </c>
      <c r="G494" s="464"/>
      <c r="H494" s="464"/>
      <c r="I494" s="464"/>
    </row>
    <row r="495" spans="1:9" ht="15.75">
      <c r="A495" s="7">
        <f t="shared" si="21"/>
        <v>488</v>
      </c>
      <c r="B495" s="504">
        <v>44729.291677141206</v>
      </c>
      <c r="C495" s="489">
        <f t="shared" si="22"/>
        <v>286.2</v>
      </c>
      <c r="D495" s="489">
        <v>2.8620000000000001</v>
      </c>
      <c r="E495" s="464"/>
      <c r="F495" s="464">
        <f t="shared" si="23"/>
        <v>2.3620000000000001</v>
      </c>
      <c r="G495" s="464"/>
      <c r="H495" s="464"/>
      <c r="I495" s="464"/>
    </row>
    <row r="496" spans="1:9" ht="15.75">
      <c r="A496" s="6">
        <f t="shared" si="21"/>
        <v>489</v>
      </c>
      <c r="B496" s="504">
        <v>44729.333343865743</v>
      </c>
      <c r="C496" s="489">
        <f t="shared" si="22"/>
        <v>281.5</v>
      </c>
      <c r="D496" s="489">
        <v>2.8149999999999999</v>
      </c>
      <c r="E496" s="464"/>
      <c r="F496" s="464">
        <f t="shared" si="23"/>
        <v>2.3149999999999999</v>
      </c>
      <c r="G496" s="464"/>
      <c r="H496" s="464"/>
      <c r="I496" s="464"/>
    </row>
    <row r="497" spans="1:9" ht="15.75">
      <c r="A497" s="7">
        <f t="shared" si="21"/>
        <v>490</v>
      </c>
      <c r="B497" s="504">
        <v>44729.37501059028</v>
      </c>
      <c r="C497" s="489">
        <f t="shared" si="22"/>
        <v>261</v>
      </c>
      <c r="D497" s="489">
        <v>2.61</v>
      </c>
      <c r="E497" s="464"/>
      <c r="F497" s="464">
        <f t="shared" si="23"/>
        <v>2.11</v>
      </c>
      <c r="G497" s="464"/>
      <c r="H497" s="464"/>
      <c r="I497" s="464"/>
    </row>
    <row r="498" spans="1:9" ht="15.75">
      <c r="A498" s="6">
        <f t="shared" si="21"/>
        <v>491</v>
      </c>
      <c r="B498" s="504">
        <v>44729.416677314817</v>
      </c>
      <c r="C498" s="489">
        <f t="shared" si="22"/>
        <v>227.3</v>
      </c>
      <c r="D498" s="489">
        <v>2.2730000000000001</v>
      </c>
      <c r="E498" s="464"/>
      <c r="F498" s="464">
        <f t="shared" si="23"/>
        <v>1.7730000000000001</v>
      </c>
      <c r="G498" s="464"/>
      <c r="H498" s="464"/>
      <c r="I498" s="464"/>
    </row>
    <row r="499" spans="1:9" ht="15.75">
      <c r="A499" s="7">
        <f t="shared" si="21"/>
        <v>492</v>
      </c>
      <c r="B499" s="504">
        <v>44729.458344039354</v>
      </c>
      <c r="C499" s="489">
        <f t="shared" si="22"/>
        <v>195.79999999999998</v>
      </c>
      <c r="D499" s="489">
        <v>1.958</v>
      </c>
      <c r="E499" s="464"/>
      <c r="F499" s="464">
        <f t="shared" si="23"/>
        <v>1.458</v>
      </c>
      <c r="G499" s="464"/>
      <c r="H499" s="464"/>
      <c r="I499" s="464"/>
    </row>
    <row r="500" spans="1:9" ht="15.75">
      <c r="A500" s="6">
        <f t="shared" si="21"/>
        <v>493</v>
      </c>
      <c r="B500" s="504">
        <v>44729.500010763892</v>
      </c>
      <c r="C500" s="489">
        <f t="shared" si="22"/>
        <v>171</v>
      </c>
      <c r="D500" s="489">
        <v>1.71</v>
      </c>
      <c r="E500" s="464"/>
      <c r="F500" s="464">
        <f t="shared" si="23"/>
        <v>1.21</v>
      </c>
      <c r="G500" s="464"/>
      <c r="H500" s="464"/>
      <c r="I500" s="464"/>
    </row>
    <row r="501" spans="1:9" ht="15.75">
      <c r="A501" s="7">
        <f t="shared" si="21"/>
        <v>494</v>
      </c>
      <c r="B501" s="504">
        <v>44729.541677488429</v>
      </c>
      <c r="C501" s="489">
        <f t="shared" si="22"/>
        <v>152.4</v>
      </c>
      <c r="D501" s="489">
        <v>1.524</v>
      </c>
      <c r="E501" s="464"/>
      <c r="F501" s="464">
        <f t="shared" si="23"/>
        <v>1.024</v>
      </c>
      <c r="G501" s="464"/>
      <c r="H501" s="464"/>
      <c r="I501" s="464"/>
    </row>
    <row r="502" spans="1:9" ht="15.75">
      <c r="A502" s="6">
        <f t="shared" si="21"/>
        <v>495</v>
      </c>
      <c r="B502" s="504">
        <v>44729.583344212966</v>
      </c>
      <c r="C502" s="489">
        <f t="shared" si="22"/>
        <v>141.9</v>
      </c>
      <c r="D502" s="489">
        <v>1.419</v>
      </c>
      <c r="E502" s="464"/>
      <c r="F502" s="464">
        <f t="shared" si="23"/>
        <v>0.91900000000000004</v>
      </c>
      <c r="G502" s="464"/>
      <c r="H502" s="464"/>
      <c r="I502" s="464"/>
    </row>
    <row r="503" spans="1:9" ht="15.75">
      <c r="A503" s="7">
        <f t="shared" si="21"/>
        <v>496</v>
      </c>
      <c r="B503" s="504">
        <v>44729.625010937503</v>
      </c>
      <c r="C503" s="489">
        <f t="shared" si="22"/>
        <v>139</v>
      </c>
      <c r="D503" s="489">
        <v>1.39</v>
      </c>
      <c r="E503" s="464"/>
      <c r="F503" s="464">
        <f t="shared" si="23"/>
        <v>0.8899999999999999</v>
      </c>
      <c r="G503" s="464"/>
      <c r="H503" s="464"/>
      <c r="I503" s="464"/>
    </row>
    <row r="504" spans="1:9" ht="15.75">
      <c r="A504" s="6">
        <f t="shared" si="21"/>
        <v>497</v>
      </c>
      <c r="B504" s="504">
        <v>44729.66667766204</v>
      </c>
      <c r="C504" s="489">
        <f t="shared" si="22"/>
        <v>150.5</v>
      </c>
      <c r="D504" s="489">
        <v>1.5049999999999999</v>
      </c>
      <c r="E504" s="464"/>
      <c r="F504" s="464">
        <f t="shared" si="23"/>
        <v>1.0049999999999999</v>
      </c>
      <c r="G504" s="464"/>
      <c r="H504" s="464"/>
      <c r="I504" s="464"/>
    </row>
    <row r="505" spans="1:9" ht="15.75">
      <c r="A505" s="7">
        <f t="shared" si="21"/>
        <v>498</v>
      </c>
      <c r="B505" s="504">
        <v>44729.708344386578</v>
      </c>
      <c r="C505" s="489">
        <f t="shared" si="22"/>
        <v>161.4</v>
      </c>
      <c r="D505" s="489">
        <v>1.6140000000000001</v>
      </c>
      <c r="E505" s="464"/>
      <c r="F505" s="464">
        <f t="shared" si="23"/>
        <v>1.1140000000000001</v>
      </c>
      <c r="G505" s="464"/>
      <c r="H505" s="464"/>
      <c r="I505" s="464"/>
    </row>
    <row r="506" spans="1:9" ht="15.75">
      <c r="A506" s="6">
        <f t="shared" si="21"/>
        <v>499</v>
      </c>
      <c r="B506" s="504">
        <v>44729.750011111108</v>
      </c>
      <c r="C506" s="489">
        <f t="shared" si="22"/>
        <v>168.70000000000002</v>
      </c>
      <c r="D506" s="489">
        <v>1.6870000000000001</v>
      </c>
      <c r="E506" s="464"/>
      <c r="F506" s="464">
        <f t="shared" si="23"/>
        <v>1.1870000000000001</v>
      </c>
      <c r="G506" s="464"/>
      <c r="H506" s="464"/>
      <c r="I506" s="464"/>
    </row>
    <row r="507" spans="1:9" ht="15.75">
      <c r="A507" s="7">
        <f t="shared" si="21"/>
        <v>500</v>
      </c>
      <c r="B507" s="504">
        <v>44729.791677835645</v>
      </c>
      <c r="C507" s="489">
        <f t="shared" si="22"/>
        <v>162.1</v>
      </c>
      <c r="D507" s="489">
        <v>1.621</v>
      </c>
      <c r="E507" s="464"/>
      <c r="F507" s="464">
        <f t="shared" si="23"/>
        <v>1.121</v>
      </c>
      <c r="G507" s="464"/>
      <c r="H507" s="464"/>
      <c r="I507" s="464"/>
    </row>
    <row r="508" spans="1:9" ht="15.75">
      <c r="A508" s="6">
        <f t="shared" si="21"/>
        <v>501</v>
      </c>
      <c r="B508" s="504">
        <v>44729.833344560182</v>
      </c>
      <c r="C508" s="489">
        <f t="shared" si="22"/>
        <v>150.5</v>
      </c>
      <c r="D508" s="489">
        <v>1.5049999999999999</v>
      </c>
      <c r="E508" s="464"/>
      <c r="F508" s="464">
        <f t="shared" si="23"/>
        <v>1.0049999999999999</v>
      </c>
      <c r="G508" s="464"/>
      <c r="H508" s="464"/>
      <c r="I508" s="464"/>
    </row>
    <row r="509" spans="1:9" ht="15.75">
      <c r="A509" s="7">
        <f t="shared" si="21"/>
        <v>502</v>
      </c>
      <c r="B509" s="504">
        <v>44729.875011284719</v>
      </c>
      <c r="C509" s="489">
        <f t="shared" si="22"/>
        <v>125.4</v>
      </c>
      <c r="D509" s="489">
        <v>1.254</v>
      </c>
      <c r="E509" s="464"/>
      <c r="F509" s="464">
        <f t="shared" si="23"/>
        <v>0.754</v>
      </c>
      <c r="G509" s="464"/>
      <c r="H509" s="464"/>
      <c r="I509" s="464"/>
    </row>
    <row r="510" spans="1:9" ht="15.75">
      <c r="A510" s="6">
        <f t="shared" si="21"/>
        <v>503</v>
      </c>
      <c r="B510" s="504">
        <v>44729.916678009256</v>
      </c>
      <c r="C510" s="489">
        <f t="shared" si="22"/>
        <v>101.2</v>
      </c>
      <c r="D510" s="489">
        <v>1.012</v>
      </c>
      <c r="E510" s="464"/>
      <c r="F510" s="464">
        <f t="shared" si="23"/>
        <v>0.51200000000000001</v>
      </c>
      <c r="G510" s="464"/>
      <c r="H510" s="464"/>
      <c r="I510" s="464"/>
    </row>
    <row r="511" spans="1:9" ht="15.75">
      <c r="A511" s="7">
        <f t="shared" si="21"/>
        <v>504</v>
      </c>
      <c r="B511" s="504">
        <v>44729.958344733794</v>
      </c>
      <c r="C511" s="489">
        <f t="shared" si="22"/>
        <v>81.5</v>
      </c>
      <c r="D511" s="489">
        <v>0.81499999999999995</v>
      </c>
      <c r="E511" s="464"/>
      <c r="F511" s="464">
        <f t="shared" si="23"/>
        <v>0.31499999999999995</v>
      </c>
      <c r="G511" s="464"/>
      <c r="H511" s="464"/>
      <c r="I511" s="464"/>
    </row>
    <row r="512" spans="1:9" ht="15.75">
      <c r="A512" s="6">
        <f t="shared" si="21"/>
        <v>505</v>
      </c>
      <c r="B512" s="504">
        <v>44730.000011458331</v>
      </c>
      <c r="C512" s="489">
        <f t="shared" si="22"/>
        <v>68.8</v>
      </c>
      <c r="D512" s="489">
        <v>0.68799999999999994</v>
      </c>
      <c r="E512" s="464"/>
      <c r="F512" s="464">
        <f t="shared" si="23"/>
        <v>0.18799999999999994</v>
      </c>
      <c r="G512" s="464"/>
      <c r="H512" s="464"/>
      <c r="I512" s="464"/>
    </row>
    <row r="513" spans="1:9" ht="15.75">
      <c r="A513" s="7">
        <f t="shared" si="21"/>
        <v>506</v>
      </c>
      <c r="B513" s="504">
        <v>44730.041678182868</v>
      </c>
      <c r="C513" s="489">
        <f t="shared" si="22"/>
        <v>61.5</v>
      </c>
      <c r="D513" s="489">
        <v>0.61499999999999999</v>
      </c>
      <c r="E513" s="464"/>
      <c r="F513" s="464">
        <f t="shared" si="23"/>
        <v>0.11499999999999999</v>
      </c>
      <c r="G513" s="464"/>
      <c r="H513" s="464"/>
      <c r="I513" s="464"/>
    </row>
    <row r="514" spans="1:9" ht="15.75">
      <c r="A514" s="6">
        <f t="shared" si="21"/>
        <v>507</v>
      </c>
      <c r="B514" s="504">
        <v>44730.083344907405</v>
      </c>
      <c r="C514" s="489">
        <f t="shared" si="22"/>
        <v>77.8</v>
      </c>
      <c r="D514" s="489">
        <v>0.77800000000000002</v>
      </c>
      <c r="E514" s="464"/>
      <c r="F514" s="464">
        <f t="shared" si="23"/>
        <v>0.27800000000000002</v>
      </c>
      <c r="G514" s="464"/>
      <c r="H514" s="464"/>
      <c r="I514" s="464"/>
    </row>
    <row r="515" spans="1:9" ht="15.75">
      <c r="A515" s="7">
        <f t="shared" si="21"/>
        <v>508</v>
      </c>
      <c r="B515" s="504">
        <v>44730.125011631942</v>
      </c>
      <c r="C515" s="489">
        <f t="shared" si="22"/>
        <v>111.00000000000001</v>
      </c>
      <c r="D515" s="489">
        <v>1.1100000000000001</v>
      </c>
      <c r="E515" s="464"/>
      <c r="F515" s="464">
        <f t="shared" si="23"/>
        <v>0.6100000000000001</v>
      </c>
      <c r="G515" s="464"/>
      <c r="H515" s="464"/>
      <c r="I515" s="464"/>
    </row>
    <row r="516" spans="1:9" ht="15.75">
      <c r="A516" s="6">
        <f t="shared" si="21"/>
        <v>509</v>
      </c>
      <c r="B516" s="504">
        <v>44730.16667835648</v>
      </c>
      <c r="C516" s="489">
        <f t="shared" si="22"/>
        <v>159.69999999999999</v>
      </c>
      <c r="D516" s="489">
        <v>1.597</v>
      </c>
      <c r="E516" s="464"/>
      <c r="F516" s="464">
        <f t="shared" si="23"/>
        <v>1.097</v>
      </c>
      <c r="G516" s="464"/>
      <c r="H516" s="464"/>
      <c r="I516" s="464"/>
    </row>
    <row r="517" spans="1:9" ht="15.75">
      <c r="A517" s="7">
        <f t="shared" si="21"/>
        <v>510</v>
      </c>
      <c r="B517" s="504">
        <v>44730.208345081017</v>
      </c>
      <c r="C517" s="489">
        <f t="shared" si="22"/>
        <v>208.5</v>
      </c>
      <c r="D517" s="489">
        <v>2.085</v>
      </c>
      <c r="E517" s="464"/>
      <c r="F517" s="464">
        <f t="shared" si="23"/>
        <v>1.585</v>
      </c>
      <c r="G517" s="464"/>
      <c r="H517" s="464"/>
      <c r="I517" s="464"/>
    </row>
    <row r="518" spans="1:9" ht="15.75">
      <c r="A518" s="6">
        <f t="shared" si="21"/>
        <v>511</v>
      </c>
      <c r="B518" s="504">
        <v>44730.250011805554</v>
      </c>
      <c r="C518" s="489">
        <f t="shared" si="22"/>
        <v>246.60000000000002</v>
      </c>
      <c r="D518" s="489">
        <v>2.4660000000000002</v>
      </c>
      <c r="E518" s="464"/>
      <c r="F518" s="464">
        <f t="shared" si="23"/>
        <v>1.9660000000000002</v>
      </c>
      <c r="G518" s="464"/>
      <c r="H518" s="464"/>
      <c r="I518" s="464"/>
    </row>
    <row r="519" spans="1:9" ht="15.75">
      <c r="A519" s="7">
        <f t="shared" si="21"/>
        <v>512</v>
      </c>
      <c r="B519" s="504">
        <v>44730.291678530091</v>
      </c>
      <c r="C519" s="489">
        <f t="shared" si="22"/>
        <v>268.5</v>
      </c>
      <c r="D519" s="489">
        <v>2.6850000000000001</v>
      </c>
      <c r="E519" s="464"/>
      <c r="F519" s="464">
        <f t="shared" si="23"/>
        <v>2.1850000000000001</v>
      </c>
      <c r="G519" s="464"/>
      <c r="H519" s="464"/>
      <c r="I519" s="464"/>
    </row>
    <row r="520" spans="1:9" ht="15.75">
      <c r="A520" s="6">
        <f t="shared" ref="A520:A583" si="24">A519+1</f>
        <v>513</v>
      </c>
      <c r="B520" s="504">
        <v>44730.333345254629</v>
      </c>
      <c r="C520" s="489">
        <f t="shared" si="22"/>
        <v>270.40000000000003</v>
      </c>
      <c r="D520" s="489">
        <v>2.7040000000000002</v>
      </c>
      <c r="E520" s="464"/>
      <c r="F520" s="464">
        <f t="shared" si="23"/>
        <v>2.2040000000000002</v>
      </c>
      <c r="G520" s="464"/>
      <c r="H520" s="464"/>
      <c r="I520" s="464"/>
    </row>
    <row r="521" spans="1:9" ht="15.75">
      <c r="A521" s="7">
        <f t="shared" si="24"/>
        <v>514</v>
      </c>
      <c r="B521" s="504">
        <v>44730.375011979166</v>
      </c>
      <c r="C521" s="489">
        <f t="shared" ref="C521:C584" si="25">D521*100</f>
        <v>264.8</v>
      </c>
      <c r="D521" s="489">
        <v>2.6480000000000001</v>
      </c>
      <c r="E521" s="464"/>
      <c r="F521" s="464">
        <f t="shared" ref="F521:F584" si="26">D521-0.5</f>
        <v>2.1480000000000001</v>
      </c>
      <c r="G521" s="464"/>
      <c r="H521" s="464"/>
      <c r="I521" s="464"/>
    </row>
    <row r="522" spans="1:9" ht="15.75">
      <c r="A522" s="6">
        <f t="shared" si="24"/>
        <v>515</v>
      </c>
      <c r="B522" s="504">
        <v>44730.416678703703</v>
      </c>
      <c r="C522" s="489">
        <f t="shared" si="25"/>
        <v>242.70000000000002</v>
      </c>
      <c r="D522" s="489">
        <v>2.427</v>
      </c>
      <c r="E522" s="464"/>
      <c r="F522" s="464">
        <f t="shared" si="26"/>
        <v>1.927</v>
      </c>
      <c r="G522" s="464"/>
      <c r="H522" s="464"/>
      <c r="I522" s="464"/>
    </row>
    <row r="523" spans="1:9" ht="15.75">
      <c r="A523" s="7">
        <f t="shared" si="24"/>
        <v>516</v>
      </c>
      <c r="B523" s="504">
        <v>44730.45834542824</v>
      </c>
      <c r="C523" s="489">
        <f t="shared" si="25"/>
        <v>208.1</v>
      </c>
      <c r="D523" s="489">
        <v>2.081</v>
      </c>
      <c r="E523" s="464"/>
      <c r="F523" s="464">
        <f t="shared" si="26"/>
        <v>1.581</v>
      </c>
      <c r="G523" s="464"/>
      <c r="H523" s="464"/>
      <c r="I523" s="464"/>
    </row>
    <row r="524" spans="1:9" ht="15.75">
      <c r="A524" s="6">
        <f t="shared" si="24"/>
        <v>517</v>
      </c>
      <c r="B524" s="504">
        <v>44730.500012152777</v>
      </c>
      <c r="C524" s="489">
        <f t="shared" si="25"/>
        <v>178.9</v>
      </c>
      <c r="D524" s="489">
        <v>1.7889999999999999</v>
      </c>
      <c r="E524" s="464"/>
      <c r="F524" s="464">
        <f t="shared" si="26"/>
        <v>1.2889999999999999</v>
      </c>
      <c r="G524" s="464"/>
      <c r="H524" s="464"/>
      <c r="I524" s="464"/>
    </row>
    <row r="525" spans="1:9" ht="15.75">
      <c r="A525" s="7">
        <f t="shared" si="24"/>
        <v>518</v>
      </c>
      <c r="B525" s="504">
        <v>44730.541678819442</v>
      </c>
      <c r="C525" s="489">
        <f t="shared" si="25"/>
        <v>162.79999999999998</v>
      </c>
      <c r="D525" s="489">
        <v>1.6279999999999999</v>
      </c>
      <c r="E525" s="464"/>
      <c r="F525" s="464">
        <f t="shared" si="26"/>
        <v>1.1279999999999999</v>
      </c>
      <c r="G525" s="464"/>
      <c r="H525" s="464"/>
      <c r="I525" s="464"/>
    </row>
    <row r="526" spans="1:9" ht="15.75">
      <c r="A526" s="6">
        <f t="shared" si="24"/>
        <v>519</v>
      </c>
      <c r="B526" s="504">
        <v>44730.583345543979</v>
      </c>
      <c r="C526" s="489">
        <f t="shared" si="25"/>
        <v>146.69999999999999</v>
      </c>
      <c r="D526" s="489">
        <v>1.4669999999999999</v>
      </c>
      <c r="E526" s="464"/>
      <c r="F526" s="464">
        <f t="shared" si="26"/>
        <v>0.96699999999999986</v>
      </c>
      <c r="G526" s="464"/>
      <c r="H526" s="464"/>
      <c r="I526" s="464"/>
    </row>
    <row r="527" spans="1:9" ht="15.75">
      <c r="A527" s="7">
        <f t="shared" si="24"/>
        <v>520</v>
      </c>
      <c r="B527" s="504">
        <v>44730.625012268516</v>
      </c>
      <c r="C527" s="489">
        <f t="shared" si="25"/>
        <v>144.5</v>
      </c>
      <c r="D527" s="489">
        <v>1.4450000000000001</v>
      </c>
      <c r="E527" s="464"/>
      <c r="F527" s="464">
        <f t="shared" si="26"/>
        <v>0.94500000000000006</v>
      </c>
      <c r="G527" s="464"/>
      <c r="H527" s="464"/>
      <c r="I527" s="464"/>
    </row>
    <row r="528" spans="1:9" ht="15.75">
      <c r="A528" s="6">
        <f t="shared" si="24"/>
        <v>521</v>
      </c>
      <c r="B528" s="504">
        <v>44730.666678993053</v>
      </c>
      <c r="C528" s="489">
        <f t="shared" si="25"/>
        <v>151.5</v>
      </c>
      <c r="D528" s="489">
        <v>1.5149999999999999</v>
      </c>
      <c r="E528" s="464"/>
      <c r="F528" s="464">
        <f t="shared" si="26"/>
        <v>1.0149999999999999</v>
      </c>
      <c r="G528" s="464"/>
      <c r="H528" s="464"/>
      <c r="I528" s="464"/>
    </row>
    <row r="529" spans="1:9" ht="15.75">
      <c r="A529" s="7">
        <f t="shared" si="24"/>
        <v>522</v>
      </c>
      <c r="B529" s="504">
        <v>44730.70834571759</v>
      </c>
      <c r="C529" s="489">
        <f t="shared" si="25"/>
        <v>162.20000000000002</v>
      </c>
      <c r="D529" s="489">
        <v>1.6220000000000001</v>
      </c>
      <c r="E529" s="464"/>
      <c r="F529" s="464">
        <f t="shared" si="26"/>
        <v>1.1220000000000001</v>
      </c>
      <c r="G529" s="464"/>
      <c r="H529" s="464"/>
      <c r="I529" s="464"/>
    </row>
    <row r="530" spans="1:9" ht="15.75">
      <c r="A530" s="6">
        <f t="shared" si="24"/>
        <v>523</v>
      </c>
      <c r="B530" s="504">
        <v>44730.750012442128</v>
      </c>
      <c r="C530" s="489">
        <f t="shared" si="25"/>
        <v>171.2</v>
      </c>
      <c r="D530" s="489">
        <v>1.712</v>
      </c>
      <c r="E530" s="464"/>
      <c r="F530" s="464">
        <f t="shared" si="26"/>
        <v>1.212</v>
      </c>
      <c r="G530" s="464"/>
      <c r="H530" s="464"/>
      <c r="I530" s="464"/>
    </row>
    <row r="531" spans="1:9" ht="15.75">
      <c r="A531" s="7">
        <f t="shared" si="24"/>
        <v>524</v>
      </c>
      <c r="B531" s="504">
        <v>44730.791679166665</v>
      </c>
      <c r="C531" s="489">
        <f t="shared" si="25"/>
        <v>173.4</v>
      </c>
      <c r="D531" s="489">
        <v>1.734</v>
      </c>
      <c r="E531" s="464"/>
      <c r="F531" s="464">
        <f t="shared" si="26"/>
        <v>1.234</v>
      </c>
      <c r="G531" s="464"/>
      <c r="H531" s="464"/>
      <c r="I531" s="464"/>
    </row>
    <row r="532" spans="1:9" ht="15.75">
      <c r="A532" s="6">
        <f t="shared" si="24"/>
        <v>525</v>
      </c>
      <c r="B532" s="504">
        <v>44730.833345891202</v>
      </c>
      <c r="C532" s="489">
        <f t="shared" si="25"/>
        <v>165.79999999999998</v>
      </c>
      <c r="D532" s="489">
        <v>1.6579999999999999</v>
      </c>
      <c r="E532" s="464"/>
      <c r="F532" s="464">
        <f t="shared" si="26"/>
        <v>1.1579999999999999</v>
      </c>
      <c r="G532" s="464"/>
      <c r="H532" s="464"/>
      <c r="I532" s="464"/>
    </row>
    <row r="533" spans="1:9" ht="15.75">
      <c r="A533" s="7">
        <f t="shared" si="24"/>
        <v>526</v>
      </c>
      <c r="B533" s="504">
        <v>44730.875012615739</v>
      </c>
      <c r="C533" s="489">
        <f t="shared" si="25"/>
        <v>150</v>
      </c>
      <c r="D533" s="489">
        <v>1.5</v>
      </c>
      <c r="E533" s="464"/>
      <c r="F533" s="464">
        <f t="shared" si="26"/>
        <v>1</v>
      </c>
      <c r="G533" s="464"/>
      <c r="H533" s="464"/>
      <c r="I533" s="464"/>
    </row>
    <row r="534" spans="1:9" ht="15.75">
      <c r="A534" s="6">
        <f t="shared" si="24"/>
        <v>527</v>
      </c>
      <c r="B534" s="504">
        <v>44730.916679340276</v>
      </c>
      <c r="C534" s="489">
        <f t="shared" si="25"/>
        <v>129.1</v>
      </c>
      <c r="D534" s="489">
        <v>1.2909999999999999</v>
      </c>
      <c r="E534" s="464"/>
      <c r="F534" s="464">
        <f t="shared" si="26"/>
        <v>0.79099999999999993</v>
      </c>
      <c r="G534" s="464"/>
      <c r="H534" s="464"/>
      <c r="I534" s="464"/>
    </row>
    <row r="535" spans="1:9" ht="15.75">
      <c r="A535" s="7">
        <f t="shared" si="24"/>
        <v>528</v>
      </c>
      <c r="B535" s="504">
        <v>44730.958346064814</v>
      </c>
      <c r="C535" s="489">
        <f t="shared" si="25"/>
        <v>105.80000000000001</v>
      </c>
      <c r="D535" s="489">
        <v>1.0580000000000001</v>
      </c>
      <c r="E535" s="464"/>
      <c r="F535" s="464">
        <f t="shared" si="26"/>
        <v>0.55800000000000005</v>
      </c>
      <c r="G535" s="464"/>
      <c r="H535" s="464"/>
      <c r="I535" s="464"/>
    </row>
    <row r="536" spans="1:9" ht="15.75">
      <c r="A536" s="6">
        <f t="shared" si="24"/>
        <v>529</v>
      </c>
      <c r="B536" s="504">
        <v>44731.000012789351</v>
      </c>
      <c r="C536" s="489">
        <f t="shared" si="25"/>
        <v>83.399999999999991</v>
      </c>
      <c r="D536" s="489">
        <v>0.83399999999999996</v>
      </c>
      <c r="E536" s="464"/>
      <c r="F536" s="464">
        <f t="shared" si="26"/>
        <v>0.33399999999999996</v>
      </c>
      <c r="G536" s="464"/>
      <c r="H536" s="464"/>
      <c r="I536" s="464"/>
    </row>
    <row r="537" spans="1:9" ht="15.75">
      <c r="A537" s="7">
        <f t="shared" si="24"/>
        <v>530</v>
      </c>
      <c r="B537" s="504">
        <v>44731.041679513888</v>
      </c>
      <c r="C537" s="489">
        <f t="shared" si="25"/>
        <v>71.2</v>
      </c>
      <c r="D537" s="489">
        <v>0.71199999999999997</v>
      </c>
      <c r="E537" s="464"/>
      <c r="F537" s="464">
        <f t="shared" si="26"/>
        <v>0.21199999999999997</v>
      </c>
      <c r="G537" s="464"/>
      <c r="H537" s="464"/>
      <c r="I537" s="464"/>
    </row>
    <row r="538" spans="1:9" ht="15.75">
      <c r="A538" s="6">
        <f t="shared" si="24"/>
        <v>531</v>
      </c>
      <c r="B538" s="504">
        <v>44731.083346238425</v>
      </c>
      <c r="C538" s="489">
        <f t="shared" si="25"/>
        <v>72.8</v>
      </c>
      <c r="D538" s="489">
        <v>0.72799999999999998</v>
      </c>
      <c r="E538" s="464"/>
      <c r="F538" s="464">
        <f t="shared" si="26"/>
        <v>0.22799999999999998</v>
      </c>
      <c r="G538" s="464"/>
      <c r="H538" s="464"/>
      <c r="I538" s="464"/>
    </row>
    <row r="539" spans="1:9" ht="15.75">
      <c r="A539" s="7">
        <f t="shared" si="24"/>
        <v>532</v>
      </c>
      <c r="B539" s="504">
        <v>44731.125012962963</v>
      </c>
      <c r="C539" s="489">
        <f t="shared" si="25"/>
        <v>91</v>
      </c>
      <c r="D539" s="489">
        <v>0.91</v>
      </c>
      <c r="E539" s="464"/>
      <c r="F539" s="464">
        <f t="shared" si="26"/>
        <v>0.41000000000000003</v>
      </c>
      <c r="G539" s="464"/>
      <c r="H539" s="464"/>
      <c r="I539" s="464"/>
    </row>
    <row r="540" spans="1:9" ht="15.75">
      <c r="A540" s="6">
        <f t="shared" si="24"/>
        <v>533</v>
      </c>
      <c r="B540" s="504">
        <v>44731.1666796875</v>
      </c>
      <c r="C540" s="489">
        <f t="shared" si="25"/>
        <v>126.8</v>
      </c>
      <c r="D540" s="489">
        <v>1.268</v>
      </c>
      <c r="E540" s="464"/>
      <c r="F540" s="464">
        <f t="shared" si="26"/>
        <v>0.76800000000000002</v>
      </c>
      <c r="G540" s="464"/>
      <c r="H540" s="464"/>
      <c r="I540" s="464"/>
    </row>
    <row r="541" spans="1:9" ht="15.75">
      <c r="A541" s="7">
        <f t="shared" si="24"/>
        <v>534</v>
      </c>
      <c r="B541" s="504">
        <v>44731.208346412037</v>
      </c>
      <c r="C541" s="489">
        <f t="shared" si="25"/>
        <v>176.5</v>
      </c>
      <c r="D541" s="489">
        <v>1.7649999999999999</v>
      </c>
      <c r="E541" s="464"/>
      <c r="F541" s="464">
        <f t="shared" si="26"/>
        <v>1.2649999999999999</v>
      </c>
      <c r="G541" s="464"/>
      <c r="H541" s="464"/>
      <c r="I541" s="464"/>
    </row>
    <row r="542" spans="1:9" ht="15.75">
      <c r="A542" s="6">
        <f t="shared" si="24"/>
        <v>535</v>
      </c>
      <c r="B542" s="504">
        <v>44731.250013136574</v>
      </c>
      <c r="C542" s="489">
        <f t="shared" si="25"/>
        <v>219.70000000000002</v>
      </c>
      <c r="D542" s="489">
        <v>2.1970000000000001</v>
      </c>
      <c r="E542" s="464"/>
      <c r="F542" s="464">
        <f t="shared" si="26"/>
        <v>1.6970000000000001</v>
      </c>
      <c r="G542" s="464"/>
      <c r="H542" s="464"/>
      <c r="I542" s="464"/>
    </row>
    <row r="543" spans="1:9" ht="15.75">
      <c r="A543" s="7">
        <f t="shared" si="24"/>
        <v>536</v>
      </c>
      <c r="B543" s="504">
        <v>44731.291679861111</v>
      </c>
      <c r="C543" s="489">
        <f t="shared" si="25"/>
        <v>253.2</v>
      </c>
      <c r="D543" s="489">
        <v>2.532</v>
      </c>
      <c r="E543" s="464"/>
      <c r="F543" s="464">
        <f t="shared" si="26"/>
        <v>2.032</v>
      </c>
      <c r="G543" s="464"/>
      <c r="H543" s="464"/>
      <c r="I543" s="464"/>
    </row>
    <row r="544" spans="1:9" ht="15.75">
      <c r="A544" s="6">
        <f t="shared" si="24"/>
        <v>537</v>
      </c>
      <c r="B544" s="504">
        <v>44731.333346585649</v>
      </c>
      <c r="C544" s="489">
        <f t="shared" si="25"/>
        <v>264.2</v>
      </c>
      <c r="D544" s="489">
        <v>2.6419999999999999</v>
      </c>
      <c r="E544" s="464"/>
      <c r="F544" s="464">
        <f t="shared" si="26"/>
        <v>2.1419999999999999</v>
      </c>
      <c r="G544" s="464"/>
      <c r="H544" s="464"/>
      <c r="I544" s="464"/>
    </row>
    <row r="545" spans="1:9" ht="15.75">
      <c r="A545" s="7">
        <f t="shared" si="24"/>
        <v>538</v>
      </c>
      <c r="B545" s="504">
        <v>44731.375013310186</v>
      </c>
      <c r="C545" s="489">
        <f t="shared" si="25"/>
        <v>258</v>
      </c>
      <c r="D545" s="489">
        <v>2.58</v>
      </c>
      <c r="E545" s="464"/>
      <c r="F545" s="464">
        <f t="shared" si="26"/>
        <v>2.08</v>
      </c>
      <c r="G545" s="464"/>
      <c r="H545" s="464"/>
      <c r="I545" s="464"/>
    </row>
    <row r="546" spans="1:9" ht="15.75">
      <c r="A546" s="6">
        <f t="shared" si="24"/>
        <v>539</v>
      </c>
      <c r="B546" s="504">
        <v>44731.416680034723</v>
      </c>
      <c r="C546" s="489">
        <f t="shared" si="25"/>
        <v>244.3</v>
      </c>
      <c r="D546" s="489">
        <v>2.4430000000000001</v>
      </c>
      <c r="E546" s="464"/>
      <c r="F546" s="464">
        <f t="shared" si="26"/>
        <v>1.9430000000000001</v>
      </c>
      <c r="G546" s="464"/>
      <c r="H546" s="464"/>
      <c r="I546" s="464"/>
    </row>
    <row r="547" spans="1:9" ht="15.75">
      <c r="A547" s="7">
        <f t="shared" si="24"/>
        <v>540</v>
      </c>
      <c r="B547" s="504">
        <v>44731.45834675926</v>
      </c>
      <c r="C547" s="489">
        <f t="shared" si="25"/>
        <v>217.1</v>
      </c>
      <c r="D547" s="489">
        <v>2.1709999999999998</v>
      </c>
      <c r="E547" s="464"/>
      <c r="F547" s="464">
        <f t="shared" si="26"/>
        <v>1.6709999999999998</v>
      </c>
      <c r="G547" s="464"/>
      <c r="H547" s="464"/>
      <c r="I547" s="464"/>
    </row>
    <row r="548" spans="1:9" ht="15.75">
      <c r="A548" s="6">
        <f t="shared" si="24"/>
        <v>541</v>
      </c>
      <c r="B548" s="504">
        <v>44731.500013483797</v>
      </c>
      <c r="C548" s="489">
        <f t="shared" si="25"/>
        <v>189.7</v>
      </c>
      <c r="D548" s="489">
        <v>1.897</v>
      </c>
      <c r="E548" s="464"/>
      <c r="F548" s="464">
        <f t="shared" si="26"/>
        <v>1.397</v>
      </c>
      <c r="G548" s="464"/>
      <c r="H548" s="464"/>
      <c r="I548" s="464"/>
    </row>
    <row r="549" spans="1:9" ht="15.75">
      <c r="A549" s="7">
        <f t="shared" si="24"/>
        <v>542</v>
      </c>
      <c r="B549" s="504">
        <v>44731.541680208335</v>
      </c>
      <c r="C549" s="489">
        <f t="shared" si="25"/>
        <v>165.6</v>
      </c>
      <c r="D549" s="489">
        <v>1.6559999999999999</v>
      </c>
      <c r="E549" s="464"/>
      <c r="F549" s="464">
        <f t="shared" si="26"/>
        <v>1.1559999999999999</v>
      </c>
      <c r="G549" s="464"/>
      <c r="H549" s="464"/>
      <c r="I549" s="464"/>
    </row>
    <row r="550" spans="1:9" ht="15.75">
      <c r="A550" s="6">
        <f t="shared" si="24"/>
        <v>543</v>
      </c>
      <c r="B550" s="504">
        <v>44731.583346932872</v>
      </c>
      <c r="C550" s="489">
        <f t="shared" si="25"/>
        <v>147.9</v>
      </c>
      <c r="D550" s="489">
        <v>1.4790000000000001</v>
      </c>
      <c r="E550" s="464"/>
      <c r="F550" s="464">
        <f t="shared" si="26"/>
        <v>0.97900000000000009</v>
      </c>
      <c r="G550" s="464"/>
      <c r="H550" s="464"/>
      <c r="I550" s="464"/>
    </row>
    <row r="551" spans="1:9" ht="15.75">
      <c r="A551" s="7">
        <f t="shared" si="24"/>
        <v>544</v>
      </c>
      <c r="B551" s="504">
        <v>44731.625013657409</v>
      </c>
      <c r="C551" s="489">
        <f t="shared" si="25"/>
        <v>140.5</v>
      </c>
      <c r="D551" s="489">
        <v>1.405</v>
      </c>
      <c r="E551" s="464"/>
      <c r="F551" s="464">
        <f t="shared" si="26"/>
        <v>0.90500000000000003</v>
      </c>
      <c r="G551" s="464"/>
      <c r="H551" s="464"/>
      <c r="I551" s="464"/>
    </row>
    <row r="552" spans="1:9" ht="15.75">
      <c r="A552" s="6">
        <f t="shared" si="24"/>
        <v>545</v>
      </c>
      <c r="B552" s="504">
        <v>44731.666680381946</v>
      </c>
      <c r="C552" s="489">
        <f t="shared" si="25"/>
        <v>146.70000000000002</v>
      </c>
      <c r="D552" s="489">
        <v>1.4670000000000001</v>
      </c>
      <c r="E552" s="464"/>
      <c r="F552" s="464">
        <f t="shared" si="26"/>
        <v>0.96700000000000008</v>
      </c>
      <c r="G552" s="464"/>
      <c r="H552" s="464"/>
      <c r="I552" s="464"/>
    </row>
    <row r="553" spans="1:9" ht="15.75">
      <c r="A553" s="7">
        <f t="shared" si="24"/>
        <v>546</v>
      </c>
      <c r="B553" s="504">
        <v>44731.708347106483</v>
      </c>
      <c r="C553" s="489">
        <f t="shared" si="25"/>
        <v>160.80000000000001</v>
      </c>
      <c r="D553" s="489">
        <v>1.6080000000000001</v>
      </c>
      <c r="E553" s="464"/>
      <c r="F553" s="464">
        <f t="shared" si="26"/>
        <v>1.1080000000000001</v>
      </c>
      <c r="G553" s="464"/>
      <c r="H553" s="464"/>
      <c r="I553" s="464"/>
    </row>
    <row r="554" spans="1:9" ht="15.75">
      <c r="A554" s="6">
        <f t="shared" si="24"/>
        <v>547</v>
      </c>
      <c r="B554" s="504">
        <v>44731.750013831021</v>
      </c>
      <c r="C554" s="489">
        <f t="shared" si="25"/>
        <v>174.70000000000002</v>
      </c>
      <c r="D554" s="489">
        <v>1.7470000000000001</v>
      </c>
      <c r="E554" s="464"/>
      <c r="F554" s="464">
        <f t="shared" si="26"/>
        <v>1.2470000000000001</v>
      </c>
      <c r="G554" s="464"/>
      <c r="H554" s="464"/>
      <c r="I554" s="464"/>
    </row>
    <row r="555" spans="1:9" ht="15.75">
      <c r="A555" s="7">
        <f t="shared" si="24"/>
        <v>548</v>
      </c>
      <c r="B555" s="504">
        <v>44731.791680555558</v>
      </c>
      <c r="C555" s="489">
        <f t="shared" si="25"/>
        <v>182.4</v>
      </c>
      <c r="D555" s="489">
        <v>1.8240000000000001</v>
      </c>
      <c r="E555" s="464"/>
      <c r="F555" s="464">
        <f t="shared" si="26"/>
        <v>1.3240000000000001</v>
      </c>
      <c r="G555" s="464"/>
      <c r="H555" s="464"/>
      <c r="I555" s="464"/>
    </row>
    <row r="556" spans="1:9" ht="15.75">
      <c r="A556" s="6">
        <f t="shared" si="24"/>
        <v>549</v>
      </c>
      <c r="B556" s="504">
        <v>44731.833347280095</v>
      </c>
      <c r="C556" s="489">
        <f t="shared" si="25"/>
        <v>182.1</v>
      </c>
      <c r="D556" s="489">
        <v>1.821</v>
      </c>
      <c r="E556" s="464"/>
      <c r="F556" s="464">
        <f t="shared" si="26"/>
        <v>1.321</v>
      </c>
      <c r="G556" s="464"/>
      <c r="H556" s="464"/>
      <c r="I556" s="464"/>
    </row>
    <row r="557" spans="1:9" ht="15.75">
      <c r="A557" s="7">
        <f t="shared" si="24"/>
        <v>550</v>
      </c>
      <c r="B557" s="504">
        <v>44731.875014004632</v>
      </c>
      <c r="C557" s="489">
        <f t="shared" si="25"/>
        <v>168.3</v>
      </c>
      <c r="D557" s="489">
        <v>1.6830000000000001</v>
      </c>
      <c r="E557" s="464"/>
      <c r="F557" s="464">
        <f t="shared" si="26"/>
        <v>1.1830000000000001</v>
      </c>
      <c r="G557" s="464"/>
      <c r="H557" s="464"/>
      <c r="I557" s="464"/>
    </row>
    <row r="558" spans="1:9" ht="15.75">
      <c r="A558" s="6">
        <f t="shared" si="24"/>
        <v>551</v>
      </c>
      <c r="B558" s="504">
        <v>44731.916680729169</v>
      </c>
      <c r="C558" s="489">
        <f t="shared" si="25"/>
        <v>148.5</v>
      </c>
      <c r="D558" s="489">
        <v>1.4850000000000001</v>
      </c>
      <c r="E558" s="464"/>
      <c r="F558" s="464">
        <f t="shared" si="26"/>
        <v>0.9850000000000001</v>
      </c>
      <c r="G558" s="464"/>
      <c r="H558" s="464"/>
      <c r="I558" s="464"/>
    </row>
    <row r="559" spans="1:9" ht="15.75">
      <c r="A559" s="7">
        <f t="shared" si="24"/>
        <v>552</v>
      </c>
      <c r="B559" s="504">
        <v>44731.958347453707</v>
      </c>
      <c r="C559" s="489">
        <f t="shared" si="25"/>
        <v>128.69999999999999</v>
      </c>
      <c r="D559" s="489">
        <v>1.2869999999999999</v>
      </c>
      <c r="E559" s="464"/>
      <c r="F559" s="464">
        <f t="shared" si="26"/>
        <v>0.78699999999999992</v>
      </c>
      <c r="G559" s="464"/>
      <c r="H559" s="464"/>
      <c r="I559" s="464"/>
    </row>
    <row r="560" spans="1:9" ht="15.75">
      <c r="A560" s="6">
        <f t="shared" si="24"/>
        <v>553</v>
      </c>
      <c r="B560" s="504">
        <v>44732.000014178244</v>
      </c>
      <c r="C560" s="489">
        <f t="shared" si="25"/>
        <v>111.80000000000001</v>
      </c>
      <c r="D560" s="489">
        <v>1.1180000000000001</v>
      </c>
      <c r="E560" s="464"/>
      <c r="F560" s="464">
        <f t="shared" si="26"/>
        <v>0.6180000000000001</v>
      </c>
      <c r="G560" s="464"/>
      <c r="H560" s="464"/>
      <c r="I560" s="464"/>
    </row>
    <row r="561" spans="1:9" ht="15.75">
      <c r="A561" s="7">
        <f t="shared" si="24"/>
        <v>554</v>
      </c>
      <c r="B561" s="504">
        <v>44732.041680902781</v>
      </c>
      <c r="C561" s="489">
        <f t="shared" si="25"/>
        <v>93.899999999999991</v>
      </c>
      <c r="D561" s="489">
        <v>0.93899999999999995</v>
      </c>
      <c r="E561" s="464"/>
      <c r="F561" s="464">
        <f t="shared" si="26"/>
        <v>0.43899999999999995</v>
      </c>
      <c r="G561" s="464"/>
      <c r="H561" s="464"/>
      <c r="I561" s="464"/>
    </row>
    <row r="562" spans="1:9" ht="15.75">
      <c r="A562" s="6">
        <f t="shared" si="24"/>
        <v>555</v>
      </c>
      <c r="B562" s="504">
        <v>44732.083347627318</v>
      </c>
      <c r="C562" s="489">
        <f t="shared" si="25"/>
        <v>89.2</v>
      </c>
      <c r="D562" s="489">
        <v>0.89200000000000002</v>
      </c>
      <c r="E562" s="464"/>
      <c r="F562" s="464">
        <f t="shared" si="26"/>
        <v>0.39200000000000002</v>
      </c>
      <c r="G562" s="464"/>
      <c r="H562" s="464"/>
      <c r="I562" s="464"/>
    </row>
    <row r="563" spans="1:9" ht="15.75">
      <c r="A563" s="7">
        <f t="shared" si="24"/>
        <v>556</v>
      </c>
      <c r="B563" s="504">
        <v>44732.125014351848</v>
      </c>
      <c r="C563" s="489">
        <f t="shared" si="25"/>
        <v>97.3</v>
      </c>
      <c r="D563" s="489">
        <v>0.97299999999999998</v>
      </c>
      <c r="E563" s="464"/>
      <c r="F563" s="464">
        <f t="shared" si="26"/>
        <v>0.47299999999999998</v>
      </c>
      <c r="G563" s="464"/>
      <c r="H563" s="464"/>
      <c r="I563" s="464"/>
    </row>
    <row r="564" spans="1:9" ht="15.75">
      <c r="A564" s="6">
        <f t="shared" si="24"/>
        <v>557</v>
      </c>
      <c r="B564" s="504">
        <v>44732.166681076385</v>
      </c>
      <c r="C564" s="489">
        <f t="shared" si="25"/>
        <v>118.6</v>
      </c>
      <c r="D564" s="489">
        <v>1.1859999999999999</v>
      </c>
      <c r="E564" s="464"/>
      <c r="F564" s="464">
        <f t="shared" si="26"/>
        <v>0.68599999999999994</v>
      </c>
      <c r="G564" s="464"/>
      <c r="H564" s="464"/>
      <c r="I564" s="464"/>
    </row>
    <row r="565" spans="1:9" ht="15.75">
      <c r="A565" s="7">
        <f t="shared" si="24"/>
        <v>558</v>
      </c>
      <c r="B565" s="504">
        <v>44732.208347800923</v>
      </c>
      <c r="C565" s="489">
        <f t="shared" si="25"/>
        <v>152.4</v>
      </c>
      <c r="D565" s="489">
        <v>1.524</v>
      </c>
      <c r="E565" s="464"/>
      <c r="F565" s="464">
        <f t="shared" si="26"/>
        <v>1.024</v>
      </c>
      <c r="G565" s="464"/>
      <c r="H565" s="464"/>
      <c r="I565" s="464"/>
    </row>
    <row r="566" spans="1:9" ht="15.75">
      <c r="A566" s="6">
        <f t="shared" si="24"/>
        <v>559</v>
      </c>
      <c r="B566" s="504">
        <v>44732.25001452546</v>
      </c>
      <c r="C566" s="489">
        <f t="shared" si="25"/>
        <v>195.9</v>
      </c>
      <c r="D566" s="489">
        <v>1.9590000000000001</v>
      </c>
      <c r="E566" s="464"/>
      <c r="F566" s="464">
        <f t="shared" si="26"/>
        <v>1.4590000000000001</v>
      </c>
      <c r="G566" s="464"/>
      <c r="H566" s="464"/>
      <c r="I566" s="464"/>
    </row>
    <row r="567" spans="1:9" ht="15.75">
      <c r="A567" s="7">
        <f t="shared" si="24"/>
        <v>560</v>
      </c>
      <c r="B567" s="504">
        <v>44732.291681249997</v>
      </c>
      <c r="C567" s="489">
        <f t="shared" si="25"/>
        <v>232.10000000000002</v>
      </c>
      <c r="D567" s="489">
        <v>2.3210000000000002</v>
      </c>
      <c r="E567" s="464"/>
      <c r="F567" s="464">
        <f t="shared" si="26"/>
        <v>1.8210000000000002</v>
      </c>
      <c r="G567" s="464"/>
      <c r="H567" s="464"/>
      <c r="I567" s="464"/>
    </row>
    <row r="568" spans="1:9" ht="15.75">
      <c r="A568" s="6">
        <f t="shared" si="24"/>
        <v>561</v>
      </c>
      <c r="B568" s="504">
        <v>44732.333347974534</v>
      </c>
      <c r="C568" s="489">
        <f t="shared" si="25"/>
        <v>250.4</v>
      </c>
      <c r="D568" s="489">
        <v>2.504</v>
      </c>
      <c r="E568" s="464"/>
      <c r="F568" s="464">
        <f t="shared" si="26"/>
        <v>2.004</v>
      </c>
      <c r="G568" s="464"/>
      <c r="H568" s="464"/>
      <c r="I568" s="464"/>
    </row>
    <row r="569" spans="1:9" ht="15.75">
      <c r="A569" s="7">
        <f t="shared" si="24"/>
        <v>562</v>
      </c>
      <c r="B569" s="504">
        <v>44732.375014699071</v>
      </c>
      <c r="C569" s="489">
        <f t="shared" si="25"/>
        <v>250.1</v>
      </c>
      <c r="D569" s="489">
        <v>2.5009999999999999</v>
      </c>
      <c r="E569" s="464"/>
      <c r="F569" s="464">
        <f t="shared" si="26"/>
        <v>2.0009999999999999</v>
      </c>
      <c r="G569" s="464"/>
      <c r="H569" s="464"/>
      <c r="I569" s="464"/>
    </row>
    <row r="570" spans="1:9" ht="15.75">
      <c r="A570" s="6">
        <f t="shared" si="24"/>
        <v>563</v>
      </c>
      <c r="B570" s="504">
        <v>44732.416681423609</v>
      </c>
      <c r="C570" s="489">
        <f t="shared" si="25"/>
        <v>241.1</v>
      </c>
      <c r="D570" s="489">
        <v>2.411</v>
      </c>
      <c r="E570" s="464"/>
      <c r="F570" s="464">
        <f t="shared" si="26"/>
        <v>1.911</v>
      </c>
      <c r="G570" s="464"/>
      <c r="H570" s="464"/>
      <c r="I570" s="464"/>
    </row>
    <row r="571" spans="1:9" ht="15.75">
      <c r="A571" s="7">
        <f t="shared" si="24"/>
        <v>564</v>
      </c>
      <c r="B571" s="504">
        <v>44732.458348148146</v>
      </c>
      <c r="C571" s="489">
        <f t="shared" si="25"/>
        <v>223.8</v>
      </c>
      <c r="D571" s="489">
        <v>2.238</v>
      </c>
      <c r="E571" s="464"/>
      <c r="F571" s="464">
        <f t="shared" si="26"/>
        <v>1.738</v>
      </c>
      <c r="G571" s="464"/>
      <c r="H571" s="464"/>
      <c r="I571" s="464"/>
    </row>
    <row r="572" spans="1:9" ht="15.75">
      <c r="A572" s="6">
        <f t="shared" si="24"/>
        <v>565</v>
      </c>
      <c r="B572" s="504">
        <v>44732.500014872683</v>
      </c>
      <c r="C572" s="489">
        <f t="shared" si="25"/>
        <v>199.8</v>
      </c>
      <c r="D572" s="489">
        <v>1.998</v>
      </c>
      <c r="E572" s="464"/>
      <c r="F572" s="464">
        <f t="shared" si="26"/>
        <v>1.498</v>
      </c>
      <c r="G572" s="464"/>
      <c r="H572" s="464"/>
      <c r="I572" s="464"/>
    </row>
    <row r="573" spans="1:9" ht="15.75">
      <c r="A573" s="7">
        <f t="shared" si="24"/>
        <v>566</v>
      </c>
      <c r="B573" s="504">
        <v>44732.54168159722</v>
      </c>
      <c r="C573" s="489">
        <f t="shared" si="25"/>
        <v>176.6</v>
      </c>
      <c r="D573" s="489">
        <v>1.766</v>
      </c>
      <c r="E573" s="464"/>
      <c r="F573" s="464">
        <f t="shared" si="26"/>
        <v>1.266</v>
      </c>
      <c r="G573" s="464"/>
      <c r="H573" s="464"/>
      <c r="I573" s="464"/>
    </row>
    <row r="574" spans="1:9" ht="15.75">
      <c r="A574" s="6">
        <f t="shared" si="24"/>
        <v>567</v>
      </c>
      <c r="B574" s="504">
        <v>44732.583348321758</v>
      </c>
      <c r="C574" s="489">
        <f t="shared" si="25"/>
        <v>155</v>
      </c>
      <c r="D574" s="489">
        <v>1.55</v>
      </c>
      <c r="E574" s="464"/>
      <c r="F574" s="464">
        <f t="shared" si="26"/>
        <v>1.05</v>
      </c>
      <c r="G574" s="464"/>
      <c r="H574" s="464"/>
      <c r="I574" s="464"/>
    </row>
    <row r="575" spans="1:9" ht="15.75">
      <c r="A575" s="7">
        <f t="shared" si="24"/>
        <v>568</v>
      </c>
      <c r="B575" s="504">
        <v>44732.625015046295</v>
      </c>
      <c r="C575" s="489">
        <f t="shared" si="25"/>
        <v>140.69999999999999</v>
      </c>
      <c r="D575" s="489">
        <v>1.407</v>
      </c>
      <c r="E575" s="464"/>
      <c r="F575" s="464">
        <f t="shared" si="26"/>
        <v>0.90700000000000003</v>
      </c>
      <c r="G575" s="464"/>
      <c r="H575" s="464"/>
      <c r="I575" s="464"/>
    </row>
    <row r="576" spans="1:9" ht="15.75">
      <c r="A576" s="6">
        <f t="shared" si="24"/>
        <v>569</v>
      </c>
      <c r="B576" s="504">
        <v>44732.666681770832</v>
      </c>
      <c r="C576" s="489">
        <f t="shared" si="25"/>
        <v>141.4</v>
      </c>
      <c r="D576" s="489">
        <v>1.4139999999999999</v>
      </c>
      <c r="E576" s="464"/>
      <c r="F576" s="464">
        <f t="shared" si="26"/>
        <v>0.91399999999999992</v>
      </c>
      <c r="G576" s="464"/>
      <c r="H576" s="464"/>
      <c r="I576" s="464"/>
    </row>
    <row r="577" spans="1:9" ht="15.75">
      <c r="A577" s="7">
        <f t="shared" si="24"/>
        <v>570</v>
      </c>
      <c r="B577" s="504">
        <v>44732.708348495369</v>
      </c>
      <c r="C577" s="489">
        <f t="shared" si="25"/>
        <v>154.5</v>
      </c>
      <c r="D577" s="489">
        <v>1.5449999999999999</v>
      </c>
      <c r="E577" s="464"/>
      <c r="F577" s="464">
        <f t="shared" si="26"/>
        <v>1.0449999999999999</v>
      </c>
      <c r="G577" s="464"/>
      <c r="H577" s="464"/>
      <c r="I577" s="464"/>
    </row>
    <row r="578" spans="1:9" ht="15.75">
      <c r="A578" s="6">
        <f t="shared" si="24"/>
        <v>571</v>
      </c>
      <c r="B578" s="504">
        <v>44732.750015219906</v>
      </c>
      <c r="C578" s="489">
        <f t="shared" si="25"/>
        <v>170</v>
      </c>
      <c r="D578" s="489">
        <v>1.7</v>
      </c>
      <c r="E578" s="464"/>
      <c r="F578" s="464">
        <f t="shared" si="26"/>
        <v>1.2</v>
      </c>
      <c r="G578" s="464"/>
      <c r="H578" s="464"/>
      <c r="I578" s="464"/>
    </row>
    <row r="579" spans="1:9" ht="15.75">
      <c r="A579" s="7">
        <f t="shared" si="24"/>
        <v>572</v>
      </c>
      <c r="B579" s="504">
        <v>44732.791681944444</v>
      </c>
      <c r="C579" s="489">
        <f t="shared" si="25"/>
        <v>181.7</v>
      </c>
      <c r="D579" s="489">
        <v>1.8169999999999999</v>
      </c>
      <c r="E579" s="464"/>
      <c r="F579" s="464">
        <f t="shared" si="26"/>
        <v>1.3169999999999999</v>
      </c>
      <c r="G579" s="464"/>
      <c r="H579" s="464"/>
      <c r="I579" s="464"/>
    </row>
    <row r="580" spans="1:9" ht="15.75">
      <c r="A580" s="6">
        <f t="shared" si="24"/>
        <v>573</v>
      </c>
      <c r="B580" s="504">
        <v>44732.833348668981</v>
      </c>
      <c r="C580" s="489">
        <f t="shared" si="25"/>
        <v>188.1</v>
      </c>
      <c r="D580" s="489">
        <v>1.881</v>
      </c>
      <c r="E580" s="464"/>
      <c r="F580" s="464">
        <f t="shared" si="26"/>
        <v>1.381</v>
      </c>
      <c r="G580" s="464"/>
      <c r="H580" s="464"/>
      <c r="I580" s="464"/>
    </row>
    <row r="581" spans="1:9" ht="15.75">
      <c r="A581" s="7">
        <f t="shared" si="24"/>
        <v>574</v>
      </c>
      <c r="B581" s="504">
        <v>44732.875015393518</v>
      </c>
      <c r="C581" s="489">
        <f t="shared" si="25"/>
        <v>184.4</v>
      </c>
      <c r="D581" s="489">
        <v>1.8440000000000001</v>
      </c>
      <c r="E581" s="464"/>
      <c r="F581" s="464">
        <f t="shared" si="26"/>
        <v>1.3440000000000001</v>
      </c>
      <c r="G581" s="464"/>
      <c r="H581" s="464"/>
      <c r="I581" s="464"/>
    </row>
    <row r="582" spans="1:9" ht="15.75">
      <c r="A582" s="6">
        <f t="shared" si="24"/>
        <v>575</v>
      </c>
      <c r="B582" s="504">
        <v>44732.916682118055</v>
      </c>
      <c r="C582" s="489">
        <f t="shared" si="25"/>
        <v>171.9</v>
      </c>
      <c r="D582" s="489">
        <v>1.7190000000000001</v>
      </c>
      <c r="E582" s="464"/>
      <c r="F582" s="464">
        <f t="shared" si="26"/>
        <v>1.2190000000000001</v>
      </c>
      <c r="G582" s="464"/>
      <c r="H582" s="464"/>
      <c r="I582" s="464"/>
    </row>
    <row r="583" spans="1:9" ht="15.75">
      <c r="A583" s="7">
        <f t="shared" si="24"/>
        <v>576</v>
      </c>
      <c r="B583" s="504">
        <v>44732.958348842592</v>
      </c>
      <c r="C583" s="489">
        <f t="shared" si="25"/>
        <v>153.69999999999999</v>
      </c>
      <c r="D583" s="489">
        <v>1.5369999999999999</v>
      </c>
      <c r="E583" s="464"/>
      <c r="F583" s="464">
        <f t="shared" si="26"/>
        <v>1.0369999999999999</v>
      </c>
      <c r="G583" s="464"/>
      <c r="H583" s="464"/>
      <c r="I583" s="464"/>
    </row>
    <row r="584" spans="1:9" ht="15.75">
      <c r="A584" s="6">
        <f t="shared" ref="A584:A647" si="27">A583+1</f>
        <v>577</v>
      </c>
      <c r="B584" s="504">
        <v>44733.00001556713</v>
      </c>
      <c r="C584" s="489">
        <f t="shared" si="25"/>
        <v>134.9</v>
      </c>
      <c r="D584" s="489">
        <v>1.349</v>
      </c>
      <c r="E584" s="464"/>
      <c r="F584" s="464">
        <f t="shared" si="26"/>
        <v>0.84899999999999998</v>
      </c>
      <c r="G584" s="464"/>
      <c r="H584" s="464"/>
      <c r="I584" s="464"/>
    </row>
    <row r="585" spans="1:9" ht="15.75">
      <c r="A585" s="7">
        <f t="shared" si="27"/>
        <v>578</v>
      </c>
      <c r="B585" s="504">
        <v>44733.041682291667</v>
      </c>
      <c r="C585" s="489">
        <f t="shared" ref="C585:C648" si="28">D585*100</f>
        <v>121.9</v>
      </c>
      <c r="D585" s="489">
        <v>1.2190000000000001</v>
      </c>
      <c r="E585" s="464"/>
      <c r="F585" s="464">
        <f t="shared" ref="F585:F648" si="29">D585-0.5</f>
        <v>0.71900000000000008</v>
      </c>
      <c r="G585" s="464"/>
      <c r="H585" s="464"/>
      <c r="I585" s="464"/>
    </row>
    <row r="586" spans="1:9" ht="15.75">
      <c r="A586" s="6">
        <f t="shared" si="27"/>
        <v>579</v>
      </c>
      <c r="B586" s="504">
        <v>44733.083349016204</v>
      </c>
      <c r="C586" s="489">
        <f t="shared" si="28"/>
        <v>111.60000000000001</v>
      </c>
      <c r="D586" s="489">
        <v>1.1160000000000001</v>
      </c>
      <c r="E586" s="464"/>
      <c r="F586" s="464">
        <f t="shared" si="29"/>
        <v>0.6160000000000001</v>
      </c>
      <c r="G586" s="464"/>
      <c r="H586" s="464"/>
      <c r="I586" s="464"/>
    </row>
    <row r="587" spans="1:9" ht="15.75">
      <c r="A587" s="7">
        <f t="shared" si="27"/>
        <v>580</v>
      </c>
      <c r="B587" s="504">
        <v>44733.125015740741</v>
      </c>
      <c r="C587" s="489">
        <f t="shared" si="28"/>
        <v>113.9</v>
      </c>
      <c r="D587" s="489">
        <v>1.139</v>
      </c>
      <c r="E587" s="464"/>
      <c r="F587" s="464">
        <f t="shared" si="29"/>
        <v>0.63900000000000001</v>
      </c>
      <c r="G587" s="464"/>
      <c r="H587" s="464"/>
      <c r="I587" s="464"/>
    </row>
    <row r="588" spans="1:9" ht="15.75">
      <c r="A588" s="6">
        <f t="shared" si="27"/>
        <v>581</v>
      </c>
      <c r="B588" s="504">
        <v>44733.166682465278</v>
      </c>
      <c r="C588" s="489">
        <f t="shared" si="28"/>
        <v>122</v>
      </c>
      <c r="D588" s="489">
        <v>1.22</v>
      </c>
      <c r="E588" s="464"/>
      <c r="F588" s="464">
        <f t="shared" si="29"/>
        <v>0.72</v>
      </c>
      <c r="G588" s="464"/>
      <c r="H588" s="464"/>
      <c r="I588" s="464"/>
    </row>
    <row r="589" spans="1:9" ht="15.75">
      <c r="A589" s="7">
        <f t="shared" si="27"/>
        <v>582</v>
      </c>
      <c r="B589" s="504">
        <v>44733.208349189816</v>
      </c>
      <c r="C589" s="489">
        <f t="shared" si="28"/>
        <v>143.5</v>
      </c>
      <c r="D589" s="489">
        <v>1.4350000000000001</v>
      </c>
      <c r="E589" s="464"/>
      <c r="F589" s="464">
        <f t="shared" si="29"/>
        <v>0.93500000000000005</v>
      </c>
      <c r="G589" s="464"/>
      <c r="H589" s="464"/>
      <c r="I589" s="464"/>
    </row>
    <row r="590" spans="1:9" ht="15.75">
      <c r="A590" s="6">
        <f t="shared" si="27"/>
        <v>583</v>
      </c>
      <c r="B590" s="504">
        <v>44733.250015914353</v>
      </c>
      <c r="C590" s="489">
        <f t="shared" si="28"/>
        <v>176.8</v>
      </c>
      <c r="D590" s="489">
        <v>1.768</v>
      </c>
      <c r="E590" s="464"/>
      <c r="F590" s="464">
        <f t="shared" si="29"/>
        <v>1.268</v>
      </c>
      <c r="G590" s="464"/>
      <c r="H590" s="464"/>
      <c r="I590" s="464"/>
    </row>
    <row r="591" spans="1:9" ht="15.75">
      <c r="A591" s="7">
        <f t="shared" si="27"/>
        <v>584</v>
      </c>
      <c r="B591" s="504">
        <v>44733.29168263889</v>
      </c>
      <c r="C591" s="489">
        <f t="shared" si="28"/>
        <v>208.8</v>
      </c>
      <c r="D591" s="489">
        <v>2.0880000000000001</v>
      </c>
      <c r="E591" s="464"/>
      <c r="F591" s="464">
        <f t="shared" si="29"/>
        <v>1.5880000000000001</v>
      </c>
      <c r="G591" s="464"/>
      <c r="H591" s="464"/>
      <c r="I591" s="464"/>
    </row>
    <row r="592" spans="1:9" ht="15.75">
      <c r="A592" s="6">
        <f t="shared" si="27"/>
        <v>585</v>
      </c>
      <c r="B592" s="504">
        <v>44733.333349363427</v>
      </c>
      <c r="C592" s="489">
        <f t="shared" si="28"/>
        <v>230.29999999999998</v>
      </c>
      <c r="D592" s="489">
        <v>2.3029999999999999</v>
      </c>
      <c r="E592" s="464"/>
      <c r="F592" s="464">
        <f t="shared" si="29"/>
        <v>1.8029999999999999</v>
      </c>
      <c r="G592" s="464"/>
      <c r="H592" s="464"/>
      <c r="I592" s="464"/>
    </row>
    <row r="593" spans="1:9" ht="15.75">
      <c r="A593" s="7">
        <f t="shared" si="27"/>
        <v>586</v>
      </c>
      <c r="B593" s="504">
        <v>44733.375016087964</v>
      </c>
      <c r="C593" s="489">
        <f t="shared" si="28"/>
        <v>237.9</v>
      </c>
      <c r="D593" s="489">
        <v>2.379</v>
      </c>
      <c r="E593" s="464"/>
      <c r="F593" s="464">
        <f t="shared" si="29"/>
        <v>1.879</v>
      </c>
      <c r="G593" s="464"/>
      <c r="H593" s="464"/>
      <c r="I593" s="464"/>
    </row>
    <row r="594" spans="1:9" ht="15.75">
      <c r="A594" s="6">
        <f t="shared" si="27"/>
        <v>587</v>
      </c>
      <c r="B594" s="504">
        <v>44733.416682812502</v>
      </c>
      <c r="C594" s="489">
        <f t="shared" si="28"/>
        <v>233.8</v>
      </c>
      <c r="D594" s="489">
        <v>2.3380000000000001</v>
      </c>
      <c r="E594" s="464"/>
      <c r="F594" s="464">
        <f t="shared" si="29"/>
        <v>1.8380000000000001</v>
      </c>
      <c r="G594" s="464"/>
      <c r="H594" s="464"/>
      <c r="I594" s="464"/>
    </row>
    <row r="595" spans="1:9" ht="15.75">
      <c r="A595" s="7">
        <f t="shared" si="27"/>
        <v>588</v>
      </c>
      <c r="B595" s="504">
        <v>44733.458349537039</v>
      </c>
      <c r="C595" s="489">
        <f t="shared" si="28"/>
        <v>222.10000000000002</v>
      </c>
      <c r="D595" s="489">
        <v>2.2210000000000001</v>
      </c>
      <c r="E595" s="464"/>
      <c r="F595" s="464">
        <f t="shared" si="29"/>
        <v>1.7210000000000001</v>
      </c>
      <c r="G595" s="464"/>
      <c r="H595" s="464"/>
      <c r="I595" s="464"/>
    </row>
    <row r="596" spans="1:9" ht="15.75">
      <c r="A596" s="6">
        <f t="shared" si="27"/>
        <v>589</v>
      </c>
      <c r="B596" s="504">
        <v>44733.500016261576</v>
      </c>
      <c r="C596" s="489">
        <f t="shared" si="28"/>
        <v>204.2</v>
      </c>
      <c r="D596" s="489">
        <v>2.0419999999999998</v>
      </c>
      <c r="E596" s="464"/>
      <c r="F596" s="464">
        <f t="shared" si="29"/>
        <v>1.5419999999999998</v>
      </c>
      <c r="G596" s="464"/>
      <c r="H596" s="464"/>
      <c r="I596" s="464"/>
    </row>
    <row r="597" spans="1:9" ht="15.75">
      <c r="A597" s="7">
        <f t="shared" si="27"/>
        <v>590</v>
      </c>
      <c r="B597" s="504">
        <v>44733.541682986113</v>
      </c>
      <c r="C597" s="489">
        <f t="shared" si="28"/>
        <v>184.9</v>
      </c>
      <c r="D597" s="489">
        <v>1.849</v>
      </c>
      <c r="E597" s="464"/>
      <c r="F597" s="464">
        <f t="shared" si="29"/>
        <v>1.349</v>
      </c>
      <c r="G597" s="464"/>
      <c r="H597" s="464"/>
      <c r="I597" s="464"/>
    </row>
    <row r="598" spans="1:9" ht="15.75">
      <c r="A598" s="6">
        <f t="shared" si="27"/>
        <v>591</v>
      </c>
      <c r="B598" s="504">
        <v>44733.583349710651</v>
      </c>
      <c r="C598" s="489">
        <f t="shared" si="28"/>
        <v>161.4</v>
      </c>
      <c r="D598" s="489">
        <v>1.6140000000000001</v>
      </c>
      <c r="E598" s="464"/>
      <c r="F598" s="464">
        <f t="shared" si="29"/>
        <v>1.1140000000000001</v>
      </c>
      <c r="G598" s="464"/>
      <c r="H598" s="464"/>
      <c r="I598" s="464"/>
    </row>
    <row r="599" spans="1:9" ht="15.75">
      <c r="A599" s="7">
        <f t="shared" si="27"/>
        <v>592</v>
      </c>
      <c r="B599" s="504">
        <v>44733.625016435188</v>
      </c>
      <c r="C599" s="489">
        <f t="shared" si="28"/>
        <v>142.5</v>
      </c>
      <c r="D599" s="489">
        <v>1.425</v>
      </c>
      <c r="E599" s="464"/>
      <c r="F599" s="464">
        <f t="shared" si="29"/>
        <v>0.92500000000000004</v>
      </c>
      <c r="G599" s="464"/>
      <c r="H599" s="464"/>
      <c r="I599" s="464"/>
    </row>
    <row r="600" spans="1:9" ht="15.75">
      <c r="A600" s="6">
        <f t="shared" si="27"/>
        <v>593</v>
      </c>
      <c r="B600" s="504">
        <v>44733.666683159725</v>
      </c>
      <c r="C600" s="489">
        <f t="shared" si="28"/>
        <v>137.9</v>
      </c>
      <c r="D600" s="489">
        <v>1.379</v>
      </c>
      <c r="E600" s="464"/>
      <c r="F600" s="464">
        <f t="shared" si="29"/>
        <v>0.879</v>
      </c>
      <c r="G600" s="464"/>
      <c r="H600" s="464"/>
      <c r="I600" s="464"/>
    </row>
    <row r="601" spans="1:9" ht="15.75">
      <c r="A601" s="7">
        <f t="shared" si="27"/>
        <v>594</v>
      </c>
      <c r="B601" s="504">
        <v>44733.708349884262</v>
      </c>
      <c r="C601" s="489">
        <f t="shared" si="28"/>
        <v>143.1</v>
      </c>
      <c r="D601" s="489">
        <v>1.431</v>
      </c>
      <c r="E601" s="464"/>
      <c r="F601" s="464">
        <f t="shared" si="29"/>
        <v>0.93100000000000005</v>
      </c>
      <c r="G601" s="464"/>
      <c r="H601" s="464"/>
      <c r="I601" s="464"/>
    </row>
    <row r="602" spans="1:9" ht="15.75">
      <c r="A602" s="6">
        <f t="shared" si="27"/>
        <v>595</v>
      </c>
      <c r="B602" s="504">
        <v>44733.750016608799</v>
      </c>
      <c r="C602" s="489">
        <f t="shared" si="28"/>
        <v>152.4</v>
      </c>
      <c r="D602" s="489">
        <v>1.524</v>
      </c>
      <c r="E602" s="464"/>
      <c r="F602" s="464">
        <f t="shared" si="29"/>
        <v>1.024</v>
      </c>
      <c r="G602" s="464"/>
      <c r="H602" s="464"/>
      <c r="I602" s="464"/>
    </row>
    <row r="603" spans="1:9" ht="15.75">
      <c r="A603" s="7">
        <f t="shared" si="27"/>
        <v>596</v>
      </c>
      <c r="B603" s="504">
        <v>44733.791683333337</v>
      </c>
      <c r="C603" s="489">
        <f t="shared" si="28"/>
        <v>167.6</v>
      </c>
      <c r="D603" s="489">
        <v>1.6759999999999999</v>
      </c>
      <c r="E603" s="464"/>
      <c r="F603" s="464">
        <f t="shared" si="29"/>
        <v>1.1759999999999999</v>
      </c>
      <c r="G603" s="464"/>
      <c r="H603" s="464"/>
      <c r="I603" s="464"/>
    </row>
    <row r="604" spans="1:9" ht="15.75">
      <c r="A604" s="6">
        <f t="shared" si="27"/>
        <v>597</v>
      </c>
      <c r="B604" s="504">
        <v>44733.833350057874</v>
      </c>
      <c r="C604" s="489">
        <f t="shared" si="28"/>
        <v>178</v>
      </c>
      <c r="D604" s="489">
        <v>1.78</v>
      </c>
      <c r="E604" s="464"/>
      <c r="F604" s="464">
        <f t="shared" si="29"/>
        <v>1.28</v>
      </c>
      <c r="G604" s="464"/>
      <c r="H604" s="464"/>
      <c r="I604" s="464"/>
    </row>
    <row r="605" spans="1:9" ht="15.75">
      <c r="A605" s="7">
        <f t="shared" si="27"/>
        <v>598</v>
      </c>
      <c r="B605" s="504">
        <v>44733.875016782411</v>
      </c>
      <c r="C605" s="489">
        <f t="shared" si="28"/>
        <v>183.1</v>
      </c>
      <c r="D605" s="489">
        <v>1.831</v>
      </c>
      <c r="E605" s="464"/>
      <c r="F605" s="464">
        <f t="shared" si="29"/>
        <v>1.331</v>
      </c>
      <c r="G605" s="464"/>
      <c r="H605" s="464"/>
      <c r="I605" s="464"/>
    </row>
    <row r="606" spans="1:9" ht="15.75">
      <c r="A606" s="6">
        <f t="shared" si="27"/>
        <v>599</v>
      </c>
      <c r="B606" s="504">
        <v>44733.916683506941</v>
      </c>
      <c r="C606" s="489">
        <f t="shared" si="28"/>
        <v>181</v>
      </c>
      <c r="D606" s="489">
        <v>1.81</v>
      </c>
      <c r="E606" s="464"/>
      <c r="F606" s="464">
        <f t="shared" si="29"/>
        <v>1.31</v>
      </c>
      <c r="G606" s="464"/>
      <c r="H606" s="464"/>
      <c r="I606" s="464"/>
    </row>
    <row r="607" spans="1:9" ht="15.75">
      <c r="A607" s="7">
        <f t="shared" si="27"/>
        <v>600</v>
      </c>
      <c r="B607" s="504">
        <v>44733.958350231478</v>
      </c>
      <c r="C607" s="489">
        <f t="shared" si="28"/>
        <v>167.9</v>
      </c>
      <c r="D607" s="489">
        <v>1.679</v>
      </c>
      <c r="E607" s="464"/>
      <c r="F607" s="464">
        <f t="shared" si="29"/>
        <v>1.179</v>
      </c>
      <c r="G607" s="464"/>
      <c r="H607" s="464"/>
      <c r="I607" s="464"/>
    </row>
    <row r="608" spans="1:9" ht="15.75">
      <c r="A608" s="6">
        <f t="shared" si="27"/>
        <v>601</v>
      </c>
      <c r="B608" s="504">
        <v>44734.000016956015</v>
      </c>
      <c r="C608" s="489">
        <f t="shared" si="28"/>
        <v>156.9</v>
      </c>
      <c r="D608" s="489">
        <v>1.569</v>
      </c>
      <c r="E608" s="464"/>
      <c r="F608" s="464">
        <f t="shared" si="29"/>
        <v>1.069</v>
      </c>
      <c r="G608" s="464"/>
      <c r="H608" s="464"/>
      <c r="I608" s="464"/>
    </row>
    <row r="609" spans="1:9" ht="15.75">
      <c r="A609" s="7">
        <f t="shared" si="27"/>
        <v>602</v>
      </c>
      <c r="B609" s="504">
        <v>44734.041683680553</v>
      </c>
      <c r="C609" s="489">
        <f t="shared" si="28"/>
        <v>143.30000000000001</v>
      </c>
      <c r="D609" s="489">
        <v>1.4330000000000001</v>
      </c>
      <c r="E609" s="464"/>
      <c r="F609" s="464">
        <f t="shared" si="29"/>
        <v>0.93300000000000005</v>
      </c>
      <c r="G609" s="464"/>
      <c r="H609" s="464"/>
      <c r="I609" s="464"/>
    </row>
    <row r="610" spans="1:9" ht="15.75">
      <c r="A610" s="6">
        <f t="shared" si="27"/>
        <v>603</v>
      </c>
      <c r="B610" s="504">
        <v>44734.08335040509</v>
      </c>
      <c r="C610" s="489">
        <f t="shared" si="28"/>
        <v>133.80000000000001</v>
      </c>
      <c r="D610" s="489">
        <v>1.3380000000000001</v>
      </c>
      <c r="E610" s="464"/>
      <c r="F610" s="464">
        <f t="shared" si="29"/>
        <v>0.83800000000000008</v>
      </c>
      <c r="G610" s="464"/>
      <c r="H610" s="464"/>
      <c r="I610" s="464"/>
    </row>
    <row r="611" spans="1:9" ht="15.75">
      <c r="A611" s="7">
        <f t="shared" si="27"/>
        <v>604</v>
      </c>
      <c r="B611" s="504">
        <v>44734.125017129627</v>
      </c>
      <c r="C611" s="489">
        <f t="shared" si="28"/>
        <v>134</v>
      </c>
      <c r="D611" s="489">
        <v>1.34</v>
      </c>
      <c r="E611" s="464"/>
      <c r="F611" s="464">
        <f t="shared" si="29"/>
        <v>0.84000000000000008</v>
      </c>
      <c r="G611" s="464"/>
      <c r="H611" s="464"/>
      <c r="I611" s="464"/>
    </row>
    <row r="612" spans="1:9" ht="15.75">
      <c r="A612" s="6">
        <f t="shared" si="27"/>
        <v>605</v>
      </c>
      <c r="B612" s="504">
        <v>44734.166683854164</v>
      </c>
      <c r="C612" s="489">
        <f t="shared" si="28"/>
        <v>138.1</v>
      </c>
      <c r="D612" s="489">
        <v>1.381</v>
      </c>
      <c r="E612" s="464"/>
      <c r="F612" s="464">
        <f t="shared" si="29"/>
        <v>0.88100000000000001</v>
      </c>
      <c r="G612" s="464"/>
      <c r="H612" s="464"/>
      <c r="I612" s="464"/>
    </row>
    <row r="613" spans="1:9" ht="15.75">
      <c r="A613" s="7">
        <f t="shared" si="27"/>
        <v>606</v>
      </c>
      <c r="B613" s="504">
        <v>44734.208350578701</v>
      </c>
      <c r="C613" s="489">
        <f t="shared" si="28"/>
        <v>146.70000000000002</v>
      </c>
      <c r="D613" s="489">
        <v>1.4670000000000001</v>
      </c>
      <c r="E613" s="464"/>
      <c r="F613" s="464">
        <f t="shared" si="29"/>
        <v>0.96700000000000008</v>
      </c>
      <c r="G613" s="464"/>
      <c r="H613" s="464"/>
      <c r="I613" s="464"/>
    </row>
    <row r="614" spans="1:9" ht="15.75">
      <c r="A614" s="6">
        <f t="shared" si="27"/>
        <v>607</v>
      </c>
      <c r="B614" s="504">
        <v>44734.250017303239</v>
      </c>
      <c r="C614" s="489">
        <f t="shared" si="28"/>
        <v>165.7</v>
      </c>
      <c r="D614" s="489">
        <v>1.657</v>
      </c>
      <c r="E614" s="464"/>
      <c r="F614" s="464">
        <f t="shared" si="29"/>
        <v>1.157</v>
      </c>
      <c r="G614" s="464"/>
      <c r="H614" s="464"/>
      <c r="I614" s="464"/>
    </row>
    <row r="615" spans="1:9" ht="15.75">
      <c r="A615" s="7">
        <f t="shared" si="27"/>
        <v>608</v>
      </c>
      <c r="B615" s="504">
        <v>44734.291684027776</v>
      </c>
      <c r="C615" s="489">
        <f t="shared" si="28"/>
        <v>191.2</v>
      </c>
      <c r="D615" s="489">
        <v>1.9119999999999999</v>
      </c>
      <c r="E615" s="464"/>
      <c r="F615" s="464">
        <f t="shared" si="29"/>
        <v>1.4119999999999999</v>
      </c>
      <c r="G615" s="464"/>
      <c r="H615" s="464"/>
      <c r="I615" s="464"/>
    </row>
    <row r="616" spans="1:9" ht="15.75">
      <c r="A616" s="6">
        <f t="shared" si="27"/>
        <v>609</v>
      </c>
      <c r="B616" s="504">
        <v>44734.333350752313</v>
      </c>
      <c r="C616" s="489">
        <f t="shared" si="28"/>
        <v>208.70000000000002</v>
      </c>
      <c r="D616" s="489">
        <v>2.0870000000000002</v>
      </c>
      <c r="E616" s="464"/>
      <c r="F616" s="464">
        <f t="shared" si="29"/>
        <v>1.5870000000000002</v>
      </c>
      <c r="G616" s="464"/>
      <c r="H616" s="464"/>
      <c r="I616" s="464"/>
    </row>
    <row r="617" spans="1:9" ht="15.75">
      <c r="A617" s="7">
        <f t="shared" si="27"/>
        <v>610</v>
      </c>
      <c r="B617" s="504">
        <v>44734.37501747685</v>
      </c>
      <c r="C617" s="489">
        <f t="shared" si="28"/>
        <v>218.5</v>
      </c>
      <c r="D617" s="489">
        <v>2.1850000000000001</v>
      </c>
      <c r="E617" s="464"/>
      <c r="F617" s="464">
        <f t="shared" si="29"/>
        <v>1.6850000000000001</v>
      </c>
      <c r="G617" s="464"/>
      <c r="H617" s="464"/>
      <c r="I617" s="464"/>
    </row>
    <row r="618" spans="1:9" ht="15.75">
      <c r="A618" s="6">
        <f t="shared" si="27"/>
        <v>611</v>
      </c>
      <c r="B618" s="504">
        <v>44734.416684201387</v>
      </c>
      <c r="C618" s="489">
        <f t="shared" si="28"/>
        <v>221.89999999999998</v>
      </c>
      <c r="D618" s="489">
        <v>2.2189999999999999</v>
      </c>
      <c r="E618" s="464"/>
      <c r="F618" s="464">
        <f t="shared" si="29"/>
        <v>1.7189999999999999</v>
      </c>
      <c r="G618" s="464"/>
      <c r="H618" s="464"/>
      <c r="I618" s="464"/>
    </row>
    <row r="619" spans="1:9" ht="15.75">
      <c r="A619" s="7">
        <f t="shared" si="27"/>
        <v>612</v>
      </c>
      <c r="B619" s="504">
        <v>44734.458350925925</v>
      </c>
      <c r="C619" s="489">
        <f t="shared" si="28"/>
        <v>217</v>
      </c>
      <c r="D619" s="489">
        <v>2.17</v>
      </c>
      <c r="E619" s="464"/>
      <c r="F619" s="464">
        <f t="shared" si="29"/>
        <v>1.67</v>
      </c>
      <c r="G619" s="464"/>
      <c r="H619" s="464"/>
      <c r="I619" s="464"/>
    </row>
    <row r="620" spans="1:9" ht="15.75">
      <c r="A620" s="6">
        <f t="shared" si="27"/>
        <v>613</v>
      </c>
      <c r="B620" s="504">
        <v>44734.500017650462</v>
      </c>
      <c r="C620" s="489">
        <f t="shared" si="28"/>
        <v>205.7</v>
      </c>
      <c r="D620" s="489">
        <v>2.0569999999999999</v>
      </c>
      <c r="E620" s="464"/>
      <c r="F620" s="464">
        <f t="shared" si="29"/>
        <v>1.5569999999999999</v>
      </c>
      <c r="G620" s="464"/>
      <c r="H620" s="464"/>
      <c r="I620" s="464"/>
    </row>
    <row r="621" spans="1:9" ht="15.75">
      <c r="A621" s="7">
        <f t="shared" si="27"/>
        <v>614</v>
      </c>
      <c r="B621" s="504">
        <v>44734.541684317126</v>
      </c>
      <c r="C621" s="489">
        <f t="shared" si="28"/>
        <v>185.5</v>
      </c>
      <c r="D621" s="489">
        <v>1.855</v>
      </c>
      <c r="E621" s="464"/>
      <c r="F621" s="464">
        <f t="shared" si="29"/>
        <v>1.355</v>
      </c>
      <c r="G621" s="464"/>
      <c r="H621" s="464"/>
      <c r="I621" s="464"/>
    </row>
    <row r="622" spans="1:9" ht="15.75">
      <c r="A622" s="6">
        <f t="shared" si="27"/>
        <v>615</v>
      </c>
      <c r="B622" s="504">
        <v>44734.583351041663</v>
      </c>
      <c r="C622" s="489">
        <f t="shared" si="28"/>
        <v>165.3</v>
      </c>
      <c r="D622" s="489">
        <v>1.653</v>
      </c>
      <c r="E622" s="464"/>
      <c r="F622" s="464">
        <f t="shared" si="29"/>
        <v>1.153</v>
      </c>
      <c r="G622" s="464"/>
      <c r="H622" s="464"/>
      <c r="I622" s="464"/>
    </row>
    <row r="623" spans="1:9" ht="15.75">
      <c r="A623" s="7">
        <f t="shared" si="27"/>
        <v>616</v>
      </c>
      <c r="B623" s="504">
        <v>44734.6250177662</v>
      </c>
      <c r="C623" s="489">
        <f t="shared" si="28"/>
        <v>146.4</v>
      </c>
      <c r="D623" s="489">
        <v>1.464</v>
      </c>
      <c r="E623" s="464"/>
      <c r="F623" s="464">
        <f t="shared" si="29"/>
        <v>0.96399999999999997</v>
      </c>
      <c r="G623" s="464"/>
      <c r="H623" s="464"/>
      <c r="I623" s="464"/>
    </row>
    <row r="624" spans="1:9" ht="15.75">
      <c r="A624" s="6">
        <f t="shared" si="27"/>
        <v>617</v>
      </c>
      <c r="B624" s="504">
        <v>44734.666684490738</v>
      </c>
      <c r="C624" s="489">
        <f t="shared" si="28"/>
        <v>133.4</v>
      </c>
      <c r="D624" s="489">
        <v>1.3340000000000001</v>
      </c>
      <c r="E624" s="464"/>
      <c r="F624" s="464">
        <f t="shared" si="29"/>
        <v>0.83400000000000007</v>
      </c>
      <c r="G624" s="464"/>
      <c r="H624" s="464"/>
      <c r="I624" s="464"/>
    </row>
    <row r="625" spans="1:9" ht="15.75">
      <c r="A625" s="7">
        <f t="shared" si="27"/>
        <v>618</v>
      </c>
      <c r="B625" s="504">
        <v>44734.708351215275</v>
      </c>
      <c r="C625" s="489">
        <f t="shared" si="28"/>
        <v>127.89999999999999</v>
      </c>
      <c r="D625" s="489">
        <v>1.2789999999999999</v>
      </c>
      <c r="E625" s="464"/>
      <c r="F625" s="464">
        <f t="shared" si="29"/>
        <v>0.77899999999999991</v>
      </c>
      <c r="G625" s="464"/>
      <c r="H625" s="464"/>
      <c r="I625" s="464"/>
    </row>
    <row r="626" spans="1:9" ht="15.75">
      <c r="A626" s="6">
        <f t="shared" si="27"/>
        <v>619</v>
      </c>
      <c r="B626" s="504">
        <v>44734.750017939812</v>
      </c>
      <c r="C626" s="489">
        <f t="shared" si="28"/>
        <v>133.69999999999999</v>
      </c>
      <c r="D626" s="489">
        <v>1.337</v>
      </c>
      <c r="E626" s="464"/>
      <c r="F626" s="464">
        <f t="shared" si="29"/>
        <v>0.83699999999999997</v>
      </c>
      <c r="G626" s="464"/>
      <c r="H626" s="464"/>
      <c r="I626" s="464"/>
    </row>
    <row r="627" spans="1:9" ht="15.75">
      <c r="A627" s="7">
        <f t="shared" si="27"/>
        <v>620</v>
      </c>
      <c r="B627" s="504">
        <v>44734.791684664349</v>
      </c>
      <c r="C627" s="489">
        <f t="shared" si="28"/>
        <v>142.9</v>
      </c>
      <c r="D627" s="489">
        <v>1.429</v>
      </c>
      <c r="E627" s="464"/>
      <c r="F627" s="464">
        <f t="shared" si="29"/>
        <v>0.92900000000000005</v>
      </c>
      <c r="G627" s="464"/>
      <c r="H627" s="464"/>
      <c r="I627" s="464"/>
    </row>
    <row r="628" spans="1:9" ht="15.75">
      <c r="A628" s="6">
        <f t="shared" si="27"/>
        <v>621</v>
      </c>
      <c r="B628" s="504">
        <v>44734.833351388887</v>
      </c>
      <c r="C628" s="489">
        <f t="shared" si="28"/>
        <v>154</v>
      </c>
      <c r="D628" s="489">
        <v>1.54</v>
      </c>
      <c r="E628" s="464"/>
      <c r="F628" s="464">
        <f t="shared" si="29"/>
        <v>1.04</v>
      </c>
      <c r="G628" s="464"/>
      <c r="H628" s="464"/>
      <c r="I628" s="464"/>
    </row>
    <row r="629" spans="1:9" ht="15.75">
      <c r="A629" s="7">
        <f t="shared" si="27"/>
        <v>622</v>
      </c>
      <c r="B629" s="504">
        <v>44734.875018113424</v>
      </c>
      <c r="C629" s="489">
        <f t="shared" si="28"/>
        <v>164.39999999999998</v>
      </c>
      <c r="D629" s="489">
        <v>1.6439999999999999</v>
      </c>
      <c r="E629" s="464"/>
      <c r="F629" s="464">
        <f t="shared" si="29"/>
        <v>1.1439999999999999</v>
      </c>
      <c r="G629" s="464"/>
      <c r="H629" s="464"/>
      <c r="I629" s="464"/>
    </row>
    <row r="630" spans="1:9" ht="15.75">
      <c r="A630" s="6">
        <f t="shared" si="27"/>
        <v>623</v>
      </c>
      <c r="B630" s="504">
        <v>44734.916684837961</v>
      </c>
      <c r="C630" s="489">
        <f t="shared" si="28"/>
        <v>176.1</v>
      </c>
      <c r="D630" s="489">
        <v>1.7609999999999999</v>
      </c>
      <c r="E630" s="464"/>
      <c r="F630" s="464">
        <f t="shared" si="29"/>
        <v>1.2609999999999999</v>
      </c>
      <c r="G630" s="464"/>
      <c r="H630" s="464"/>
      <c r="I630" s="464"/>
    </row>
    <row r="631" spans="1:9" ht="15.75">
      <c r="A631" s="7">
        <f t="shared" si="27"/>
        <v>624</v>
      </c>
      <c r="B631" s="504">
        <v>44734.958351562498</v>
      </c>
      <c r="C631" s="489">
        <f t="shared" si="28"/>
        <v>179.6</v>
      </c>
      <c r="D631" s="489">
        <v>1.796</v>
      </c>
      <c r="E631" s="464"/>
      <c r="F631" s="464">
        <f t="shared" si="29"/>
        <v>1.296</v>
      </c>
      <c r="G631" s="464"/>
      <c r="H631" s="464"/>
      <c r="I631" s="464"/>
    </row>
    <row r="632" spans="1:9" ht="15.75">
      <c r="A632" s="6">
        <f t="shared" si="27"/>
        <v>625</v>
      </c>
      <c r="B632" s="504">
        <v>44735.000018287035</v>
      </c>
      <c r="C632" s="489">
        <f t="shared" si="28"/>
        <v>179</v>
      </c>
      <c r="D632" s="489">
        <v>1.79</v>
      </c>
      <c r="E632" s="464"/>
      <c r="F632" s="464">
        <f t="shared" si="29"/>
        <v>1.29</v>
      </c>
      <c r="G632" s="464"/>
      <c r="H632" s="464"/>
      <c r="I632" s="464"/>
    </row>
    <row r="633" spans="1:9" ht="15.75">
      <c r="A633" s="7">
        <f t="shared" si="27"/>
        <v>626</v>
      </c>
      <c r="B633" s="504">
        <v>44735.041685011573</v>
      </c>
      <c r="C633" s="489">
        <f t="shared" si="28"/>
        <v>172.4</v>
      </c>
      <c r="D633" s="489">
        <v>1.724</v>
      </c>
      <c r="E633" s="464"/>
      <c r="F633" s="464">
        <f t="shared" si="29"/>
        <v>1.224</v>
      </c>
      <c r="G633" s="464"/>
      <c r="H633" s="464"/>
      <c r="I633" s="464"/>
    </row>
    <row r="634" spans="1:9" ht="15.75">
      <c r="A634" s="6">
        <f t="shared" si="27"/>
        <v>627</v>
      </c>
      <c r="B634" s="504">
        <v>44735.08335173611</v>
      </c>
      <c r="C634" s="489">
        <f t="shared" si="28"/>
        <v>161.69999999999999</v>
      </c>
      <c r="D634" s="489">
        <v>1.617</v>
      </c>
      <c r="E634" s="464"/>
      <c r="F634" s="464">
        <f t="shared" si="29"/>
        <v>1.117</v>
      </c>
      <c r="G634" s="464"/>
      <c r="H634" s="464"/>
      <c r="I634" s="464"/>
    </row>
    <row r="635" spans="1:9" ht="15.75">
      <c r="A635" s="7">
        <f t="shared" si="27"/>
        <v>628</v>
      </c>
      <c r="B635" s="504">
        <v>44735.125018460647</v>
      </c>
      <c r="C635" s="489">
        <f t="shared" si="28"/>
        <v>156.6</v>
      </c>
      <c r="D635" s="489">
        <v>1.5660000000000001</v>
      </c>
      <c r="E635" s="464"/>
      <c r="F635" s="464">
        <f t="shared" si="29"/>
        <v>1.0660000000000001</v>
      </c>
      <c r="G635" s="464"/>
      <c r="H635" s="464"/>
      <c r="I635" s="464"/>
    </row>
    <row r="636" spans="1:9" ht="15.75">
      <c r="A636" s="6">
        <f t="shared" si="27"/>
        <v>629</v>
      </c>
      <c r="B636" s="504">
        <v>44735.166685185184</v>
      </c>
      <c r="C636" s="489">
        <f t="shared" si="28"/>
        <v>153.19999999999999</v>
      </c>
      <c r="D636" s="489">
        <v>1.532</v>
      </c>
      <c r="E636" s="464"/>
      <c r="F636" s="464">
        <f t="shared" si="29"/>
        <v>1.032</v>
      </c>
      <c r="G636" s="464"/>
      <c r="H636" s="464"/>
      <c r="I636" s="464"/>
    </row>
    <row r="637" spans="1:9" ht="15.75">
      <c r="A637" s="7">
        <f t="shared" si="27"/>
        <v>630</v>
      </c>
      <c r="B637" s="504">
        <v>44735.208351909721</v>
      </c>
      <c r="C637" s="489">
        <f t="shared" si="28"/>
        <v>156.80000000000001</v>
      </c>
      <c r="D637" s="489">
        <v>1.5680000000000001</v>
      </c>
      <c r="E637" s="464"/>
      <c r="F637" s="464">
        <f t="shared" si="29"/>
        <v>1.0680000000000001</v>
      </c>
      <c r="G637" s="464"/>
      <c r="H637" s="464"/>
      <c r="I637" s="464"/>
    </row>
    <row r="638" spans="1:9" ht="15.75">
      <c r="A638" s="6">
        <f t="shared" si="27"/>
        <v>631</v>
      </c>
      <c r="B638" s="504">
        <v>44735.250018634259</v>
      </c>
      <c r="C638" s="489">
        <f t="shared" si="28"/>
        <v>166.5</v>
      </c>
      <c r="D638" s="489">
        <v>1.665</v>
      </c>
      <c r="E638" s="464"/>
      <c r="F638" s="464">
        <f t="shared" si="29"/>
        <v>1.165</v>
      </c>
      <c r="G638" s="464"/>
      <c r="H638" s="464"/>
      <c r="I638" s="464"/>
    </row>
    <row r="639" spans="1:9" ht="15.75">
      <c r="A639" s="7">
        <f t="shared" si="27"/>
        <v>632</v>
      </c>
      <c r="B639" s="504">
        <v>44735.291685358796</v>
      </c>
      <c r="C639" s="489">
        <f t="shared" si="28"/>
        <v>178.4</v>
      </c>
      <c r="D639" s="489">
        <v>1.784</v>
      </c>
      <c r="E639" s="464"/>
      <c r="F639" s="464">
        <f t="shared" si="29"/>
        <v>1.284</v>
      </c>
      <c r="G639" s="464"/>
      <c r="H639" s="464"/>
      <c r="I639" s="464"/>
    </row>
    <row r="640" spans="1:9" ht="15.75">
      <c r="A640" s="6">
        <f t="shared" si="27"/>
        <v>633</v>
      </c>
      <c r="B640" s="504">
        <v>44735.333352083333</v>
      </c>
      <c r="C640" s="489">
        <f t="shared" si="28"/>
        <v>193.79999999999998</v>
      </c>
      <c r="D640" s="489">
        <v>1.9379999999999999</v>
      </c>
      <c r="E640" s="464"/>
      <c r="F640" s="464">
        <f t="shared" si="29"/>
        <v>1.4379999999999999</v>
      </c>
      <c r="G640" s="464"/>
      <c r="H640" s="464"/>
      <c r="I640" s="464"/>
    </row>
    <row r="641" spans="1:9" ht="15.75">
      <c r="A641" s="7">
        <f t="shared" si="27"/>
        <v>634</v>
      </c>
      <c r="B641" s="504">
        <v>44735.37501880787</v>
      </c>
      <c r="C641" s="489">
        <f t="shared" si="28"/>
        <v>197.3</v>
      </c>
      <c r="D641" s="489">
        <v>1.9730000000000001</v>
      </c>
      <c r="E641" s="464"/>
      <c r="F641" s="464">
        <f t="shared" si="29"/>
        <v>1.4730000000000001</v>
      </c>
      <c r="G641" s="464"/>
      <c r="H641" s="464"/>
      <c r="I641" s="464"/>
    </row>
    <row r="642" spans="1:9" ht="15.75">
      <c r="A642" s="6">
        <f t="shared" si="27"/>
        <v>635</v>
      </c>
      <c r="B642" s="504">
        <v>44735.416685532407</v>
      </c>
      <c r="C642" s="489">
        <f t="shared" si="28"/>
        <v>197</v>
      </c>
      <c r="D642" s="489">
        <v>1.97</v>
      </c>
      <c r="E642" s="464"/>
      <c r="F642" s="464">
        <f t="shared" si="29"/>
        <v>1.47</v>
      </c>
      <c r="G642" s="464"/>
      <c r="H642" s="464"/>
      <c r="I642" s="464"/>
    </row>
    <row r="643" spans="1:9" ht="15.75">
      <c r="A643" s="7">
        <f t="shared" si="27"/>
        <v>636</v>
      </c>
      <c r="B643" s="504">
        <v>44735.458352256945</v>
      </c>
      <c r="C643" s="489">
        <f t="shared" si="28"/>
        <v>194.4</v>
      </c>
      <c r="D643" s="489">
        <v>1.944</v>
      </c>
      <c r="E643" s="464"/>
      <c r="F643" s="464">
        <f t="shared" si="29"/>
        <v>1.444</v>
      </c>
      <c r="G643" s="464"/>
      <c r="H643" s="464"/>
      <c r="I643" s="464"/>
    </row>
    <row r="644" spans="1:9" ht="15.75">
      <c r="A644" s="6">
        <f t="shared" si="27"/>
        <v>637</v>
      </c>
      <c r="B644" s="504">
        <v>44735.500018981482</v>
      </c>
      <c r="C644" s="489">
        <f t="shared" si="28"/>
        <v>182.4</v>
      </c>
      <c r="D644" s="489">
        <v>1.8240000000000001</v>
      </c>
      <c r="E644" s="464"/>
      <c r="F644" s="464">
        <f t="shared" si="29"/>
        <v>1.3240000000000001</v>
      </c>
      <c r="G644" s="464"/>
      <c r="H644" s="464"/>
      <c r="I644" s="464"/>
    </row>
    <row r="645" spans="1:9" ht="15.75">
      <c r="A645" s="7">
        <f t="shared" si="27"/>
        <v>638</v>
      </c>
      <c r="B645" s="504">
        <v>44735.541685706019</v>
      </c>
      <c r="C645" s="489">
        <f t="shared" si="28"/>
        <v>173.5</v>
      </c>
      <c r="D645" s="489">
        <v>1.7350000000000001</v>
      </c>
      <c r="E645" s="464"/>
      <c r="F645" s="464">
        <f t="shared" si="29"/>
        <v>1.2350000000000001</v>
      </c>
      <c r="G645" s="464"/>
      <c r="H645" s="464"/>
      <c r="I645" s="464"/>
    </row>
    <row r="646" spans="1:9" ht="15.75">
      <c r="A646" s="6">
        <f t="shared" si="27"/>
        <v>639</v>
      </c>
      <c r="B646" s="504">
        <v>44735.583352430556</v>
      </c>
      <c r="C646" s="489">
        <f t="shared" si="28"/>
        <v>163.69999999999999</v>
      </c>
      <c r="D646" s="489">
        <v>1.637</v>
      </c>
      <c r="E646" s="464"/>
      <c r="F646" s="464">
        <f t="shared" si="29"/>
        <v>1.137</v>
      </c>
      <c r="G646" s="464"/>
      <c r="H646" s="464"/>
      <c r="I646" s="464"/>
    </row>
    <row r="647" spans="1:9" ht="15.75">
      <c r="A647" s="7">
        <f t="shared" si="27"/>
        <v>640</v>
      </c>
      <c r="B647" s="504">
        <v>44735.625019155093</v>
      </c>
      <c r="C647" s="489">
        <f t="shared" si="28"/>
        <v>148.10000000000002</v>
      </c>
      <c r="D647" s="489">
        <v>1.4810000000000001</v>
      </c>
      <c r="E647" s="464"/>
      <c r="F647" s="464">
        <f t="shared" si="29"/>
        <v>0.98100000000000009</v>
      </c>
      <c r="G647" s="464"/>
      <c r="H647" s="464"/>
      <c r="I647" s="464"/>
    </row>
    <row r="648" spans="1:9" ht="15.75">
      <c r="A648" s="6">
        <f t="shared" ref="A648:A711" si="30">A647+1</f>
        <v>641</v>
      </c>
      <c r="B648" s="504">
        <v>44735.666685879631</v>
      </c>
      <c r="C648" s="489">
        <f t="shared" si="28"/>
        <v>133.20000000000002</v>
      </c>
      <c r="D648" s="489">
        <v>1.3320000000000001</v>
      </c>
      <c r="E648" s="464"/>
      <c r="F648" s="464">
        <f t="shared" si="29"/>
        <v>0.83200000000000007</v>
      </c>
      <c r="G648" s="464"/>
      <c r="H648" s="464"/>
      <c r="I648" s="464"/>
    </row>
    <row r="649" spans="1:9" ht="15.75">
      <c r="A649" s="7">
        <f t="shared" si="30"/>
        <v>642</v>
      </c>
      <c r="B649" s="504">
        <v>44735.708352604168</v>
      </c>
      <c r="C649" s="489">
        <f t="shared" ref="C649:C712" si="31">D649*100</f>
        <v>124.70000000000002</v>
      </c>
      <c r="D649" s="489">
        <v>1.2470000000000001</v>
      </c>
      <c r="E649" s="464"/>
      <c r="F649" s="464">
        <f t="shared" ref="F649:F712" si="32">D649-0.5</f>
        <v>0.74700000000000011</v>
      </c>
      <c r="G649" s="464"/>
      <c r="H649" s="464"/>
      <c r="I649" s="464"/>
    </row>
    <row r="650" spans="1:9" ht="15.75">
      <c r="A650" s="6">
        <f t="shared" si="30"/>
        <v>643</v>
      </c>
      <c r="B650" s="504">
        <v>44735.750019328705</v>
      </c>
      <c r="C650" s="489">
        <f t="shared" si="31"/>
        <v>119.6</v>
      </c>
      <c r="D650" s="489">
        <v>1.196</v>
      </c>
      <c r="E650" s="464"/>
      <c r="F650" s="464">
        <f t="shared" si="32"/>
        <v>0.69599999999999995</v>
      </c>
      <c r="G650" s="464"/>
      <c r="H650" s="464"/>
      <c r="I650" s="464"/>
    </row>
    <row r="651" spans="1:9" ht="15.75">
      <c r="A651" s="7">
        <f t="shared" si="30"/>
        <v>644</v>
      </c>
      <c r="B651" s="504">
        <v>44735.791686053242</v>
      </c>
      <c r="C651" s="489">
        <f t="shared" si="31"/>
        <v>121.39999999999999</v>
      </c>
      <c r="D651" s="489">
        <v>1.214</v>
      </c>
      <c r="E651" s="464"/>
      <c r="F651" s="464">
        <f t="shared" si="32"/>
        <v>0.71399999999999997</v>
      </c>
      <c r="G651" s="464"/>
      <c r="H651" s="464"/>
      <c r="I651" s="464"/>
    </row>
    <row r="652" spans="1:9" ht="15.75">
      <c r="A652" s="6">
        <f t="shared" si="30"/>
        <v>645</v>
      </c>
      <c r="B652" s="504">
        <v>44735.83335277778</v>
      </c>
      <c r="C652" s="489">
        <f t="shared" si="31"/>
        <v>131.80000000000001</v>
      </c>
      <c r="D652" s="489">
        <v>1.3180000000000001</v>
      </c>
      <c r="E652" s="464"/>
      <c r="F652" s="464">
        <f t="shared" si="32"/>
        <v>0.81800000000000006</v>
      </c>
      <c r="G652" s="464"/>
      <c r="H652" s="464"/>
      <c r="I652" s="464"/>
    </row>
    <row r="653" spans="1:9" ht="15.75">
      <c r="A653" s="7">
        <f t="shared" si="30"/>
        <v>646</v>
      </c>
      <c r="B653" s="504">
        <v>44735.875019502317</v>
      </c>
      <c r="C653" s="489">
        <f t="shared" si="31"/>
        <v>146.6</v>
      </c>
      <c r="D653" s="489">
        <v>1.466</v>
      </c>
      <c r="E653" s="464"/>
      <c r="F653" s="464">
        <f t="shared" si="32"/>
        <v>0.96599999999999997</v>
      </c>
      <c r="G653" s="464"/>
      <c r="H653" s="464"/>
      <c r="I653" s="464"/>
    </row>
    <row r="654" spans="1:9" ht="15.75">
      <c r="A654" s="6">
        <f t="shared" si="30"/>
        <v>647</v>
      </c>
      <c r="B654" s="504">
        <v>44735.916686226854</v>
      </c>
      <c r="C654" s="489">
        <f t="shared" si="31"/>
        <v>160</v>
      </c>
      <c r="D654" s="489">
        <v>1.6</v>
      </c>
      <c r="E654" s="464"/>
      <c r="F654" s="464">
        <f t="shared" si="32"/>
        <v>1.1000000000000001</v>
      </c>
      <c r="G654" s="464"/>
      <c r="H654" s="464"/>
      <c r="I654" s="464"/>
    </row>
    <row r="655" spans="1:9" ht="15.75">
      <c r="A655" s="7">
        <f t="shared" si="30"/>
        <v>648</v>
      </c>
      <c r="B655" s="504">
        <v>44735.958352951391</v>
      </c>
      <c r="C655" s="489">
        <f t="shared" si="31"/>
        <v>169.9</v>
      </c>
      <c r="D655" s="489">
        <v>1.6990000000000001</v>
      </c>
      <c r="E655" s="464"/>
      <c r="F655" s="464">
        <f t="shared" si="32"/>
        <v>1.1990000000000001</v>
      </c>
      <c r="G655" s="464"/>
      <c r="H655" s="464"/>
      <c r="I655" s="464"/>
    </row>
    <row r="656" spans="1:9" ht="15.75">
      <c r="A656" s="6">
        <f t="shared" si="30"/>
        <v>649</v>
      </c>
      <c r="B656" s="504">
        <v>44736.000019675928</v>
      </c>
      <c r="C656" s="489">
        <f t="shared" si="31"/>
        <v>177</v>
      </c>
      <c r="D656" s="489">
        <v>1.77</v>
      </c>
      <c r="E656" s="464"/>
      <c r="F656" s="464">
        <f t="shared" si="32"/>
        <v>1.27</v>
      </c>
      <c r="G656" s="464"/>
      <c r="H656" s="464"/>
      <c r="I656" s="464"/>
    </row>
    <row r="657" spans="1:9" ht="15.75">
      <c r="A657" s="7">
        <f t="shared" si="30"/>
        <v>650</v>
      </c>
      <c r="B657" s="504">
        <v>44736.041686400466</v>
      </c>
      <c r="C657" s="489">
        <f t="shared" si="31"/>
        <v>180.5</v>
      </c>
      <c r="D657" s="489">
        <v>1.8049999999999999</v>
      </c>
      <c r="E657" s="464"/>
      <c r="F657" s="464">
        <f t="shared" si="32"/>
        <v>1.3049999999999999</v>
      </c>
      <c r="G657" s="464"/>
      <c r="H657" s="464"/>
      <c r="I657" s="464"/>
    </row>
    <row r="658" spans="1:9" ht="15.75">
      <c r="A658" s="6">
        <f t="shared" si="30"/>
        <v>651</v>
      </c>
      <c r="B658" s="504">
        <v>44736.083353125003</v>
      </c>
      <c r="C658" s="489">
        <f t="shared" si="31"/>
        <v>182.9</v>
      </c>
      <c r="D658" s="489">
        <v>1.829</v>
      </c>
      <c r="E658" s="464"/>
      <c r="F658" s="464">
        <f t="shared" si="32"/>
        <v>1.329</v>
      </c>
      <c r="G658" s="464"/>
      <c r="H658" s="464"/>
      <c r="I658" s="464"/>
    </row>
    <row r="659" spans="1:9" ht="15.75">
      <c r="A659" s="7">
        <f t="shared" si="30"/>
        <v>652</v>
      </c>
      <c r="B659" s="504">
        <v>44736.12501984954</v>
      </c>
      <c r="C659" s="489">
        <f t="shared" si="31"/>
        <v>182.6</v>
      </c>
      <c r="D659" s="489">
        <v>1.8260000000000001</v>
      </c>
      <c r="E659" s="464"/>
      <c r="F659" s="464">
        <f t="shared" si="32"/>
        <v>1.3260000000000001</v>
      </c>
      <c r="G659" s="464"/>
      <c r="H659" s="464"/>
      <c r="I659" s="464"/>
    </row>
    <row r="660" spans="1:9" ht="15.75">
      <c r="A660" s="6">
        <f t="shared" si="30"/>
        <v>653</v>
      </c>
      <c r="B660" s="504">
        <v>44736.166686574077</v>
      </c>
      <c r="C660" s="489">
        <f t="shared" si="31"/>
        <v>178.8</v>
      </c>
      <c r="D660" s="489">
        <v>1.788</v>
      </c>
      <c r="E660" s="464"/>
      <c r="F660" s="464">
        <f t="shared" si="32"/>
        <v>1.288</v>
      </c>
      <c r="G660" s="464"/>
      <c r="H660" s="464"/>
      <c r="I660" s="464"/>
    </row>
    <row r="661" spans="1:9" ht="15.75">
      <c r="A661" s="7">
        <f t="shared" si="30"/>
        <v>654</v>
      </c>
      <c r="B661" s="504">
        <v>44736.208353298614</v>
      </c>
      <c r="C661" s="489">
        <f t="shared" si="31"/>
        <v>173.70000000000002</v>
      </c>
      <c r="D661" s="489">
        <v>1.7370000000000001</v>
      </c>
      <c r="E661" s="464"/>
      <c r="F661" s="464">
        <f t="shared" si="32"/>
        <v>1.2370000000000001</v>
      </c>
      <c r="G661" s="464"/>
      <c r="H661" s="464"/>
      <c r="I661" s="464"/>
    </row>
    <row r="662" spans="1:9" ht="15.75">
      <c r="A662" s="6">
        <f t="shared" si="30"/>
        <v>655</v>
      </c>
      <c r="B662" s="504">
        <v>44736.250020023152</v>
      </c>
      <c r="C662" s="489">
        <f t="shared" si="31"/>
        <v>169.70000000000002</v>
      </c>
      <c r="D662" s="489">
        <v>1.6970000000000001</v>
      </c>
      <c r="E662" s="464"/>
      <c r="F662" s="464">
        <f t="shared" si="32"/>
        <v>1.1970000000000001</v>
      </c>
      <c r="G662" s="464"/>
      <c r="H662" s="464"/>
      <c r="I662" s="464"/>
    </row>
    <row r="663" spans="1:9" ht="15.75">
      <c r="A663" s="7">
        <f t="shared" si="30"/>
        <v>656</v>
      </c>
      <c r="B663" s="504">
        <v>44736.291686747689</v>
      </c>
      <c r="C663" s="489">
        <f t="shared" si="31"/>
        <v>172.8</v>
      </c>
      <c r="D663" s="489">
        <v>1.728</v>
      </c>
      <c r="E663" s="464"/>
      <c r="F663" s="464">
        <f t="shared" si="32"/>
        <v>1.228</v>
      </c>
      <c r="G663" s="464"/>
      <c r="H663" s="464"/>
      <c r="I663" s="464"/>
    </row>
    <row r="664" spans="1:9" ht="15.75">
      <c r="A664" s="6">
        <f t="shared" si="30"/>
        <v>657</v>
      </c>
      <c r="B664" s="504">
        <v>44736.333353472219</v>
      </c>
      <c r="C664" s="489">
        <f t="shared" si="31"/>
        <v>175.6</v>
      </c>
      <c r="D664" s="489">
        <v>1.756</v>
      </c>
      <c r="E664" s="464"/>
      <c r="F664" s="464">
        <f t="shared" si="32"/>
        <v>1.256</v>
      </c>
      <c r="G664" s="464"/>
      <c r="H664" s="464"/>
      <c r="I664" s="464"/>
    </row>
    <row r="665" spans="1:9" ht="15.75">
      <c r="A665" s="7">
        <f t="shared" si="30"/>
        <v>658</v>
      </c>
      <c r="B665" s="504">
        <v>44736.375020196756</v>
      </c>
      <c r="C665" s="489">
        <f t="shared" si="31"/>
        <v>180</v>
      </c>
      <c r="D665" s="489">
        <v>1.8</v>
      </c>
      <c r="E665" s="464"/>
      <c r="F665" s="464">
        <f t="shared" si="32"/>
        <v>1.3</v>
      </c>
      <c r="G665" s="464"/>
      <c r="H665" s="464"/>
      <c r="I665" s="464"/>
    </row>
    <row r="666" spans="1:9" ht="15.75">
      <c r="A666" s="6">
        <f t="shared" si="30"/>
        <v>659</v>
      </c>
      <c r="B666" s="504">
        <v>44736.416686921293</v>
      </c>
      <c r="C666" s="489">
        <f t="shared" si="31"/>
        <v>183.1</v>
      </c>
      <c r="D666" s="489">
        <v>1.831</v>
      </c>
      <c r="E666" s="464"/>
      <c r="F666" s="464">
        <f t="shared" si="32"/>
        <v>1.331</v>
      </c>
      <c r="G666" s="464"/>
      <c r="H666" s="464"/>
      <c r="I666" s="464"/>
    </row>
    <row r="667" spans="1:9" ht="15.75">
      <c r="A667" s="7">
        <f t="shared" si="30"/>
        <v>660</v>
      </c>
      <c r="B667" s="504">
        <v>44736.45835364583</v>
      </c>
      <c r="C667" s="489">
        <f t="shared" si="31"/>
        <v>180.9</v>
      </c>
      <c r="D667" s="489">
        <v>1.8089999999999999</v>
      </c>
      <c r="E667" s="464"/>
      <c r="F667" s="464">
        <f t="shared" si="32"/>
        <v>1.3089999999999999</v>
      </c>
      <c r="G667" s="464"/>
      <c r="H667" s="464"/>
      <c r="I667" s="464"/>
    </row>
    <row r="668" spans="1:9" ht="15.75">
      <c r="A668" s="6">
        <f t="shared" si="30"/>
        <v>661</v>
      </c>
      <c r="B668" s="504">
        <v>44736.500020370368</v>
      </c>
      <c r="C668" s="489">
        <f t="shared" si="31"/>
        <v>176</v>
      </c>
      <c r="D668" s="489">
        <v>1.76</v>
      </c>
      <c r="E668" s="464"/>
      <c r="F668" s="464">
        <f t="shared" si="32"/>
        <v>1.26</v>
      </c>
      <c r="G668" s="464"/>
      <c r="H668" s="464"/>
      <c r="I668" s="464"/>
    </row>
    <row r="669" spans="1:9" ht="15.75">
      <c r="A669" s="7">
        <f t="shared" si="30"/>
        <v>662</v>
      </c>
      <c r="B669" s="504">
        <v>44736.541687094905</v>
      </c>
      <c r="C669" s="489">
        <f t="shared" si="31"/>
        <v>170.9</v>
      </c>
      <c r="D669" s="489">
        <v>1.7090000000000001</v>
      </c>
      <c r="E669" s="464"/>
      <c r="F669" s="464">
        <f t="shared" si="32"/>
        <v>1.2090000000000001</v>
      </c>
      <c r="G669" s="464"/>
      <c r="H669" s="464"/>
      <c r="I669" s="464"/>
    </row>
    <row r="670" spans="1:9" ht="15.75">
      <c r="A670" s="6">
        <f t="shared" si="30"/>
        <v>663</v>
      </c>
      <c r="B670" s="504">
        <v>44736.583353819442</v>
      </c>
      <c r="C670" s="489">
        <f t="shared" si="31"/>
        <v>161.69999999999999</v>
      </c>
      <c r="D670" s="489">
        <v>1.617</v>
      </c>
      <c r="E670" s="464"/>
      <c r="F670" s="464">
        <f t="shared" si="32"/>
        <v>1.117</v>
      </c>
      <c r="G670" s="464"/>
      <c r="H670" s="464"/>
      <c r="I670" s="464"/>
    </row>
    <row r="671" spans="1:9" ht="15.75">
      <c r="A671" s="7">
        <f t="shared" si="30"/>
        <v>664</v>
      </c>
      <c r="B671" s="504">
        <v>44736.625020543979</v>
      </c>
      <c r="C671" s="489">
        <f t="shared" si="31"/>
        <v>152.4</v>
      </c>
      <c r="D671" s="489">
        <v>1.524</v>
      </c>
      <c r="E671" s="464"/>
      <c r="F671" s="464">
        <f t="shared" si="32"/>
        <v>1.024</v>
      </c>
      <c r="G671" s="464"/>
      <c r="H671" s="464"/>
      <c r="I671" s="464"/>
    </row>
    <row r="672" spans="1:9" ht="15.75">
      <c r="A672" s="6">
        <f t="shared" si="30"/>
        <v>665</v>
      </c>
      <c r="B672" s="504">
        <v>44736.666687268516</v>
      </c>
      <c r="C672" s="489">
        <f t="shared" si="31"/>
        <v>141.9</v>
      </c>
      <c r="D672" s="489">
        <v>1.419</v>
      </c>
      <c r="E672" s="464"/>
      <c r="F672" s="464">
        <f t="shared" si="32"/>
        <v>0.91900000000000004</v>
      </c>
      <c r="G672" s="464"/>
      <c r="H672" s="464"/>
      <c r="I672" s="464"/>
    </row>
    <row r="673" spans="1:9" ht="15.75">
      <c r="A673" s="7">
        <f t="shared" si="30"/>
        <v>666</v>
      </c>
      <c r="B673" s="504">
        <v>44736.708353993054</v>
      </c>
      <c r="C673" s="489">
        <f t="shared" si="31"/>
        <v>131.4</v>
      </c>
      <c r="D673" s="489">
        <v>1.3140000000000001</v>
      </c>
      <c r="E673" s="464"/>
      <c r="F673" s="464">
        <f t="shared" si="32"/>
        <v>0.81400000000000006</v>
      </c>
      <c r="G673" s="464"/>
      <c r="H673" s="464"/>
      <c r="I673" s="464"/>
    </row>
    <row r="674" spans="1:9" ht="15.75">
      <c r="A674" s="6">
        <f t="shared" si="30"/>
        <v>667</v>
      </c>
      <c r="B674" s="504">
        <v>44736.750020717591</v>
      </c>
      <c r="C674" s="489">
        <f t="shared" si="31"/>
        <v>122.10000000000001</v>
      </c>
      <c r="D674" s="489">
        <v>1.2210000000000001</v>
      </c>
      <c r="E674" s="464"/>
      <c r="F674" s="464">
        <f t="shared" si="32"/>
        <v>0.72100000000000009</v>
      </c>
      <c r="G674" s="464"/>
      <c r="H674" s="464"/>
      <c r="I674" s="464"/>
    </row>
    <row r="675" spans="1:9" ht="15.75">
      <c r="A675" s="7">
        <f t="shared" si="30"/>
        <v>668</v>
      </c>
      <c r="B675" s="504">
        <v>44736.791687442128</v>
      </c>
      <c r="C675" s="489">
        <f t="shared" si="31"/>
        <v>117.10000000000001</v>
      </c>
      <c r="D675" s="489">
        <v>1.171</v>
      </c>
      <c r="E675" s="464"/>
      <c r="F675" s="464">
        <f t="shared" si="32"/>
        <v>0.67100000000000004</v>
      </c>
      <c r="G675" s="464"/>
      <c r="H675" s="464"/>
      <c r="I675" s="464"/>
    </row>
    <row r="676" spans="1:9" ht="15.75">
      <c r="A676" s="6">
        <f t="shared" si="30"/>
        <v>669</v>
      </c>
      <c r="B676" s="504">
        <v>44736.833354166665</v>
      </c>
      <c r="C676" s="489">
        <f t="shared" si="31"/>
        <v>114.9</v>
      </c>
      <c r="D676" s="489">
        <v>1.149</v>
      </c>
      <c r="E676" s="464"/>
      <c r="F676" s="464">
        <f t="shared" si="32"/>
        <v>0.64900000000000002</v>
      </c>
      <c r="G676" s="464"/>
      <c r="H676" s="464"/>
      <c r="I676" s="464"/>
    </row>
    <row r="677" spans="1:9" ht="15.75">
      <c r="A677" s="7">
        <f t="shared" si="30"/>
        <v>670</v>
      </c>
      <c r="B677" s="504">
        <v>44736.875020891202</v>
      </c>
      <c r="C677" s="489">
        <f t="shared" si="31"/>
        <v>124.4</v>
      </c>
      <c r="D677" s="489">
        <v>1.244</v>
      </c>
      <c r="E677" s="464"/>
      <c r="F677" s="464">
        <f t="shared" si="32"/>
        <v>0.74399999999999999</v>
      </c>
      <c r="G677" s="464"/>
      <c r="H677" s="464"/>
      <c r="I677" s="464"/>
    </row>
    <row r="678" spans="1:9" ht="15.75">
      <c r="A678" s="6">
        <f t="shared" si="30"/>
        <v>671</v>
      </c>
      <c r="B678" s="504">
        <v>44736.91668761574</v>
      </c>
      <c r="C678" s="489">
        <f t="shared" si="31"/>
        <v>138.5</v>
      </c>
      <c r="D678" s="489">
        <v>1.385</v>
      </c>
      <c r="E678" s="464"/>
      <c r="F678" s="464">
        <f t="shared" si="32"/>
        <v>0.88500000000000001</v>
      </c>
      <c r="G678" s="464"/>
      <c r="H678" s="464"/>
      <c r="I678" s="464"/>
    </row>
    <row r="679" spans="1:9" ht="15.75">
      <c r="A679" s="7">
        <f t="shared" si="30"/>
        <v>672</v>
      </c>
      <c r="B679" s="504">
        <v>44736.958354340277</v>
      </c>
      <c r="C679" s="489">
        <f t="shared" si="31"/>
        <v>156.69999999999999</v>
      </c>
      <c r="D679" s="489">
        <v>1.5669999999999999</v>
      </c>
      <c r="E679" s="464"/>
      <c r="F679" s="464">
        <f t="shared" si="32"/>
        <v>1.0669999999999999</v>
      </c>
      <c r="G679" s="464"/>
      <c r="H679" s="464"/>
      <c r="I679" s="464"/>
    </row>
    <row r="680" spans="1:9" ht="15.75">
      <c r="A680" s="6">
        <f t="shared" si="30"/>
        <v>673</v>
      </c>
      <c r="B680" s="504">
        <v>44737.000021064814</v>
      </c>
      <c r="C680" s="489">
        <f t="shared" si="31"/>
        <v>171.9</v>
      </c>
      <c r="D680" s="489">
        <v>1.7190000000000001</v>
      </c>
      <c r="E680" s="464"/>
      <c r="F680" s="464">
        <f t="shared" si="32"/>
        <v>1.2190000000000001</v>
      </c>
      <c r="G680" s="464"/>
      <c r="H680" s="464"/>
      <c r="I680" s="464"/>
    </row>
    <row r="681" spans="1:9" ht="15.75">
      <c r="A681" s="7">
        <f t="shared" si="30"/>
        <v>674</v>
      </c>
      <c r="B681" s="504">
        <v>44737.041687789351</v>
      </c>
      <c r="C681" s="489">
        <f t="shared" si="31"/>
        <v>188.7</v>
      </c>
      <c r="D681" s="489">
        <v>1.887</v>
      </c>
      <c r="E681" s="464"/>
      <c r="F681" s="464">
        <f t="shared" si="32"/>
        <v>1.387</v>
      </c>
      <c r="G681" s="464"/>
      <c r="H681" s="464"/>
      <c r="I681" s="464"/>
    </row>
    <row r="682" spans="1:9" ht="15.75">
      <c r="A682" s="6">
        <f t="shared" si="30"/>
        <v>675</v>
      </c>
      <c r="B682" s="504">
        <v>44737.083354513888</v>
      </c>
      <c r="C682" s="489">
        <f t="shared" si="31"/>
        <v>200.70000000000002</v>
      </c>
      <c r="D682" s="489">
        <v>2.0070000000000001</v>
      </c>
      <c r="E682" s="464"/>
      <c r="F682" s="464">
        <f t="shared" si="32"/>
        <v>1.5070000000000001</v>
      </c>
      <c r="G682" s="464"/>
      <c r="H682" s="464"/>
      <c r="I682" s="464"/>
    </row>
    <row r="683" spans="1:9" ht="15.75">
      <c r="A683" s="7">
        <f t="shared" si="30"/>
        <v>676</v>
      </c>
      <c r="B683" s="504">
        <v>44737.125021238426</v>
      </c>
      <c r="C683" s="489">
        <f t="shared" si="31"/>
        <v>205.29999999999998</v>
      </c>
      <c r="D683" s="489">
        <v>2.0529999999999999</v>
      </c>
      <c r="E683" s="464"/>
      <c r="F683" s="464">
        <f t="shared" si="32"/>
        <v>1.5529999999999999</v>
      </c>
      <c r="G683" s="464"/>
      <c r="H683" s="464"/>
      <c r="I683" s="464"/>
    </row>
    <row r="684" spans="1:9" ht="15.75">
      <c r="A684" s="6">
        <f t="shared" si="30"/>
        <v>677</v>
      </c>
      <c r="B684" s="504">
        <v>44737.166687962963</v>
      </c>
      <c r="C684" s="489">
        <f t="shared" si="31"/>
        <v>203.79999999999998</v>
      </c>
      <c r="D684" s="489">
        <v>2.0379999999999998</v>
      </c>
      <c r="E684" s="464"/>
      <c r="F684" s="464">
        <f t="shared" si="32"/>
        <v>1.5379999999999998</v>
      </c>
      <c r="G684" s="464"/>
      <c r="H684" s="464"/>
      <c r="I684" s="464"/>
    </row>
    <row r="685" spans="1:9" ht="15.75">
      <c r="A685" s="7">
        <f t="shared" si="30"/>
        <v>678</v>
      </c>
      <c r="B685" s="504">
        <v>44737.2083546875</v>
      </c>
      <c r="C685" s="489">
        <f t="shared" si="31"/>
        <v>197.2</v>
      </c>
      <c r="D685" s="489">
        <v>1.972</v>
      </c>
      <c r="E685" s="464"/>
      <c r="F685" s="464">
        <f t="shared" si="32"/>
        <v>1.472</v>
      </c>
      <c r="G685" s="464"/>
      <c r="H685" s="464"/>
      <c r="I685" s="464"/>
    </row>
    <row r="686" spans="1:9" ht="15.75">
      <c r="A686" s="6">
        <f t="shared" si="30"/>
        <v>679</v>
      </c>
      <c r="B686" s="504">
        <v>44737.250021412037</v>
      </c>
      <c r="C686" s="489">
        <f t="shared" si="31"/>
        <v>192</v>
      </c>
      <c r="D686" s="489">
        <v>1.92</v>
      </c>
      <c r="E686" s="464"/>
      <c r="F686" s="464">
        <f t="shared" si="32"/>
        <v>1.42</v>
      </c>
      <c r="G686" s="464"/>
      <c r="H686" s="464"/>
      <c r="I686" s="464"/>
    </row>
    <row r="687" spans="1:9" ht="15.75">
      <c r="A687" s="7">
        <f t="shared" si="30"/>
        <v>680</v>
      </c>
      <c r="B687" s="504">
        <v>44737.291688136575</v>
      </c>
      <c r="C687" s="489">
        <f t="shared" si="31"/>
        <v>184.7</v>
      </c>
      <c r="D687" s="489">
        <v>1.847</v>
      </c>
      <c r="E687" s="464"/>
      <c r="F687" s="464">
        <f t="shared" si="32"/>
        <v>1.347</v>
      </c>
      <c r="G687" s="464"/>
      <c r="H687" s="464"/>
      <c r="I687" s="464"/>
    </row>
    <row r="688" spans="1:9" ht="15.75">
      <c r="A688" s="6">
        <f t="shared" si="30"/>
        <v>681</v>
      </c>
      <c r="B688" s="504">
        <v>44737.333354861112</v>
      </c>
      <c r="C688" s="489">
        <f t="shared" si="31"/>
        <v>175.7</v>
      </c>
      <c r="D688" s="489">
        <v>1.7569999999999999</v>
      </c>
      <c r="E688" s="464"/>
      <c r="F688" s="464">
        <f t="shared" si="32"/>
        <v>1.2569999999999999</v>
      </c>
      <c r="G688" s="464"/>
      <c r="H688" s="464"/>
      <c r="I688" s="464"/>
    </row>
    <row r="689" spans="1:9" ht="15.75">
      <c r="A689" s="7">
        <f t="shared" si="30"/>
        <v>682</v>
      </c>
      <c r="B689" s="504">
        <v>44737.375021585649</v>
      </c>
      <c r="C689" s="489">
        <f t="shared" si="31"/>
        <v>168.4</v>
      </c>
      <c r="D689" s="489">
        <v>1.6839999999999999</v>
      </c>
      <c r="E689" s="464"/>
      <c r="F689" s="464">
        <f t="shared" si="32"/>
        <v>1.1839999999999999</v>
      </c>
      <c r="G689" s="464"/>
      <c r="H689" s="464"/>
      <c r="I689" s="464"/>
    </row>
    <row r="690" spans="1:9" ht="15.75">
      <c r="A690" s="6">
        <f t="shared" si="30"/>
        <v>683</v>
      </c>
      <c r="B690" s="504">
        <v>44737.416688310186</v>
      </c>
      <c r="C690" s="489">
        <f t="shared" si="31"/>
        <v>163.5</v>
      </c>
      <c r="D690" s="489">
        <v>1.635</v>
      </c>
      <c r="E690" s="464"/>
      <c r="F690" s="464">
        <f t="shared" si="32"/>
        <v>1.135</v>
      </c>
      <c r="G690" s="464"/>
      <c r="H690" s="464"/>
      <c r="I690" s="464"/>
    </row>
    <row r="691" spans="1:9" ht="15.75">
      <c r="A691" s="7">
        <f t="shared" si="30"/>
        <v>684</v>
      </c>
      <c r="B691" s="504">
        <v>44737.458355034723</v>
      </c>
      <c r="C691" s="489">
        <f t="shared" si="31"/>
        <v>165.39999999999998</v>
      </c>
      <c r="D691" s="489">
        <v>1.6539999999999999</v>
      </c>
      <c r="E691" s="464"/>
      <c r="F691" s="464">
        <f t="shared" si="32"/>
        <v>1.1539999999999999</v>
      </c>
      <c r="G691" s="464"/>
      <c r="H691" s="464"/>
      <c r="I691" s="464"/>
    </row>
    <row r="692" spans="1:9" ht="15.75">
      <c r="A692" s="6">
        <f t="shared" si="30"/>
        <v>685</v>
      </c>
      <c r="B692" s="504">
        <v>44737.500021759261</v>
      </c>
      <c r="C692" s="489">
        <f t="shared" si="31"/>
        <v>166.79999999999998</v>
      </c>
      <c r="D692" s="489">
        <v>1.6679999999999999</v>
      </c>
      <c r="E692" s="464"/>
      <c r="F692" s="464">
        <f t="shared" si="32"/>
        <v>1.1679999999999999</v>
      </c>
      <c r="G692" s="464"/>
      <c r="H692" s="464"/>
      <c r="I692" s="464"/>
    </row>
    <row r="693" spans="1:9" ht="15.75">
      <c r="A693" s="7">
        <f t="shared" si="30"/>
        <v>686</v>
      </c>
      <c r="B693" s="504">
        <v>44737.541688483798</v>
      </c>
      <c r="C693" s="489">
        <f t="shared" si="31"/>
        <v>167.2</v>
      </c>
      <c r="D693" s="489">
        <v>1.6719999999999999</v>
      </c>
      <c r="E693" s="464"/>
      <c r="F693" s="464">
        <f t="shared" si="32"/>
        <v>1.1719999999999999</v>
      </c>
      <c r="G693" s="464"/>
      <c r="H693" s="464"/>
      <c r="I693" s="464"/>
    </row>
    <row r="694" spans="1:9" ht="15.75">
      <c r="A694" s="6">
        <f t="shared" si="30"/>
        <v>687</v>
      </c>
      <c r="B694" s="504">
        <v>44737.583355208335</v>
      </c>
      <c r="C694" s="489">
        <f t="shared" si="31"/>
        <v>166.79999999999998</v>
      </c>
      <c r="D694" s="489">
        <v>1.6679999999999999</v>
      </c>
      <c r="E694" s="464"/>
      <c r="F694" s="464">
        <f t="shared" si="32"/>
        <v>1.1679999999999999</v>
      </c>
      <c r="G694" s="464"/>
      <c r="H694" s="464"/>
      <c r="I694" s="464"/>
    </row>
    <row r="695" spans="1:9" ht="15.75">
      <c r="A695" s="7">
        <f t="shared" si="30"/>
        <v>688</v>
      </c>
      <c r="B695" s="504">
        <v>44737.625021932872</v>
      </c>
      <c r="C695" s="489">
        <f t="shared" si="31"/>
        <v>158.80000000000001</v>
      </c>
      <c r="D695" s="489">
        <v>1.5880000000000001</v>
      </c>
      <c r="E695" s="464"/>
      <c r="F695" s="464">
        <f t="shared" si="32"/>
        <v>1.0880000000000001</v>
      </c>
      <c r="G695" s="464"/>
      <c r="H695" s="464"/>
      <c r="I695" s="464"/>
    </row>
    <row r="696" spans="1:9" ht="15.75">
      <c r="A696" s="6">
        <f t="shared" si="30"/>
        <v>689</v>
      </c>
      <c r="B696" s="504">
        <v>44737.666688657409</v>
      </c>
      <c r="C696" s="489">
        <f t="shared" si="31"/>
        <v>149.5</v>
      </c>
      <c r="D696" s="489">
        <v>1.4950000000000001</v>
      </c>
      <c r="E696" s="464"/>
      <c r="F696" s="464">
        <f t="shared" si="32"/>
        <v>0.99500000000000011</v>
      </c>
      <c r="G696" s="464"/>
      <c r="H696" s="464"/>
      <c r="I696" s="464"/>
    </row>
    <row r="697" spans="1:9" ht="15.75">
      <c r="A697" s="7">
        <f t="shared" si="30"/>
        <v>690</v>
      </c>
      <c r="B697" s="504">
        <v>44737.708355381947</v>
      </c>
      <c r="C697" s="489">
        <f t="shared" si="31"/>
        <v>139.9</v>
      </c>
      <c r="D697" s="489">
        <v>1.399</v>
      </c>
      <c r="E697" s="464"/>
      <c r="F697" s="464">
        <f t="shared" si="32"/>
        <v>0.89900000000000002</v>
      </c>
      <c r="G697" s="464"/>
      <c r="H697" s="464"/>
      <c r="I697" s="464"/>
    </row>
    <row r="698" spans="1:9" ht="15.75">
      <c r="A698" s="6">
        <f t="shared" si="30"/>
        <v>691</v>
      </c>
      <c r="B698" s="504">
        <v>44737.750022106484</v>
      </c>
      <c r="C698" s="489">
        <f t="shared" si="31"/>
        <v>126.2</v>
      </c>
      <c r="D698" s="489">
        <v>1.262</v>
      </c>
      <c r="E698" s="464"/>
      <c r="F698" s="464">
        <f t="shared" si="32"/>
        <v>0.76200000000000001</v>
      </c>
      <c r="G698" s="464"/>
      <c r="H698" s="464"/>
      <c r="I698" s="464"/>
    </row>
    <row r="699" spans="1:9" ht="15.75">
      <c r="A699" s="7">
        <f t="shared" si="30"/>
        <v>692</v>
      </c>
      <c r="B699" s="504">
        <v>44737.791688831021</v>
      </c>
      <c r="C699" s="489">
        <f t="shared" si="31"/>
        <v>114.39999999999999</v>
      </c>
      <c r="D699" s="489">
        <v>1.1439999999999999</v>
      </c>
      <c r="E699" s="464"/>
      <c r="F699" s="464">
        <f t="shared" si="32"/>
        <v>0.64399999999999991</v>
      </c>
      <c r="G699" s="464"/>
      <c r="H699" s="464"/>
      <c r="I699" s="464"/>
    </row>
    <row r="700" spans="1:9" ht="15.75">
      <c r="A700" s="6">
        <f t="shared" si="30"/>
        <v>693</v>
      </c>
      <c r="B700" s="504">
        <v>44737.833355555558</v>
      </c>
      <c r="C700" s="489">
        <f t="shared" si="31"/>
        <v>111.4</v>
      </c>
      <c r="D700" s="489">
        <v>1.1140000000000001</v>
      </c>
      <c r="E700" s="464"/>
      <c r="F700" s="464">
        <f t="shared" si="32"/>
        <v>0.6140000000000001</v>
      </c>
      <c r="G700" s="464"/>
      <c r="H700" s="464"/>
      <c r="I700" s="464"/>
    </row>
    <row r="701" spans="1:9" ht="15.75">
      <c r="A701" s="7">
        <f t="shared" si="30"/>
        <v>694</v>
      </c>
      <c r="B701" s="504">
        <v>44737.875022280095</v>
      </c>
      <c r="C701" s="489">
        <f t="shared" si="31"/>
        <v>112.99999999999999</v>
      </c>
      <c r="D701" s="489">
        <v>1.1299999999999999</v>
      </c>
      <c r="E701" s="464"/>
      <c r="F701" s="464">
        <f t="shared" si="32"/>
        <v>0.62999999999999989</v>
      </c>
      <c r="G701" s="464"/>
      <c r="H701" s="464"/>
      <c r="I701" s="464"/>
    </row>
    <row r="702" spans="1:9" ht="15.75">
      <c r="A702" s="6">
        <f t="shared" si="30"/>
        <v>695</v>
      </c>
      <c r="B702" s="504">
        <v>44737.916689004633</v>
      </c>
      <c r="C702" s="489">
        <f t="shared" si="31"/>
        <v>120.39999999999999</v>
      </c>
      <c r="D702" s="489">
        <v>1.204</v>
      </c>
      <c r="E702" s="464"/>
      <c r="F702" s="464">
        <f t="shared" si="32"/>
        <v>0.70399999999999996</v>
      </c>
      <c r="G702" s="464"/>
      <c r="H702" s="464"/>
      <c r="I702" s="464"/>
    </row>
    <row r="703" spans="1:9" ht="15.75">
      <c r="A703" s="7">
        <f t="shared" si="30"/>
        <v>696</v>
      </c>
      <c r="B703" s="504">
        <v>44737.95835572917</v>
      </c>
      <c r="C703" s="489">
        <f t="shared" si="31"/>
        <v>135</v>
      </c>
      <c r="D703" s="489">
        <v>1.35</v>
      </c>
      <c r="E703" s="464"/>
      <c r="F703" s="464">
        <f t="shared" si="32"/>
        <v>0.85000000000000009</v>
      </c>
      <c r="G703" s="464"/>
      <c r="H703" s="464"/>
      <c r="I703" s="464"/>
    </row>
    <row r="704" spans="1:9" ht="15.75">
      <c r="A704" s="6">
        <f t="shared" si="30"/>
        <v>697</v>
      </c>
      <c r="B704" s="504">
        <v>44738.000022453707</v>
      </c>
      <c r="C704" s="489">
        <f t="shared" si="31"/>
        <v>156.4</v>
      </c>
      <c r="D704" s="489">
        <v>1.5640000000000001</v>
      </c>
      <c r="F704" s="464">
        <f t="shared" si="32"/>
        <v>1.0640000000000001</v>
      </c>
    </row>
    <row r="705" spans="1:6" ht="15.75">
      <c r="A705" s="7">
        <f t="shared" si="30"/>
        <v>698</v>
      </c>
      <c r="B705" s="504">
        <v>44738.041689178244</v>
      </c>
      <c r="C705" s="489">
        <f t="shared" si="31"/>
        <v>181.20000000000002</v>
      </c>
      <c r="D705" s="489">
        <v>1.8120000000000001</v>
      </c>
      <c r="F705" s="464">
        <f t="shared" si="32"/>
        <v>1.3120000000000001</v>
      </c>
    </row>
    <row r="706" spans="1:6" ht="15.75">
      <c r="A706" s="6">
        <f t="shared" si="30"/>
        <v>699</v>
      </c>
      <c r="B706" s="504">
        <v>44738.083355902774</v>
      </c>
      <c r="C706" s="489">
        <f t="shared" si="31"/>
        <v>203.79999999999998</v>
      </c>
      <c r="D706" s="489">
        <v>2.0379999999999998</v>
      </c>
      <c r="F706" s="464">
        <f t="shared" si="32"/>
        <v>1.5379999999999998</v>
      </c>
    </row>
    <row r="707" spans="1:6" ht="15.75">
      <c r="A707" s="7">
        <f t="shared" si="30"/>
        <v>700</v>
      </c>
      <c r="B707" s="504">
        <v>44738.125022627311</v>
      </c>
      <c r="C707" s="489">
        <f t="shared" si="31"/>
        <v>219.1</v>
      </c>
      <c r="D707" s="489">
        <v>2.1909999999999998</v>
      </c>
      <c r="F707" s="464">
        <f t="shared" si="32"/>
        <v>1.6909999999999998</v>
      </c>
    </row>
    <row r="708" spans="1:6" ht="15.75">
      <c r="A708" s="6">
        <f t="shared" si="30"/>
        <v>701</v>
      </c>
      <c r="B708" s="504">
        <v>44738.166689351849</v>
      </c>
      <c r="C708" s="489">
        <f t="shared" si="31"/>
        <v>225.1</v>
      </c>
      <c r="D708" s="489">
        <v>2.2509999999999999</v>
      </c>
      <c r="F708" s="464">
        <f t="shared" si="32"/>
        <v>1.7509999999999999</v>
      </c>
    </row>
    <row r="709" spans="1:6" ht="15.75">
      <c r="A709" s="7">
        <f t="shared" si="30"/>
        <v>702</v>
      </c>
      <c r="B709" s="504">
        <v>44738.208356076386</v>
      </c>
      <c r="C709" s="489">
        <f t="shared" si="31"/>
        <v>223.3</v>
      </c>
      <c r="D709" s="489">
        <v>2.2330000000000001</v>
      </c>
      <c r="F709" s="464">
        <f t="shared" si="32"/>
        <v>1.7330000000000001</v>
      </c>
    </row>
    <row r="710" spans="1:6" ht="15.75">
      <c r="A710" s="6">
        <f t="shared" si="30"/>
        <v>703</v>
      </c>
      <c r="B710" s="504">
        <v>44738.250022800923</v>
      </c>
      <c r="C710" s="489">
        <f t="shared" si="31"/>
        <v>214.5</v>
      </c>
      <c r="D710" s="489">
        <v>2.145</v>
      </c>
      <c r="F710" s="464">
        <f t="shared" si="32"/>
        <v>1.645</v>
      </c>
    </row>
    <row r="711" spans="1:6" ht="15.75">
      <c r="A711" s="7">
        <f t="shared" si="30"/>
        <v>704</v>
      </c>
      <c r="B711" s="504">
        <v>44738.29168952546</v>
      </c>
      <c r="C711" s="489">
        <f t="shared" si="31"/>
        <v>200.1</v>
      </c>
      <c r="D711" s="489">
        <v>2.0009999999999999</v>
      </c>
      <c r="F711" s="464">
        <f t="shared" si="32"/>
        <v>1.5009999999999999</v>
      </c>
    </row>
    <row r="712" spans="1:6" ht="15.75">
      <c r="A712" s="6">
        <f t="shared" ref="A712:A727" si="33">A711+1</f>
        <v>705</v>
      </c>
      <c r="B712" s="504">
        <v>44738.333356249997</v>
      </c>
      <c r="C712" s="489">
        <f t="shared" si="31"/>
        <v>181.20000000000002</v>
      </c>
      <c r="D712" s="489">
        <v>1.8120000000000001</v>
      </c>
      <c r="F712" s="464">
        <f t="shared" si="32"/>
        <v>1.3120000000000001</v>
      </c>
    </row>
    <row r="713" spans="1:6" ht="15.75">
      <c r="A713" s="7">
        <f t="shared" si="33"/>
        <v>706</v>
      </c>
      <c r="B713" s="504">
        <v>44738.375022974535</v>
      </c>
      <c r="C713" s="489">
        <f t="shared" ref="C713:C737" si="34">D713*100</f>
        <v>165.3</v>
      </c>
      <c r="D713" s="489">
        <v>1.653</v>
      </c>
      <c r="F713" s="464">
        <f t="shared" ref="F713:F775" si="35">D713-0.5</f>
        <v>1.153</v>
      </c>
    </row>
    <row r="714" spans="1:6" ht="15.75">
      <c r="A714" s="6">
        <f t="shared" si="33"/>
        <v>707</v>
      </c>
      <c r="B714" s="504">
        <v>44738.416689699072</v>
      </c>
      <c r="C714" s="489">
        <f t="shared" si="34"/>
        <v>155.29999999999998</v>
      </c>
      <c r="D714" s="489">
        <v>1.5529999999999999</v>
      </c>
      <c r="F714" s="464">
        <f t="shared" si="35"/>
        <v>1.0529999999999999</v>
      </c>
    </row>
    <row r="715" spans="1:6" ht="15.75">
      <c r="A715" s="7">
        <f t="shared" si="33"/>
        <v>708</v>
      </c>
      <c r="B715" s="504">
        <v>44738.458356423609</v>
      </c>
      <c r="C715" s="489">
        <f t="shared" si="34"/>
        <v>150.29999999999998</v>
      </c>
      <c r="D715" s="489">
        <v>1.5029999999999999</v>
      </c>
      <c r="F715" s="464">
        <f t="shared" si="35"/>
        <v>1.0029999999999999</v>
      </c>
    </row>
    <row r="716" spans="1:6" ht="15.75">
      <c r="A716" s="6">
        <f t="shared" si="33"/>
        <v>709</v>
      </c>
      <c r="B716" s="504">
        <v>44738.500023148146</v>
      </c>
      <c r="C716" s="489">
        <f t="shared" si="34"/>
        <v>151.1</v>
      </c>
      <c r="D716" s="489">
        <v>1.5109999999999999</v>
      </c>
      <c r="F716" s="464">
        <f t="shared" si="35"/>
        <v>1.0109999999999999</v>
      </c>
    </row>
    <row r="717" spans="1:6" ht="15.75">
      <c r="A717" s="7">
        <f t="shared" si="33"/>
        <v>710</v>
      </c>
      <c r="B717" s="504">
        <v>44738.541689872683</v>
      </c>
      <c r="C717" s="489">
        <f t="shared" si="34"/>
        <v>157</v>
      </c>
      <c r="D717" s="489">
        <v>1.57</v>
      </c>
      <c r="F717" s="464">
        <f t="shared" si="35"/>
        <v>1.07</v>
      </c>
    </row>
    <row r="718" spans="1:6" ht="15.75">
      <c r="A718" s="6">
        <f t="shared" si="33"/>
        <v>711</v>
      </c>
      <c r="B718" s="504">
        <v>44738.583356539355</v>
      </c>
      <c r="C718" s="489">
        <f t="shared" si="34"/>
        <v>156.15</v>
      </c>
      <c r="D718" s="489">
        <v>1.5615000000000001</v>
      </c>
      <c r="F718" s="464">
        <f t="shared" si="35"/>
        <v>1.0615000000000001</v>
      </c>
    </row>
    <row r="719" spans="1:6" ht="15.75">
      <c r="A719" s="7">
        <f t="shared" si="33"/>
        <v>712</v>
      </c>
      <c r="B719" s="504">
        <v>44738.625023263892</v>
      </c>
      <c r="C719" s="489">
        <f t="shared" si="34"/>
        <v>155.29999999999998</v>
      </c>
      <c r="D719" s="489">
        <v>1.5529999999999999</v>
      </c>
      <c r="F719" s="464">
        <f t="shared" si="35"/>
        <v>1.0529999999999999</v>
      </c>
    </row>
    <row r="720" spans="1:6" ht="15.75">
      <c r="A720" s="6">
        <f t="shared" si="33"/>
        <v>713</v>
      </c>
      <c r="B720" s="504">
        <v>44738.666689988429</v>
      </c>
      <c r="C720" s="489">
        <f t="shared" si="34"/>
        <v>148.30000000000001</v>
      </c>
      <c r="D720" s="489">
        <v>1.4830000000000001</v>
      </c>
      <c r="F720" s="464">
        <f t="shared" si="35"/>
        <v>0.9830000000000001</v>
      </c>
    </row>
    <row r="721" spans="1:6" ht="15.75">
      <c r="A721" s="7">
        <f t="shared" si="33"/>
        <v>714</v>
      </c>
      <c r="B721" s="504">
        <v>44738.708356712959</v>
      </c>
      <c r="C721" s="489">
        <f t="shared" si="34"/>
        <v>142</v>
      </c>
      <c r="D721" s="489">
        <v>1.42</v>
      </c>
      <c r="F721" s="464">
        <f t="shared" si="35"/>
        <v>0.91999999999999993</v>
      </c>
    </row>
    <row r="722" spans="1:6" ht="15.75">
      <c r="A722" s="6">
        <f t="shared" si="33"/>
        <v>715</v>
      </c>
      <c r="B722" s="504">
        <v>44738.750023437497</v>
      </c>
      <c r="C722" s="489">
        <f t="shared" si="34"/>
        <v>131.1</v>
      </c>
      <c r="D722" s="489">
        <v>1.3109999999999999</v>
      </c>
      <c r="F722" s="464">
        <f t="shared" si="35"/>
        <v>0.81099999999999994</v>
      </c>
    </row>
    <row r="723" spans="1:6" ht="15.75">
      <c r="A723" s="7">
        <f t="shared" si="33"/>
        <v>716</v>
      </c>
      <c r="B723" s="504">
        <v>44738.791690162034</v>
      </c>
      <c r="C723" s="489">
        <f t="shared" si="34"/>
        <v>122</v>
      </c>
      <c r="D723" s="489">
        <v>1.22</v>
      </c>
      <c r="F723" s="464">
        <f t="shared" si="35"/>
        <v>0.72</v>
      </c>
    </row>
    <row r="724" spans="1:6" ht="15.75">
      <c r="A724" s="6">
        <f t="shared" si="33"/>
        <v>717</v>
      </c>
      <c r="B724" s="504">
        <v>44738.833356886571</v>
      </c>
      <c r="C724" s="489">
        <f t="shared" si="34"/>
        <v>110.80000000000001</v>
      </c>
      <c r="D724" s="489">
        <v>1.1080000000000001</v>
      </c>
      <c r="F724" s="464">
        <f t="shared" si="35"/>
        <v>0.6080000000000001</v>
      </c>
    </row>
    <row r="725" spans="1:6" ht="15.75">
      <c r="A725" s="7">
        <f t="shared" si="33"/>
        <v>718</v>
      </c>
      <c r="B725" s="504">
        <v>44738.875023611108</v>
      </c>
      <c r="C725" s="489">
        <f t="shared" si="34"/>
        <v>104.5</v>
      </c>
      <c r="D725" s="489">
        <v>1.0449999999999999</v>
      </c>
      <c r="F725" s="464">
        <f t="shared" si="35"/>
        <v>0.54499999999999993</v>
      </c>
    </row>
    <row r="726" spans="1:6" ht="15.75">
      <c r="A726" s="6">
        <f t="shared" si="33"/>
        <v>719</v>
      </c>
      <c r="B726" s="504">
        <v>44738.916690335645</v>
      </c>
      <c r="C726" s="489">
        <f t="shared" si="34"/>
        <v>100.89999999999999</v>
      </c>
      <c r="D726" s="489">
        <v>1.0089999999999999</v>
      </c>
      <c r="F726" s="464">
        <f t="shared" si="35"/>
        <v>0.5089999999999999</v>
      </c>
    </row>
    <row r="727" spans="1:6" ht="15.75">
      <c r="A727" s="7">
        <f t="shared" si="33"/>
        <v>720</v>
      </c>
      <c r="B727" s="504">
        <v>44738.958357060183</v>
      </c>
      <c r="C727" s="489">
        <f t="shared" si="34"/>
        <v>110.9</v>
      </c>
      <c r="D727" s="489">
        <v>1.109</v>
      </c>
      <c r="F727" s="464">
        <f t="shared" si="35"/>
        <v>0.60899999999999999</v>
      </c>
    </row>
    <row r="728" spans="1:6">
      <c r="B728" s="504">
        <v>44739.00002378472</v>
      </c>
      <c r="C728" s="489">
        <f t="shared" si="34"/>
        <v>130.6</v>
      </c>
      <c r="D728" s="489">
        <v>1.306</v>
      </c>
      <c r="F728" s="464">
        <f t="shared" si="35"/>
        <v>0.80600000000000005</v>
      </c>
    </row>
    <row r="729" spans="1:6">
      <c r="B729" s="504">
        <v>44739.041690509257</v>
      </c>
      <c r="C729" s="489">
        <f t="shared" si="34"/>
        <v>159.69999999999999</v>
      </c>
      <c r="D729" s="489">
        <v>1.597</v>
      </c>
      <c r="F729" s="464">
        <f t="shared" si="35"/>
        <v>1.097</v>
      </c>
    </row>
    <row r="730" spans="1:6">
      <c r="B730" s="504">
        <v>44739.083357233794</v>
      </c>
      <c r="C730" s="489">
        <f t="shared" si="34"/>
        <v>190.5</v>
      </c>
      <c r="D730" s="489">
        <v>1.905</v>
      </c>
      <c r="F730" s="464">
        <f t="shared" si="35"/>
        <v>1.405</v>
      </c>
    </row>
    <row r="731" spans="1:6">
      <c r="B731" s="504">
        <v>44739.125023958331</v>
      </c>
      <c r="C731" s="489">
        <f t="shared" si="34"/>
        <v>221.70000000000002</v>
      </c>
      <c r="D731" s="489">
        <v>2.2170000000000001</v>
      </c>
      <c r="F731" s="464">
        <f t="shared" si="35"/>
        <v>1.7170000000000001</v>
      </c>
    </row>
    <row r="732" spans="1:6">
      <c r="B732" s="504">
        <v>44739.166690682869</v>
      </c>
      <c r="C732" s="489">
        <f t="shared" si="34"/>
        <v>240.49999999999997</v>
      </c>
      <c r="D732" s="489">
        <v>2.4049999999999998</v>
      </c>
      <c r="F732" s="464">
        <f t="shared" si="35"/>
        <v>1.9049999999999998</v>
      </c>
    </row>
    <row r="733" spans="1:6">
      <c r="B733" s="504">
        <v>44739.208357407406</v>
      </c>
      <c r="C733" s="489">
        <f t="shared" si="34"/>
        <v>242.1</v>
      </c>
      <c r="D733" s="489">
        <v>2.4209999999999998</v>
      </c>
      <c r="F733" s="464">
        <f t="shared" si="35"/>
        <v>1.9209999999999998</v>
      </c>
    </row>
    <row r="734" spans="1:6">
      <c r="B734" s="504">
        <v>44739.250024131943</v>
      </c>
      <c r="C734" s="489">
        <f t="shared" si="34"/>
        <v>237</v>
      </c>
      <c r="D734" s="489">
        <v>2.37</v>
      </c>
      <c r="F734" s="464">
        <f t="shared" si="35"/>
        <v>1.87</v>
      </c>
    </row>
    <row r="735" spans="1:6">
      <c r="B735" s="504">
        <v>44739.29169085648</v>
      </c>
      <c r="C735" s="489">
        <f t="shared" si="34"/>
        <v>222.5</v>
      </c>
      <c r="D735" s="489">
        <v>2.2250000000000001</v>
      </c>
      <c r="F735" s="464">
        <f t="shared" si="35"/>
        <v>1.7250000000000001</v>
      </c>
    </row>
    <row r="736" spans="1:6">
      <c r="B736" s="504">
        <v>44739.333357581017</v>
      </c>
      <c r="C736" s="489">
        <f t="shared" si="34"/>
        <v>198.3</v>
      </c>
      <c r="D736" s="489">
        <v>1.9830000000000001</v>
      </c>
      <c r="F736" s="464">
        <f t="shared" si="35"/>
        <v>1.4830000000000001</v>
      </c>
    </row>
    <row r="737" spans="2:6">
      <c r="B737" s="504">
        <v>44739.375024305555</v>
      </c>
      <c r="C737" s="489">
        <f t="shared" si="34"/>
        <v>170</v>
      </c>
      <c r="D737" s="489">
        <v>1.7</v>
      </c>
      <c r="F737" s="464">
        <f t="shared" si="35"/>
        <v>1.2</v>
      </c>
    </row>
    <row r="738" spans="2:6">
      <c r="B738" s="504"/>
      <c r="C738" s="489"/>
      <c r="D738" s="489"/>
      <c r="F738" s="464">
        <f t="shared" si="35"/>
        <v>-0.5</v>
      </c>
    </row>
    <row r="739" spans="2:6">
      <c r="B739" s="504"/>
      <c r="C739" s="489"/>
      <c r="D739" s="489"/>
      <c r="F739" s="464">
        <f t="shared" si="35"/>
        <v>-0.5</v>
      </c>
    </row>
    <row r="740" spans="2:6">
      <c r="B740" s="504"/>
      <c r="C740" s="489"/>
      <c r="D740" s="489"/>
      <c r="F740" s="464">
        <f t="shared" si="35"/>
        <v>-0.5</v>
      </c>
    </row>
    <row r="741" spans="2:6">
      <c r="B741" s="504"/>
      <c r="C741" s="489"/>
      <c r="D741" s="489"/>
      <c r="F741" s="464">
        <f t="shared" si="35"/>
        <v>-0.5</v>
      </c>
    </row>
    <row r="742" spans="2:6">
      <c r="B742" s="504"/>
      <c r="C742" s="489"/>
      <c r="D742" s="489"/>
      <c r="F742" s="464">
        <f t="shared" si="35"/>
        <v>-0.5</v>
      </c>
    </row>
    <row r="743" spans="2:6">
      <c r="B743" s="504"/>
      <c r="C743" s="489"/>
      <c r="D743" s="489"/>
      <c r="F743" s="464">
        <f t="shared" si="35"/>
        <v>-0.5</v>
      </c>
    </row>
    <row r="744" spans="2:6">
      <c r="B744" s="504"/>
      <c r="C744" s="489"/>
      <c r="D744" s="489"/>
      <c r="F744" s="464">
        <f t="shared" si="35"/>
        <v>-0.5</v>
      </c>
    </row>
    <row r="745" spans="2:6">
      <c r="B745" s="504"/>
      <c r="C745" s="489"/>
      <c r="D745" s="489"/>
      <c r="F745" s="464">
        <f t="shared" si="35"/>
        <v>-0.5</v>
      </c>
    </row>
    <row r="746" spans="2:6">
      <c r="B746" s="504"/>
      <c r="C746" s="489"/>
      <c r="D746" s="489"/>
      <c r="F746" s="464">
        <f t="shared" si="35"/>
        <v>-0.5</v>
      </c>
    </row>
    <row r="747" spans="2:6">
      <c r="B747" s="504"/>
      <c r="C747" s="489"/>
      <c r="D747" s="489"/>
      <c r="F747" s="464">
        <f t="shared" si="35"/>
        <v>-0.5</v>
      </c>
    </row>
    <row r="748" spans="2:6">
      <c r="B748" s="504"/>
      <c r="C748" s="489"/>
      <c r="D748" s="489"/>
      <c r="F748" s="464">
        <f t="shared" si="35"/>
        <v>-0.5</v>
      </c>
    </row>
    <row r="749" spans="2:6">
      <c r="B749" s="504"/>
      <c r="C749" s="489"/>
      <c r="D749" s="489"/>
      <c r="F749" s="464">
        <f t="shared" si="35"/>
        <v>-0.5</v>
      </c>
    </row>
    <row r="750" spans="2:6">
      <c r="B750" s="504"/>
      <c r="C750" s="489"/>
      <c r="D750" s="489"/>
      <c r="F750" s="464">
        <f t="shared" si="35"/>
        <v>-0.5</v>
      </c>
    </row>
    <row r="751" spans="2:6">
      <c r="B751" s="504"/>
      <c r="C751" s="489"/>
      <c r="D751" s="489"/>
      <c r="F751" s="464">
        <f t="shared" si="35"/>
        <v>-0.5</v>
      </c>
    </row>
    <row r="752" spans="2:6">
      <c r="B752" s="504"/>
      <c r="C752" s="489"/>
      <c r="D752" s="489"/>
      <c r="F752" s="464">
        <f t="shared" si="35"/>
        <v>-0.5</v>
      </c>
    </row>
    <row r="753" spans="2:6">
      <c r="B753" s="504"/>
      <c r="C753" s="489"/>
      <c r="D753" s="489"/>
      <c r="F753" s="464">
        <f t="shared" si="35"/>
        <v>-0.5</v>
      </c>
    </row>
    <row r="754" spans="2:6">
      <c r="B754" s="504"/>
      <c r="C754" s="489"/>
      <c r="D754" s="489"/>
      <c r="F754" s="464">
        <f t="shared" si="35"/>
        <v>-0.5</v>
      </c>
    </row>
    <row r="755" spans="2:6">
      <c r="B755" s="504"/>
      <c r="C755" s="489"/>
      <c r="D755" s="489"/>
      <c r="F755" s="464">
        <f t="shared" si="35"/>
        <v>-0.5</v>
      </c>
    </row>
    <row r="756" spans="2:6">
      <c r="B756" s="504"/>
      <c r="C756" s="489"/>
      <c r="D756" s="489"/>
      <c r="F756" s="464">
        <f t="shared" si="35"/>
        <v>-0.5</v>
      </c>
    </row>
    <row r="757" spans="2:6">
      <c r="B757" s="504"/>
      <c r="C757" s="489"/>
      <c r="D757" s="489"/>
      <c r="F757" s="464">
        <f t="shared" si="35"/>
        <v>-0.5</v>
      </c>
    </row>
    <row r="758" spans="2:6">
      <c r="B758" s="504"/>
      <c r="C758" s="489"/>
      <c r="D758" s="489"/>
      <c r="F758" s="464">
        <f t="shared" si="35"/>
        <v>-0.5</v>
      </c>
    </row>
    <row r="759" spans="2:6">
      <c r="B759" s="504"/>
      <c r="C759" s="489"/>
      <c r="D759" s="489"/>
      <c r="F759" s="464">
        <f t="shared" si="35"/>
        <v>-0.5</v>
      </c>
    </row>
    <row r="760" spans="2:6">
      <c r="B760" s="504"/>
      <c r="C760" s="489"/>
      <c r="D760" s="489"/>
      <c r="F760" s="464">
        <f t="shared" si="35"/>
        <v>-0.5</v>
      </c>
    </row>
    <row r="761" spans="2:6">
      <c r="B761" s="504"/>
      <c r="C761" s="489"/>
      <c r="D761" s="489"/>
      <c r="F761" s="464">
        <f t="shared" si="35"/>
        <v>-0.5</v>
      </c>
    </row>
    <row r="762" spans="2:6">
      <c r="B762" s="504"/>
      <c r="C762" s="489"/>
      <c r="D762" s="489"/>
      <c r="F762" s="464">
        <f t="shared" si="35"/>
        <v>-0.5</v>
      </c>
    </row>
    <row r="763" spans="2:6">
      <c r="B763" s="504"/>
      <c r="C763" s="489"/>
      <c r="D763" s="489"/>
      <c r="F763" s="464">
        <f t="shared" si="35"/>
        <v>-0.5</v>
      </c>
    </row>
    <row r="764" spans="2:6">
      <c r="B764" s="504"/>
      <c r="C764" s="489"/>
      <c r="D764" s="489"/>
      <c r="F764" s="464">
        <f t="shared" si="35"/>
        <v>-0.5</v>
      </c>
    </row>
    <row r="765" spans="2:6">
      <c r="B765" s="504"/>
      <c r="C765" s="489"/>
      <c r="D765" s="489"/>
      <c r="F765" s="464">
        <f t="shared" si="35"/>
        <v>-0.5</v>
      </c>
    </row>
    <row r="766" spans="2:6">
      <c r="B766" s="504"/>
      <c r="C766" s="489"/>
      <c r="D766" s="489"/>
      <c r="F766" s="464">
        <f t="shared" si="35"/>
        <v>-0.5</v>
      </c>
    </row>
    <row r="767" spans="2:6">
      <c r="B767" s="504"/>
      <c r="C767" s="489"/>
      <c r="D767" s="489"/>
      <c r="F767" s="464">
        <f t="shared" si="35"/>
        <v>-0.5</v>
      </c>
    </row>
    <row r="768" spans="2:6">
      <c r="B768" s="504"/>
      <c r="C768" s="489"/>
      <c r="D768" s="489"/>
      <c r="F768" s="464">
        <f t="shared" si="35"/>
        <v>-0.5</v>
      </c>
    </row>
    <row r="769" spans="2:6">
      <c r="B769" s="504"/>
      <c r="C769" s="489"/>
      <c r="D769" s="489"/>
      <c r="F769" s="464">
        <f t="shared" si="35"/>
        <v>-0.5</v>
      </c>
    </row>
    <row r="770" spans="2:6">
      <c r="B770" s="504"/>
      <c r="C770" s="489"/>
      <c r="D770" s="489"/>
      <c r="F770" s="464">
        <f t="shared" si="35"/>
        <v>-0.5</v>
      </c>
    </row>
    <row r="771" spans="2:6">
      <c r="B771" s="504"/>
      <c r="C771" s="489"/>
      <c r="D771" s="489"/>
      <c r="F771" s="464">
        <f t="shared" si="35"/>
        <v>-0.5</v>
      </c>
    </row>
    <row r="772" spans="2:6">
      <c r="B772" s="504"/>
      <c r="C772" s="489"/>
      <c r="D772" s="489"/>
      <c r="F772" s="464">
        <f t="shared" si="35"/>
        <v>-0.5</v>
      </c>
    </row>
    <row r="773" spans="2:6">
      <c r="B773" s="504"/>
      <c r="C773" s="489"/>
      <c r="D773" s="489"/>
      <c r="F773" s="464">
        <f t="shared" si="35"/>
        <v>-0.5</v>
      </c>
    </row>
    <row r="774" spans="2:6">
      <c r="B774" s="504"/>
      <c r="C774" s="489"/>
      <c r="D774" s="489"/>
      <c r="F774" s="464">
        <f t="shared" si="35"/>
        <v>-0.5</v>
      </c>
    </row>
    <row r="775" spans="2:6">
      <c r="B775" s="504"/>
      <c r="C775" s="489"/>
      <c r="D775" s="489"/>
      <c r="F775" s="464">
        <f t="shared" si="35"/>
        <v>-0.5</v>
      </c>
    </row>
    <row r="776" spans="2:6">
      <c r="B776" s="504"/>
    </row>
    <row r="777" spans="2:6">
      <c r="B777" s="504"/>
    </row>
    <row r="778" spans="2:6">
      <c r="B778" s="504"/>
    </row>
    <row r="779" spans="2:6">
      <c r="B779" s="504"/>
    </row>
    <row r="780" spans="2:6">
      <c r="B780" s="504"/>
    </row>
    <row r="781" spans="2:6">
      <c r="B781" s="504"/>
    </row>
    <row r="782" spans="2:6">
      <c r="B782" s="504"/>
    </row>
    <row r="783" spans="2:6">
      <c r="B783" s="504"/>
    </row>
    <row r="784" spans="2:6">
      <c r="B784" s="504"/>
    </row>
    <row r="785" spans="2:2">
      <c r="B785" s="504"/>
    </row>
    <row r="786" spans="2:2">
      <c r="B786" s="504"/>
    </row>
    <row r="787" spans="2:2">
      <c r="B787" s="504"/>
    </row>
    <row r="788" spans="2:2">
      <c r="B788" s="504"/>
    </row>
    <row r="789" spans="2:2">
      <c r="B789" s="504"/>
    </row>
    <row r="790" spans="2:2">
      <c r="B790" s="504"/>
    </row>
    <row r="791" spans="2:2">
      <c r="B791" s="504"/>
    </row>
    <row r="792" spans="2:2">
      <c r="B792" s="504"/>
    </row>
    <row r="793" spans="2:2">
      <c r="B793" s="504"/>
    </row>
    <row r="794" spans="2:2">
      <c r="B794" s="504"/>
    </row>
    <row r="795" spans="2:2">
      <c r="B795" s="504"/>
    </row>
    <row r="796" spans="2:2">
      <c r="B796" s="504"/>
    </row>
    <row r="797" spans="2:2">
      <c r="B797" s="504"/>
    </row>
    <row r="798" spans="2:2">
      <c r="B798" s="504"/>
    </row>
    <row r="799" spans="2:2">
      <c r="B799" s="504"/>
    </row>
    <row r="800" spans="2:2">
      <c r="B800" s="504"/>
    </row>
    <row r="801" spans="2:2">
      <c r="B801" s="504"/>
    </row>
    <row r="802" spans="2:2">
      <c r="B802" s="504"/>
    </row>
    <row r="803" spans="2:2">
      <c r="B803" s="504"/>
    </row>
    <row r="804" spans="2:2">
      <c r="B804" s="504"/>
    </row>
    <row r="805" spans="2:2">
      <c r="B805" s="504"/>
    </row>
    <row r="806" spans="2:2">
      <c r="B806" s="504"/>
    </row>
    <row r="807" spans="2:2">
      <c r="B807" s="504"/>
    </row>
    <row r="808" spans="2:2">
      <c r="B808" s="504"/>
    </row>
    <row r="809" spans="2:2">
      <c r="B809" s="504"/>
    </row>
  </sheetData>
  <sheetProtection selectLockedCells="1" selectUnlockedCells="1"/>
  <mergeCells count="8">
    <mergeCell ref="N6:AK6"/>
    <mergeCell ref="M6:M7"/>
    <mergeCell ref="L6:L7"/>
    <mergeCell ref="A2:D2"/>
    <mergeCell ref="A3:D3"/>
    <mergeCell ref="A6:A7"/>
    <mergeCell ref="B6:B7"/>
    <mergeCell ref="C6:D6"/>
  </mergeCells>
  <phoneticPr fontId="26" type="noConversion"/>
  <pageMargins left="2" right="0.74791666666666667" top="0.98402777777777772" bottom="0.98402777777777772" header="0.51180555555555551" footer="0.51180555555555551"/>
  <pageSetup paperSize="9" scale="60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7"/>
  <sheetViews>
    <sheetView showGridLines="0" topLeftCell="A3" zoomScale="70" zoomScaleNormal="70" workbookViewId="0">
      <selection activeCell="T18" sqref="T18"/>
    </sheetView>
  </sheetViews>
  <sheetFormatPr defaultColWidth="7.7109375" defaultRowHeight="24.95" customHeight="1"/>
  <cols>
    <col min="1" max="1" width="10.140625" style="11" customWidth="1"/>
    <col min="2" max="16" width="8.7109375" customWidth="1"/>
    <col min="17" max="19" width="0" hidden="1" customWidth="1"/>
    <col min="20" max="21" width="12.5703125" customWidth="1"/>
    <col min="22" max="36" width="8.7109375" style="12" customWidth="1"/>
    <col min="37" max="52" width="6.7109375" customWidth="1"/>
    <col min="53" max="53" width="10.7109375" customWidth="1"/>
  </cols>
  <sheetData>
    <row r="1" spans="1:53" ht="15" customHeight="1">
      <c r="A1" s="13"/>
      <c r="C1" s="14"/>
      <c r="D1" s="14"/>
      <c r="E1" s="14"/>
      <c r="F1" s="14"/>
      <c r="G1" s="14"/>
    </row>
    <row r="2" spans="1:53" ht="15" customHeight="1">
      <c r="A2" s="13"/>
      <c r="C2" s="14"/>
      <c r="D2" s="14"/>
      <c r="E2" s="14"/>
      <c r="F2" s="14"/>
      <c r="G2" s="14"/>
    </row>
    <row r="3" spans="1:53" ht="15" customHeight="1">
      <c r="A3" s="13"/>
      <c r="C3" s="14"/>
      <c r="D3" s="14"/>
      <c r="E3" s="14"/>
      <c r="F3" s="14"/>
      <c r="G3" s="14"/>
    </row>
    <row r="4" spans="1:53" ht="15" customHeight="1">
      <c r="A4" s="13"/>
      <c r="C4" s="14"/>
      <c r="D4" s="14"/>
      <c r="E4" s="14"/>
      <c r="F4" s="14"/>
      <c r="G4" s="14"/>
    </row>
    <row r="5" spans="1:53" ht="20.100000000000001" customHeight="1">
      <c r="A5" s="13"/>
      <c r="C5" s="15"/>
      <c r="U5" s="662" t="s">
        <v>4</v>
      </c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</row>
    <row r="6" spans="1:53" ht="20.100000000000001" customHeight="1">
      <c r="A6" s="663" t="s">
        <v>5</v>
      </c>
      <c r="B6" s="663"/>
      <c r="C6" s="663"/>
      <c r="D6" s="663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U6" s="662" t="str">
        <f>A6</f>
        <v>PENGUKURAN PASANG SURUT (per 1 Jam)</v>
      </c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</row>
    <row r="7" spans="1:53" ht="20.100000000000001" customHeight="1">
      <c r="A7" s="16" t="s">
        <v>6</v>
      </c>
      <c r="B7" s="16" t="s">
        <v>622</v>
      </c>
      <c r="M7" t="s">
        <v>598</v>
      </c>
      <c r="U7" s="16" t="str">
        <f>A7</f>
        <v>PROYEK</v>
      </c>
      <c r="V7" s="16" t="str">
        <f>B7</f>
        <v>: Pantai Sanur, Bali</v>
      </c>
      <c r="W7" s="14"/>
      <c r="X7"/>
    </row>
    <row r="8" spans="1:53" ht="20.100000000000001" customHeight="1">
      <c r="A8" s="16" t="s">
        <v>7</v>
      </c>
      <c r="B8" s="16" t="s">
        <v>623</v>
      </c>
      <c r="U8" s="16" t="str">
        <f>A8</f>
        <v>LOKASI</v>
      </c>
      <c r="V8" s="16" t="str">
        <f>B8</f>
        <v>: Kabupaten Denpasar Selatan</v>
      </c>
      <c r="W8" s="14"/>
      <c r="X8"/>
    </row>
    <row r="9" spans="1:53" ht="6" customHeight="1">
      <c r="A9" s="16"/>
      <c r="B9" s="14"/>
    </row>
    <row r="10" spans="1:53" ht="18.75" customHeight="1">
      <c r="A10" s="17"/>
      <c r="B10" s="664" t="s">
        <v>624</v>
      </c>
      <c r="C10" s="664"/>
      <c r="D10" s="664"/>
      <c r="E10" s="664"/>
      <c r="F10" s="664"/>
      <c r="G10" s="664"/>
      <c r="H10" s="664"/>
      <c r="I10" s="664"/>
      <c r="J10" s="664"/>
      <c r="K10" s="664"/>
      <c r="L10" s="664"/>
      <c r="M10" s="664"/>
      <c r="N10" s="664"/>
      <c r="O10" s="664"/>
      <c r="P10" s="664"/>
      <c r="U10" s="665"/>
      <c r="V10" s="666" t="str">
        <f>B10</f>
        <v>TANGGAL / Januari -Februari</v>
      </c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666"/>
      <c r="AI10" s="666"/>
      <c r="AJ10" s="666"/>
    </row>
    <row r="11" spans="1:53" s="19" customFormat="1" ht="24.95" customHeight="1">
      <c r="A11" s="18" t="s">
        <v>8</v>
      </c>
      <c r="B11" s="18">
        <v>28</v>
      </c>
      <c r="C11" s="18">
        <v>29</v>
      </c>
      <c r="D11" s="18">
        <v>30</v>
      </c>
      <c r="E11" s="18">
        <v>31</v>
      </c>
      <c r="F11" s="18">
        <v>1</v>
      </c>
      <c r="G11" s="18">
        <v>2</v>
      </c>
      <c r="H11" s="18">
        <v>3</v>
      </c>
      <c r="I11" s="18">
        <v>4</v>
      </c>
      <c r="J11" s="18">
        <v>5</v>
      </c>
      <c r="K11" s="18">
        <v>6</v>
      </c>
      <c r="L11" s="18">
        <v>7</v>
      </c>
      <c r="M11" s="18">
        <v>8</v>
      </c>
      <c r="N11" s="18">
        <v>9</v>
      </c>
      <c r="O11" s="18">
        <v>10</v>
      </c>
      <c r="P11" s="18">
        <v>11</v>
      </c>
      <c r="Q11" s="18">
        <v>32</v>
      </c>
      <c r="R11" s="18">
        <v>33</v>
      </c>
      <c r="S11" s="18">
        <v>34</v>
      </c>
      <c r="U11" s="665"/>
      <c r="V11" s="20">
        <f>B11</f>
        <v>28</v>
      </c>
      <c r="W11" s="20">
        <f t="shared" ref="W11:AH11" si="0">C11</f>
        <v>29</v>
      </c>
      <c r="X11" s="20">
        <f t="shared" si="0"/>
        <v>30</v>
      </c>
      <c r="Y11" s="20">
        <f t="shared" si="0"/>
        <v>31</v>
      </c>
      <c r="Z11" s="20">
        <f t="shared" si="0"/>
        <v>1</v>
      </c>
      <c r="AA11" s="20">
        <f t="shared" si="0"/>
        <v>2</v>
      </c>
      <c r="AB11" s="20">
        <f t="shared" si="0"/>
        <v>3</v>
      </c>
      <c r="AC11" s="20">
        <f t="shared" si="0"/>
        <v>4</v>
      </c>
      <c r="AD11" s="20">
        <f t="shared" si="0"/>
        <v>5</v>
      </c>
      <c r="AE11" s="20">
        <f t="shared" si="0"/>
        <v>6</v>
      </c>
      <c r="AF11" s="20">
        <f t="shared" si="0"/>
        <v>7</v>
      </c>
      <c r="AG11" s="20">
        <f t="shared" si="0"/>
        <v>8</v>
      </c>
      <c r="AH11" s="20">
        <f t="shared" si="0"/>
        <v>9</v>
      </c>
      <c r="AI11" s="20">
        <f>O11</f>
        <v>10</v>
      </c>
      <c r="AJ11" s="21">
        <f>P11</f>
        <v>11</v>
      </c>
    </row>
    <row r="12" spans="1:53" s="1" customFormat="1" ht="20.100000000000001" customHeight="1">
      <c r="A12" s="18" t="s">
        <v>9</v>
      </c>
      <c r="B12" s="22">
        <f>'data asli x100'!C8/100</f>
        <v>1.36</v>
      </c>
      <c r="C12" s="22">
        <f>'data asli x100'!C32/100</f>
        <v>1.1379999999999999</v>
      </c>
      <c r="D12" s="22">
        <f>'data asli x100'!C56/100</f>
        <v>0.90600000000000014</v>
      </c>
      <c r="E12" s="22">
        <f>'data asli x100'!C80/100</f>
        <v>0.74299999999999999</v>
      </c>
      <c r="F12" s="22">
        <f>'data asli x100'!C104/100</f>
        <v>0.68700000000000006</v>
      </c>
      <c r="G12" s="22">
        <f>'data asli x100'!C128/100</f>
        <v>0.65799999999999992</v>
      </c>
      <c r="H12" s="22">
        <f>'data asli x100'!C152/100</f>
        <v>0.74</v>
      </c>
      <c r="I12" s="22">
        <f>'data asli x100'!C176/100</f>
        <v>0.79700000000000004</v>
      </c>
      <c r="J12" s="22">
        <f>'data asli x100'!C200/100</f>
        <v>0.90500000000000003</v>
      </c>
      <c r="K12" s="22">
        <f>'data asli x100'!C224/100</f>
        <v>1.0469999999999999</v>
      </c>
      <c r="L12" s="22">
        <f>'data asli x100'!C248/100</f>
        <v>1.1970000000000001</v>
      </c>
      <c r="M12" s="22">
        <f>'data asli x100'!C272/100</f>
        <v>1.3730000000000002</v>
      </c>
      <c r="N12" s="22">
        <f>'data asli x100'!C296/100</f>
        <v>1.496</v>
      </c>
      <c r="O12" s="22">
        <f>'data asli x100'!C320/100</f>
        <v>1.62</v>
      </c>
      <c r="P12" s="22">
        <f>'data asli x100'!C344/100</f>
        <v>1.696</v>
      </c>
      <c r="Q12" s="23">
        <f t="shared" ref="Q12:Q35" si="1">SUM(B12:P12)</f>
        <v>16.363000000000003</v>
      </c>
      <c r="R12" s="24" t="str">
        <f>A12</f>
        <v>00:00</v>
      </c>
      <c r="S12" s="25">
        <v>1</v>
      </c>
      <c r="U12" s="26" t="str">
        <f t="shared" ref="U12:U35" si="2">A12</f>
        <v>00:00</v>
      </c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8"/>
      <c r="AK12" s="29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1"/>
    </row>
    <row r="13" spans="1:53" s="1" customFormat="1" ht="20.100000000000001" customHeight="1">
      <c r="A13" s="18" t="s">
        <v>10</v>
      </c>
      <c r="B13" s="22">
        <f>'data asli x100'!C9/100</f>
        <v>1.655</v>
      </c>
      <c r="C13" s="22">
        <f>'data asli x100'!C33/100</f>
        <v>1.4390000000000001</v>
      </c>
      <c r="D13" s="22">
        <f>'data asli x100'!C57/100</f>
        <v>1.2310000000000001</v>
      </c>
      <c r="E13" s="22">
        <f>'data asli x100'!C81/100</f>
        <v>1.0089999999999999</v>
      </c>
      <c r="F13" s="22">
        <f>'data asli x100'!C105/100</f>
        <v>0.8640000000000001</v>
      </c>
      <c r="G13" s="22">
        <f>'data asli x100'!C129/100</f>
        <v>0.75</v>
      </c>
      <c r="H13" s="22">
        <f>'data asli x100'!C153/100</f>
        <v>0.754</v>
      </c>
      <c r="I13" s="22">
        <f>'data asli x100'!C177/100</f>
        <v>0.7340000000000001</v>
      </c>
      <c r="J13" s="22">
        <f>'data asli x100'!C201/100</f>
        <v>0.78600000000000003</v>
      </c>
      <c r="K13" s="22">
        <f>'data asli x100'!C225/100</f>
        <v>0.90600000000000014</v>
      </c>
      <c r="L13" s="22">
        <f>'data asli x100'!C249/100</f>
        <v>1.0580000000000001</v>
      </c>
      <c r="M13" s="22">
        <f>'data asli x100'!C273/100</f>
        <v>1.2709999999999999</v>
      </c>
      <c r="N13" s="22">
        <f>'data asli x100'!C297/100</f>
        <v>1.4370000000000003</v>
      </c>
      <c r="O13" s="22">
        <f>'data asli x100'!C321/100</f>
        <v>1.6759999999999999</v>
      </c>
      <c r="P13" s="22">
        <f>'data asli x100'!C345/100</f>
        <v>1.8159999999999998</v>
      </c>
      <c r="Q13" s="23">
        <f t="shared" si="1"/>
        <v>17.386000000000003</v>
      </c>
      <c r="R13" s="24" t="str">
        <f t="shared" ref="R13:R35" si="3">A13</f>
        <v>01:00</v>
      </c>
      <c r="S13" s="25">
        <v>5</v>
      </c>
      <c r="U13" s="32" t="str">
        <f t="shared" si="2"/>
        <v>01:00</v>
      </c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4"/>
      <c r="AK13" s="29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1"/>
    </row>
    <row r="14" spans="1:53" s="1" customFormat="1" ht="20.100000000000001" customHeight="1">
      <c r="A14" s="18" t="s">
        <v>11</v>
      </c>
      <c r="B14" s="22">
        <f>'data asli x100'!C10/100</f>
        <v>1.9830000000000001</v>
      </c>
      <c r="C14" s="22">
        <f>'data asli x100'!C34/100</f>
        <v>1.847</v>
      </c>
      <c r="D14" s="22">
        <f>'data asli x100'!C58/100</f>
        <v>1.6269999999999998</v>
      </c>
      <c r="E14" s="22">
        <f>'data asli x100'!C82/100</f>
        <v>1.395</v>
      </c>
      <c r="F14" s="22">
        <f>'data asli x100'!C106/100</f>
        <v>1.246</v>
      </c>
      <c r="G14" s="22">
        <f>'data asli x100'!C130/100</f>
        <v>1.0609999999999999</v>
      </c>
      <c r="H14" s="22">
        <f>'data asli x100'!C154/100</f>
        <v>0.94699999999999984</v>
      </c>
      <c r="I14" s="22">
        <f>'data asli x100'!C178/100</f>
        <v>0.85699999999999998</v>
      </c>
      <c r="J14" s="22">
        <f>'data asli x100'!C202/100</f>
        <v>0.84499999999999997</v>
      </c>
      <c r="K14" s="22">
        <f>'data asli x100'!C226/100</f>
        <v>0.871</v>
      </c>
      <c r="L14" s="22">
        <f>'data asli x100'!C250/100</f>
        <v>1.028</v>
      </c>
      <c r="M14" s="22">
        <f>'data asli x100'!C274/100</f>
        <v>1.234</v>
      </c>
      <c r="N14" s="22">
        <f>'data asli x100'!C298/100</f>
        <v>1.431</v>
      </c>
      <c r="O14" s="22">
        <f>'data asli x100'!C322/100</f>
        <v>1.669</v>
      </c>
      <c r="P14" s="22">
        <f>'data asli x100'!C346/100</f>
        <v>1.903</v>
      </c>
      <c r="Q14" s="23">
        <f t="shared" si="1"/>
        <v>19.943999999999999</v>
      </c>
      <c r="R14" s="24" t="str">
        <f t="shared" si="3"/>
        <v>02:00</v>
      </c>
      <c r="S14" s="25">
        <v>9</v>
      </c>
      <c r="U14" s="32" t="str">
        <f t="shared" si="2"/>
        <v>02:00</v>
      </c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4"/>
      <c r="AK14" s="31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1"/>
    </row>
    <row r="15" spans="1:53" s="1" customFormat="1" ht="20.100000000000001" customHeight="1">
      <c r="A15" s="18" t="s">
        <v>12</v>
      </c>
      <c r="B15" s="22">
        <f>'data asli x100'!C11/100</f>
        <v>2.2469999999999999</v>
      </c>
      <c r="C15" s="22">
        <f>'data asli x100'!C35/100</f>
        <v>2.2229999999999999</v>
      </c>
      <c r="D15" s="22">
        <f>'data asli x100'!C59/100</f>
        <v>2.0550000000000002</v>
      </c>
      <c r="E15" s="22">
        <f>'data asli x100'!C83/100</f>
        <v>1.8839999999999997</v>
      </c>
      <c r="F15" s="22">
        <f>'data asli x100'!C107/100</f>
        <v>1.7009999999999998</v>
      </c>
      <c r="G15" s="22">
        <f>'data asli x100'!C131/100</f>
        <v>1.4930000000000001</v>
      </c>
      <c r="H15" s="22">
        <f>'data asli x100'!C155/100</f>
        <v>1.3049999999999999</v>
      </c>
      <c r="I15" s="22">
        <f>'data asli x100'!C179/100</f>
        <v>1.1599999999999999</v>
      </c>
      <c r="J15" s="22">
        <f>'data asli x100'!C203/100</f>
        <v>1.07</v>
      </c>
      <c r="K15" s="22">
        <f>'data asli x100'!C227/100</f>
        <v>1.024</v>
      </c>
      <c r="L15" s="22">
        <f>'data asli x100'!C251/100</f>
        <v>1.1000000000000001</v>
      </c>
      <c r="M15" s="22">
        <f>'data asli x100'!C275/100</f>
        <v>1.2729999999999999</v>
      </c>
      <c r="N15" s="22">
        <f>'data asli x100'!C299/100</f>
        <v>1.466</v>
      </c>
      <c r="O15" s="22">
        <f>'data asli x100'!C323/100</f>
        <v>1.6990000000000001</v>
      </c>
      <c r="P15" s="22">
        <f>'data asli x100'!C347/100</f>
        <v>1.9680000000000002</v>
      </c>
      <c r="Q15" s="23">
        <f t="shared" si="1"/>
        <v>23.668000000000006</v>
      </c>
      <c r="R15" s="24" t="str">
        <f t="shared" si="3"/>
        <v>03:00</v>
      </c>
      <c r="S15" s="25">
        <v>13</v>
      </c>
      <c r="U15" s="32" t="str">
        <f t="shared" si="2"/>
        <v>03:00</v>
      </c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4"/>
      <c r="AK15" s="31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1"/>
    </row>
    <row r="16" spans="1:53" s="1" customFormat="1" ht="20.100000000000001" customHeight="1">
      <c r="A16" s="18" t="s">
        <v>13</v>
      </c>
      <c r="B16" s="22">
        <f>'data asli x100'!C12/100</f>
        <v>2.39</v>
      </c>
      <c r="C16" s="22">
        <f>'data asli x100'!C36/100</f>
        <v>2.4910000000000001</v>
      </c>
      <c r="D16" s="22">
        <f>'data asli x100'!C60/100</f>
        <v>2.456</v>
      </c>
      <c r="E16" s="22">
        <f>'data asli x100'!C84/100</f>
        <v>2.3519999999999999</v>
      </c>
      <c r="F16" s="22">
        <f>'data asli x100'!C108/100</f>
        <v>2.1930000000000001</v>
      </c>
      <c r="G16" s="22">
        <f>'data asli x100'!C132/100</f>
        <v>1.9990000000000001</v>
      </c>
      <c r="H16" s="22">
        <f>'data asli x100'!C156/100</f>
        <v>1.754</v>
      </c>
      <c r="I16" s="22">
        <f>'data asli x100'!C180/100</f>
        <v>1.54</v>
      </c>
      <c r="J16" s="22">
        <f>'data asli x100'!C204/100</f>
        <v>1.413</v>
      </c>
      <c r="K16" s="22">
        <f>'data asli x100'!C228/100</f>
        <v>1.3140000000000001</v>
      </c>
      <c r="L16" s="22">
        <f>'data asli x100'!C252/100</f>
        <v>1.3069999999999999</v>
      </c>
      <c r="M16" s="22">
        <f>'data asli x100'!C276/100</f>
        <v>1.3520000000000001</v>
      </c>
      <c r="N16" s="22">
        <f>'data asli x100'!C300/100</f>
        <v>1.5390000000000001</v>
      </c>
      <c r="O16" s="22">
        <f>'data asli x100'!C324/100</f>
        <v>1.714</v>
      </c>
      <c r="P16" s="22">
        <f>'data asli x100'!C348/100</f>
        <v>2.012</v>
      </c>
      <c r="Q16" s="23">
        <f t="shared" si="1"/>
        <v>27.826000000000001</v>
      </c>
      <c r="R16" s="24" t="str">
        <f t="shared" si="3"/>
        <v>04:00</v>
      </c>
      <c r="S16" s="25">
        <v>17</v>
      </c>
      <c r="U16" s="32" t="str">
        <f t="shared" si="2"/>
        <v>04:00</v>
      </c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4"/>
      <c r="AK16" s="31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1"/>
    </row>
    <row r="17" spans="1:53" s="1" customFormat="1" ht="20.100000000000001" customHeight="1">
      <c r="A17" s="18" t="s">
        <v>14</v>
      </c>
      <c r="B17" s="22">
        <f>'data asli x100'!C13/100</f>
        <v>2.4300000000000002</v>
      </c>
      <c r="C17" s="22">
        <f>'data asli x100'!C37/100</f>
        <v>2.5810000000000004</v>
      </c>
      <c r="D17" s="22">
        <f>'data asli x100'!C61/100</f>
        <v>2.714</v>
      </c>
      <c r="E17" s="22">
        <f>'data asli x100'!C85/100</f>
        <v>2.6960000000000002</v>
      </c>
      <c r="F17" s="22">
        <f>'data asli x100'!C109/100</f>
        <v>2.5950000000000002</v>
      </c>
      <c r="G17" s="22">
        <f>'data asli x100'!C133/100</f>
        <v>2.4350000000000001</v>
      </c>
      <c r="H17" s="22">
        <f>'data asli x100'!C157/100</f>
        <v>2.1850000000000001</v>
      </c>
      <c r="I17" s="22">
        <f>'data asli x100'!C181/100</f>
        <v>1.9890000000000001</v>
      </c>
      <c r="J17" s="22">
        <f>'data asli x100'!C205/100</f>
        <v>1.7920000000000003</v>
      </c>
      <c r="K17" s="22">
        <f>'data asli x100'!C229/100</f>
        <v>1.6679999999999999</v>
      </c>
      <c r="L17" s="22">
        <f>'data asli x100'!C253/100</f>
        <v>1.5930000000000002</v>
      </c>
      <c r="M17" s="22">
        <f>'data asli x100'!C277/100</f>
        <v>1.526</v>
      </c>
      <c r="N17" s="22">
        <f>'data asli x100'!C301/100</f>
        <v>1.6359999999999999</v>
      </c>
      <c r="O17" s="22">
        <f>'data asli x100'!C325/100</f>
        <v>1.714</v>
      </c>
      <c r="P17" s="22">
        <f>'data asli x100'!C349/100</f>
        <v>2</v>
      </c>
      <c r="Q17" s="23">
        <f t="shared" si="1"/>
        <v>31.554000000000002</v>
      </c>
      <c r="R17" s="24" t="str">
        <f t="shared" si="3"/>
        <v>05:00</v>
      </c>
      <c r="S17" s="25">
        <v>21</v>
      </c>
      <c r="U17" s="32" t="str">
        <f t="shared" si="2"/>
        <v>05:00</v>
      </c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4"/>
      <c r="AK17" s="31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1"/>
    </row>
    <row r="18" spans="1:53" s="1" customFormat="1" ht="20.100000000000001" customHeight="1">
      <c r="A18" s="35" t="s">
        <v>15</v>
      </c>
      <c r="B18" s="22">
        <f>'data asli x100'!C14/100</f>
        <v>2.3170000000000002</v>
      </c>
      <c r="C18" s="22">
        <f>'data asli x100'!C38/100</f>
        <v>2.5190000000000001</v>
      </c>
      <c r="D18" s="22">
        <f>'data asli x100'!C62/100</f>
        <v>2.7280000000000002</v>
      </c>
      <c r="E18" s="22">
        <f>'data asli x100'!C86/100</f>
        <v>2.8149999999999999</v>
      </c>
      <c r="F18" s="22">
        <f>'data asli x100'!C110/100</f>
        <v>2.8180000000000001</v>
      </c>
      <c r="G18" s="22">
        <f>'data asli x100'!C134/100</f>
        <v>2.7450000000000001</v>
      </c>
      <c r="H18" s="22">
        <f>'data asli x100'!C158/100</f>
        <v>2.5470000000000002</v>
      </c>
      <c r="I18" s="22">
        <f>'data asli x100'!C182/100</f>
        <v>2.3559999999999999</v>
      </c>
      <c r="J18" s="22">
        <f>'data asli x100'!C206/100</f>
        <v>2.1789999999999998</v>
      </c>
      <c r="K18" s="22">
        <f>'data asli x100'!C230/100</f>
        <v>1.9930000000000001</v>
      </c>
      <c r="L18" s="22">
        <f>'data asli x100'!C254/100</f>
        <v>1.8859999999999999</v>
      </c>
      <c r="M18" s="22">
        <f>'data asli x100'!C278/100</f>
        <v>1.7390000000000001</v>
      </c>
      <c r="N18" s="22">
        <f>'data asli x100'!C302/100</f>
        <v>1.7070000000000001</v>
      </c>
      <c r="O18" s="22">
        <f>'data asli x100'!C326/100</f>
        <v>1.712</v>
      </c>
      <c r="P18" s="22">
        <f>'data asli x100'!C350/100</f>
        <v>1.913</v>
      </c>
      <c r="Q18" s="23">
        <f t="shared" si="1"/>
        <v>33.973999999999997</v>
      </c>
      <c r="R18" s="24" t="str">
        <f t="shared" si="3"/>
        <v>06:00</v>
      </c>
      <c r="S18" s="25">
        <v>25</v>
      </c>
      <c r="U18" s="32" t="str">
        <f t="shared" si="2"/>
        <v>06:00</v>
      </c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4"/>
      <c r="AK18" s="31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1"/>
    </row>
    <row r="19" spans="1:53" s="1" customFormat="1" ht="20.100000000000001" customHeight="1">
      <c r="A19" s="18" t="s">
        <v>16</v>
      </c>
      <c r="B19" s="22">
        <f>'data asli x100'!C15/100</f>
        <v>2.121</v>
      </c>
      <c r="C19" s="22">
        <f>'data asli x100'!C39/100</f>
        <v>2.3260000000000001</v>
      </c>
      <c r="D19" s="22">
        <f>'data asli x100'!C63/100</f>
        <v>2.552</v>
      </c>
      <c r="E19" s="22">
        <f>'data asli x100'!C87/100</f>
        <v>2.738</v>
      </c>
      <c r="F19" s="22">
        <f>'data asli x100'!C111/100</f>
        <v>2.84</v>
      </c>
      <c r="G19" s="22">
        <f>'data asli x100'!C135/100</f>
        <v>2.8460000000000001</v>
      </c>
      <c r="H19" s="22">
        <f>'data asli x100'!C159/100</f>
        <v>2.758</v>
      </c>
      <c r="I19" s="22">
        <f>'data asli x100'!C183/100</f>
        <v>2.5950000000000002</v>
      </c>
      <c r="J19" s="22">
        <f>'data asli x100'!C207/100</f>
        <v>2.4420000000000002</v>
      </c>
      <c r="K19" s="22">
        <f>'data asli x100'!C231/100</f>
        <v>2.25</v>
      </c>
      <c r="L19" s="22">
        <f>'data asli x100'!C255/100</f>
        <v>2.0960000000000001</v>
      </c>
      <c r="M19" s="22">
        <f>'data asli x100'!C279/100</f>
        <v>1.905</v>
      </c>
      <c r="N19" s="22">
        <f>'data asli x100'!C303/100</f>
        <v>1.7969999999999999</v>
      </c>
      <c r="O19" s="22">
        <f>'data asli x100'!C327/100</f>
        <v>1.73</v>
      </c>
      <c r="P19" s="22">
        <f>'data asli x100'!C351/100</f>
        <v>1.82</v>
      </c>
      <c r="Q19" s="23">
        <f t="shared" si="1"/>
        <v>34.816000000000003</v>
      </c>
      <c r="R19" s="24" t="str">
        <f t="shared" si="3"/>
        <v>07:00</v>
      </c>
      <c r="S19" s="25">
        <v>29</v>
      </c>
      <c r="U19" s="32" t="str">
        <f t="shared" si="2"/>
        <v>07:00</v>
      </c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4"/>
      <c r="AK19" s="31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1"/>
    </row>
    <row r="20" spans="1:53" s="1" customFormat="1" ht="20.100000000000001" customHeight="1">
      <c r="A20" s="18" t="s">
        <v>17</v>
      </c>
      <c r="B20" s="22">
        <f>'data asli x100'!C16/100</f>
        <v>1.8839999999999997</v>
      </c>
      <c r="C20" s="22">
        <f>'data asli x100'!C40/100</f>
        <v>2.024</v>
      </c>
      <c r="D20" s="22">
        <f>'data asli x100'!C64/100</f>
        <v>2.2280000000000002</v>
      </c>
      <c r="E20" s="22">
        <f>'data asli x100'!C88/100</f>
        <v>2.46</v>
      </c>
      <c r="F20" s="22">
        <f>'data asli x100'!C112/100</f>
        <v>2.657</v>
      </c>
      <c r="G20" s="22">
        <f>'data asli x100'!C136/100</f>
        <v>2.758</v>
      </c>
      <c r="H20" s="22">
        <f>'data asli x100'!C160/100</f>
        <v>2.7730000000000001</v>
      </c>
      <c r="I20" s="22">
        <f>'data asli x100'!C184/100</f>
        <v>2.6889999999999996</v>
      </c>
      <c r="J20" s="22">
        <f>'data asli x100'!C208/100</f>
        <v>2.5630000000000002</v>
      </c>
      <c r="K20" s="22">
        <f>'data asli x100'!C232/100</f>
        <v>2.4020000000000001</v>
      </c>
      <c r="L20" s="22">
        <f>'data asli x100'!C256/100</f>
        <v>2.2410000000000001</v>
      </c>
      <c r="M20" s="22">
        <f>'data asli x100'!C280/100</f>
        <v>2.0390000000000001</v>
      </c>
      <c r="N20" s="22">
        <f>'data asli x100'!C304/100</f>
        <v>1.8430000000000002</v>
      </c>
      <c r="O20" s="22">
        <f>'data asli x100'!C328/100</f>
        <v>1.7519999999999998</v>
      </c>
      <c r="P20" s="22">
        <f>'data asli x100'!C352/100</f>
        <v>1.722</v>
      </c>
      <c r="Q20" s="23">
        <f t="shared" si="1"/>
        <v>34.035000000000004</v>
      </c>
      <c r="R20" s="24" t="str">
        <f t="shared" si="3"/>
        <v>08:00</v>
      </c>
      <c r="S20" s="25">
        <v>33</v>
      </c>
      <c r="U20" s="32" t="str">
        <f t="shared" si="2"/>
        <v>08:00</v>
      </c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4"/>
      <c r="AK20" s="31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1"/>
    </row>
    <row r="21" spans="1:53" s="1" customFormat="1" ht="20.100000000000001" customHeight="1">
      <c r="A21" s="18" t="s">
        <v>18</v>
      </c>
      <c r="B21" s="22">
        <f>'data asli x100'!C17/100</f>
        <v>1.6369999999999998</v>
      </c>
      <c r="C21" s="22">
        <f>'data asli x100'!C41/100</f>
        <v>1.7190000000000001</v>
      </c>
      <c r="D21" s="22">
        <f>'data asli x100'!C65/100</f>
        <v>1.8280000000000001</v>
      </c>
      <c r="E21" s="22">
        <f>'data asli x100'!C89/100</f>
        <v>2.028</v>
      </c>
      <c r="F21" s="22">
        <f>'data asli x100'!C113/100</f>
        <v>2.2879999999999998</v>
      </c>
      <c r="G21" s="22">
        <f>'data asli x100'!C137/100</f>
        <v>2.5059999999999998</v>
      </c>
      <c r="H21" s="22">
        <f>'data asli x100'!C161/100</f>
        <v>2.5980000000000003</v>
      </c>
      <c r="I21" s="22">
        <f>'data asli x100'!C185/100</f>
        <v>2.5859999999999999</v>
      </c>
      <c r="J21" s="22">
        <f>'data asli x100'!C209/100</f>
        <v>2.552</v>
      </c>
      <c r="K21" s="22">
        <f>'data asli x100'!C233/100</f>
        <v>2.4220000000000002</v>
      </c>
      <c r="L21" s="22">
        <f>'data asli x100'!C257/100</f>
        <v>2.3029999999999999</v>
      </c>
      <c r="M21" s="22">
        <f>'data asli x100'!C281/100</f>
        <v>2.0870000000000002</v>
      </c>
      <c r="N21" s="22">
        <f>'data asli x100'!C305/100</f>
        <v>1.8740000000000001</v>
      </c>
      <c r="O21" s="22">
        <f>'data asli x100'!C329/100</f>
        <v>1.7230000000000001</v>
      </c>
      <c r="P21" s="22">
        <f>'data asli x100'!C353/100</f>
        <v>1.6479999999999999</v>
      </c>
      <c r="Q21" s="23">
        <f t="shared" si="1"/>
        <v>31.798999999999999</v>
      </c>
      <c r="R21" s="24" t="str">
        <f t="shared" si="3"/>
        <v>09:00</v>
      </c>
      <c r="S21" s="25">
        <v>37</v>
      </c>
      <c r="U21" s="32" t="str">
        <f t="shared" si="2"/>
        <v>09:00</v>
      </c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4"/>
      <c r="AK21" s="31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1"/>
    </row>
    <row r="22" spans="1:53" s="1" customFormat="1" ht="20.100000000000001" customHeight="1">
      <c r="A22" s="18" t="s">
        <v>19</v>
      </c>
      <c r="B22" s="22">
        <f>'data asli x100'!C18/100</f>
        <v>1.454</v>
      </c>
      <c r="C22" s="22">
        <f>'data asli x100'!C42/100</f>
        <v>1.4409999999999998</v>
      </c>
      <c r="D22" s="22">
        <f>'data asli x100'!C66/100</f>
        <v>1.4850000000000001</v>
      </c>
      <c r="E22" s="22">
        <f>'data asli x100'!C90/100</f>
        <v>1.653</v>
      </c>
      <c r="F22" s="22">
        <f>'data asli x100'!C114/100</f>
        <v>1.8819999999999999</v>
      </c>
      <c r="G22" s="22">
        <f>'data asli x100'!C138/100</f>
        <v>2.1230000000000002</v>
      </c>
      <c r="H22" s="22">
        <f>'data asli x100'!C162/100</f>
        <v>2.278</v>
      </c>
      <c r="I22" s="22">
        <f>'data asli x100'!C186/100</f>
        <v>2.339</v>
      </c>
      <c r="J22" s="22">
        <f>'data asli x100'!C210/100</f>
        <v>2.4060000000000001</v>
      </c>
      <c r="K22" s="22">
        <f>'data asli x100'!C234/100</f>
        <v>2.3570000000000002</v>
      </c>
      <c r="L22" s="22">
        <f>'data asli x100'!C258/100</f>
        <v>2.2469999999999999</v>
      </c>
      <c r="M22" s="22">
        <f>'data asli x100'!C282/100</f>
        <v>2.077</v>
      </c>
      <c r="N22" s="22">
        <f>'data asli x100'!C306/100</f>
        <v>1.899</v>
      </c>
      <c r="O22" s="22">
        <f>'data asli x100'!C330/100</f>
        <v>1.7150000000000001</v>
      </c>
      <c r="P22" s="22">
        <f>'data asli x100'!C354/100</f>
        <v>1.6</v>
      </c>
      <c r="Q22" s="23">
        <f t="shared" si="1"/>
        <v>28.956</v>
      </c>
      <c r="R22" s="24" t="str">
        <f t="shared" si="3"/>
        <v>10:00</v>
      </c>
      <c r="S22" s="25">
        <v>41</v>
      </c>
      <c r="U22" s="32" t="str">
        <f t="shared" si="2"/>
        <v>10:00</v>
      </c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4"/>
      <c r="AK22" s="31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1"/>
    </row>
    <row r="23" spans="1:53" s="1" customFormat="1" ht="20.100000000000001" customHeight="1">
      <c r="A23" s="18" t="s">
        <v>20</v>
      </c>
      <c r="B23" s="22">
        <f>'data asli x100'!C19/100</f>
        <v>1.3540000000000001</v>
      </c>
      <c r="C23" s="22">
        <f>'data asli x100'!C43/100</f>
        <v>1.2529999999999999</v>
      </c>
      <c r="D23" s="22">
        <f>'data asli x100'!C67/100</f>
        <v>1.22</v>
      </c>
      <c r="E23" s="22">
        <f>'data asli x100'!C91/100</f>
        <v>1.345</v>
      </c>
      <c r="F23" s="22">
        <f>'data asli x100'!C115/100</f>
        <v>1.5149999999999999</v>
      </c>
      <c r="G23" s="22">
        <f>'data asli x100'!C139/100</f>
        <v>1.7490000000000001</v>
      </c>
      <c r="H23" s="22">
        <f>'data asli x100'!C163/100</f>
        <v>1.8869999999999998</v>
      </c>
      <c r="I23" s="22">
        <f>'data asli x100'!C187/100</f>
        <v>1.9910000000000003</v>
      </c>
      <c r="J23" s="22">
        <f>'data asli x100'!C211/100</f>
        <v>2.1150000000000002</v>
      </c>
      <c r="K23" s="22">
        <f>'data asli x100'!C235/100</f>
        <v>2.1829999999999998</v>
      </c>
      <c r="L23" s="22">
        <f>'data asli x100'!C259/100</f>
        <v>2.1240000000000001</v>
      </c>
      <c r="M23" s="22">
        <f>'data asli x100'!C283/100</f>
        <v>2.036</v>
      </c>
      <c r="N23" s="22">
        <f>'data asli x100'!C307/100</f>
        <v>1.9240000000000002</v>
      </c>
      <c r="O23" s="22">
        <f>'data asli x100'!C331/100</f>
        <v>1.7390000000000001</v>
      </c>
      <c r="P23" s="22">
        <f>'data asli x100'!C355/100</f>
        <v>1.581</v>
      </c>
      <c r="Q23" s="23">
        <f t="shared" si="1"/>
        <v>26.016000000000002</v>
      </c>
      <c r="R23" s="24" t="str">
        <f t="shared" si="3"/>
        <v>11:00</v>
      </c>
      <c r="S23" s="25">
        <v>45</v>
      </c>
      <c r="U23" s="32" t="str">
        <f t="shared" si="2"/>
        <v>11:00</v>
      </c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4"/>
      <c r="AK23" s="31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1"/>
    </row>
    <row r="24" spans="1:53" s="1" customFormat="1" ht="20.100000000000001" customHeight="1">
      <c r="A24" s="35" t="s">
        <v>21</v>
      </c>
      <c r="B24" s="22">
        <f>'data asli x100'!C20/100</f>
        <v>1.42</v>
      </c>
      <c r="C24" s="22">
        <f>'data asli x100'!C44/100</f>
        <v>1.232</v>
      </c>
      <c r="D24" s="22">
        <f>'data asli x100'!C68/100</f>
        <v>1.1359999999999999</v>
      </c>
      <c r="E24" s="22">
        <f>'data asli x100'!C92/100</f>
        <v>1.18</v>
      </c>
      <c r="F24" s="22">
        <f>'data asli x100'!C116/100</f>
        <v>1.27</v>
      </c>
      <c r="G24" s="22">
        <f>'data asli x100'!C140/100</f>
        <v>1.429</v>
      </c>
      <c r="H24" s="22">
        <f>'data asli x100'!C164/100</f>
        <v>1.5620000000000003</v>
      </c>
      <c r="I24" s="22">
        <f>'data asli x100'!C188/100</f>
        <v>1.6979999999999997</v>
      </c>
      <c r="J24" s="22">
        <f>'data asli x100'!C212/100</f>
        <v>1.8049999999999999</v>
      </c>
      <c r="K24" s="22">
        <f>'data asli x100'!C236/100</f>
        <v>1.923</v>
      </c>
      <c r="L24" s="22">
        <f>'data asli x100'!C260/100</f>
        <v>1.986</v>
      </c>
      <c r="M24" s="22">
        <f>'data asli x100'!C284/100</f>
        <v>1.976</v>
      </c>
      <c r="N24" s="22">
        <f>'data asli x100'!C308/100</f>
        <v>1.8939999999999997</v>
      </c>
      <c r="O24" s="22">
        <f>'data asli x100'!C332/100</f>
        <v>1.7849999999999999</v>
      </c>
      <c r="P24" s="22">
        <f>'data asli x100'!C356/100</f>
        <v>1.6080000000000001</v>
      </c>
      <c r="Q24" s="23">
        <f t="shared" si="1"/>
        <v>23.903999999999996</v>
      </c>
      <c r="R24" s="24" t="str">
        <f t="shared" si="3"/>
        <v>12:00</v>
      </c>
      <c r="S24" s="25">
        <v>49</v>
      </c>
      <c r="U24" s="32" t="str">
        <f t="shared" si="2"/>
        <v>12:00</v>
      </c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4"/>
      <c r="AK24" s="31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1"/>
    </row>
    <row r="25" spans="1:53" s="1" customFormat="1" ht="20.100000000000001" customHeight="1">
      <c r="A25" s="18" t="s">
        <v>22</v>
      </c>
      <c r="B25" s="22">
        <f>'data asli x100'!C21/100</f>
        <v>1.5609999999999999</v>
      </c>
      <c r="C25" s="22">
        <f>'data asli x100'!C45/100</f>
        <v>1.3320000000000001</v>
      </c>
      <c r="D25" s="22">
        <f>'data asli x100'!C69/100</f>
        <v>1.234</v>
      </c>
      <c r="E25" s="22">
        <f>'data asli x100'!C93/100</f>
        <v>1.1519999999999999</v>
      </c>
      <c r="F25" s="22">
        <f>'data asli x100'!C117/100</f>
        <v>1.169</v>
      </c>
      <c r="G25" s="22">
        <f>'data asli x100'!C141/100</f>
        <v>1.2609999999999999</v>
      </c>
      <c r="H25" s="22">
        <f>'data asli x100'!C165/100</f>
        <v>1.349</v>
      </c>
      <c r="I25" s="22">
        <f>'data asli x100'!C189/100</f>
        <v>1.4355000000000002</v>
      </c>
      <c r="J25" s="22">
        <f>'data asli x100'!C213/100</f>
        <v>1.5640000000000001</v>
      </c>
      <c r="K25" s="22">
        <f>'data asli x100'!C237/100</f>
        <v>1.7050000000000001</v>
      </c>
      <c r="L25" s="22">
        <f>'data asli x100'!C261/100</f>
        <v>1.8080000000000001</v>
      </c>
      <c r="M25" s="22">
        <f>'data asli x100'!C285/100</f>
        <v>1.8730000000000002</v>
      </c>
      <c r="N25" s="22">
        <f>'data asli x100'!C309/100</f>
        <v>1.835</v>
      </c>
      <c r="O25" s="22">
        <f>'data asli x100'!C333/100</f>
        <v>1.8220000000000001</v>
      </c>
      <c r="P25" s="22">
        <f>'data asli x100'!C357/100</f>
        <v>1.6640000000000001</v>
      </c>
      <c r="Q25" s="23">
        <f t="shared" si="1"/>
        <v>22.764500000000002</v>
      </c>
      <c r="R25" s="24" t="str">
        <f t="shared" si="3"/>
        <v>13:00</v>
      </c>
      <c r="S25" s="25">
        <v>53</v>
      </c>
      <c r="U25" s="32" t="str">
        <f t="shared" si="2"/>
        <v>13:00</v>
      </c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4"/>
      <c r="AK25" s="31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1"/>
    </row>
    <row r="26" spans="1:53" s="1" customFormat="1" ht="20.100000000000001" customHeight="1">
      <c r="A26" s="18" t="s">
        <v>23</v>
      </c>
      <c r="B26" s="22">
        <f>'data asli x100'!C22/100</f>
        <v>1.7310000000000003</v>
      </c>
      <c r="C26" s="22">
        <f>'data asli x100'!C46/100</f>
        <v>1.5</v>
      </c>
      <c r="D26" s="22">
        <f>'data asli x100'!C70/100</f>
        <v>1.4340000000000002</v>
      </c>
      <c r="E26" s="22">
        <f>'data asli x100'!C94/100</f>
        <v>1.2609999999999999</v>
      </c>
      <c r="F26" s="22">
        <f>'data asli x100'!C118/100</f>
        <v>1.2250000000000001</v>
      </c>
      <c r="G26" s="22">
        <f>'data asli x100'!C142/100</f>
        <v>1.2310000000000001</v>
      </c>
      <c r="H26" s="22">
        <f>'data asli x100'!C166/100</f>
        <v>1.28</v>
      </c>
      <c r="I26" s="22">
        <f>'data asli x100'!C190/100</f>
        <v>1.319</v>
      </c>
      <c r="J26" s="22">
        <f>'data asli x100'!C214/100</f>
        <v>1.4390000000000001</v>
      </c>
      <c r="K26" s="22">
        <f>'data asli x100'!C238/100</f>
        <v>1.556</v>
      </c>
      <c r="L26" s="22">
        <f>'data asli x100'!C262/100</f>
        <v>1.629</v>
      </c>
      <c r="M26" s="22">
        <f>'data asli x100'!C286/100</f>
        <v>1.7649999999999999</v>
      </c>
      <c r="N26" s="22">
        <f>'data asli x100'!C310/100</f>
        <v>1.7890000000000001</v>
      </c>
      <c r="O26" s="22">
        <f>'data asli x100'!C334/100</f>
        <v>1.8229999999999997</v>
      </c>
      <c r="P26" s="22">
        <f>'data asli x100'!C358/100</f>
        <v>1.7430000000000001</v>
      </c>
      <c r="Q26" s="23">
        <f t="shared" si="1"/>
        <v>22.725000000000001</v>
      </c>
      <c r="R26" s="24" t="str">
        <f t="shared" si="3"/>
        <v>14:00</v>
      </c>
      <c r="S26" s="25">
        <v>57</v>
      </c>
      <c r="U26" s="32" t="str">
        <f t="shared" si="2"/>
        <v>14:00</v>
      </c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4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1"/>
    </row>
    <row r="27" spans="1:53" s="1" customFormat="1" ht="20.100000000000001" customHeight="1">
      <c r="A27" s="18" t="s">
        <v>24</v>
      </c>
      <c r="B27" s="22">
        <f>'data asli x100'!C23/100</f>
        <v>1.889</v>
      </c>
      <c r="C27" s="22">
        <f>'data asli x100'!C47/100</f>
        <v>1.6930000000000001</v>
      </c>
      <c r="D27" s="22">
        <f>'data asli x100'!C71/100</f>
        <v>1.641</v>
      </c>
      <c r="E27" s="22">
        <f>'data asli x100'!C95/100</f>
        <v>1.47</v>
      </c>
      <c r="F27" s="22">
        <f>'data asli x100'!C119/100</f>
        <v>1.375</v>
      </c>
      <c r="G27" s="22">
        <f>'data asli x100'!C143/100</f>
        <v>1.3720000000000001</v>
      </c>
      <c r="H27" s="22">
        <f>'data asli x100'!C167/100</f>
        <v>1.35</v>
      </c>
      <c r="I27" s="22">
        <f>'data asli x100'!C191/100</f>
        <v>1.304</v>
      </c>
      <c r="J27" s="22">
        <f>'data asli x100'!C215/100</f>
        <v>1.4079999999999999</v>
      </c>
      <c r="K27" s="22">
        <f>'data asli x100'!C239/100</f>
        <v>1.4730000000000001</v>
      </c>
      <c r="L27" s="22">
        <f>'data asli x100'!C263/100</f>
        <v>1.5349999999999999</v>
      </c>
      <c r="M27" s="22">
        <f>'data asli x100'!C287/100</f>
        <v>1.6319999999999999</v>
      </c>
      <c r="N27" s="22">
        <f>'data asli x100'!C311/100</f>
        <v>1.6740000000000002</v>
      </c>
      <c r="O27" s="22">
        <f>'data asli x100'!C335/100</f>
        <v>1.766</v>
      </c>
      <c r="P27" s="22">
        <f>'data asli x100'!C359/100</f>
        <v>1.78</v>
      </c>
      <c r="Q27" s="23">
        <f t="shared" si="1"/>
        <v>23.362000000000002</v>
      </c>
      <c r="R27" s="24" t="str">
        <f t="shared" si="3"/>
        <v>15:00</v>
      </c>
      <c r="S27" s="25">
        <v>61</v>
      </c>
      <c r="U27" s="32" t="str">
        <f t="shared" si="2"/>
        <v>15:00</v>
      </c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4"/>
      <c r="AK27" s="31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1"/>
    </row>
    <row r="28" spans="1:53" s="1" customFormat="1" ht="20.100000000000001" customHeight="1">
      <c r="A28" s="18" t="s">
        <v>25</v>
      </c>
      <c r="B28" s="22">
        <f>'data asli x100'!C24/100</f>
        <v>1.9490000000000001</v>
      </c>
      <c r="C28" s="22">
        <f>'data asli x100'!C48/100</f>
        <v>1.8329999999999997</v>
      </c>
      <c r="D28" s="22">
        <f>'data asli x100'!C72/100</f>
        <v>1.778</v>
      </c>
      <c r="E28" s="22">
        <f>'data asli x100'!C96/100</f>
        <v>1.6679999999999999</v>
      </c>
      <c r="F28" s="22">
        <f>'data asli x100'!C120/100</f>
        <v>1.5940000000000001</v>
      </c>
      <c r="G28" s="22">
        <f>'data asli x100'!C144/100</f>
        <v>1.5880000000000001</v>
      </c>
      <c r="H28" s="22">
        <f>'data asli x100'!C168/100</f>
        <v>1.5269999999999999</v>
      </c>
      <c r="I28" s="22">
        <f>'data asli x100'!C192/100</f>
        <v>1.421</v>
      </c>
      <c r="J28" s="22">
        <f>'data asli x100'!C216/100</f>
        <v>1.4790000000000001</v>
      </c>
      <c r="K28" s="22">
        <f>'data asli x100'!C240/100</f>
        <v>1.4790000000000001</v>
      </c>
      <c r="L28" s="22">
        <f>'data asli x100'!C264/100</f>
        <v>1.5019999999999998</v>
      </c>
      <c r="M28" s="22">
        <f>'data asli x100'!C288/100</f>
        <v>1.5780000000000001</v>
      </c>
      <c r="N28" s="22">
        <f>'data asli x100'!C312/100</f>
        <v>1.5759999999999998</v>
      </c>
      <c r="O28" s="22">
        <f>'data asli x100'!C336/100</f>
        <v>1.6840000000000002</v>
      </c>
      <c r="P28" s="22">
        <f>'data asli x100'!C360/100</f>
        <v>1.7180000000000002</v>
      </c>
      <c r="Q28" s="23">
        <f t="shared" si="1"/>
        <v>24.373999999999999</v>
      </c>
      <c r="R28" s="24" t="str">
        <f t="shared" si="3"/>
        <v>16:00</v>
      </c>
      <c r="S28" s="25">
        <v>65</v>
      </c>
      <c r="U28" s="32" t="str">
        <f t="shared" si="2"/>
        <v>16:00</v>
      </c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4"/>
      <c r="AK28" s="31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1"/>
    </row>
    <row r="29" spans="1:53" s="1" customFormat="1" ht="20.100000000000001" customHeight="1">
      <c r="A29" s="18" t="s">
        <v>26</v>
      </c>
      <c r="B29" s="22">
        <f>'data asli x100'!C25/100</f>
        <v>1.9</v>
      </c>
      <c r="C29" s="22">
        <f>'data asli x100'!C49/100</f>
        <v>1.84</v>
      </c>
      <c r="D29" s="22">
        <f>'data asli x100'!C73/100</f>
        <v>1.821</v>
      </c>
      <c r="E29" s="22">
        <f>'data asli x100'!C97/100</f>
        <v>1.7709999999999999</v>
      </c>
      <c r="F29" s="22">
        <f>'data asli x100'!C121/100</f>
        <v>1.784</v>
      </c>
      <c r="G29" s="22">
        <f>'data asli x100'!C145/100</f>
        <v>1.7689999999999997</v>
      </c>
      <c r="H29" s="22">
        <f>'data asli x100'!C169/100</f>
        <v>1.68</v>
      </c>
      <c r="I29" s="22">
        <f>'data asli x100'!C193/100</f>
        <v>1.5940000000000001</v>
      </c>
      <c r="J29" s="22">
        <f>'data asli x100'!C217/100</f>
        <v>1.5930000000000002</v>
      </c>
      <c r="K29" s="22">
        <f>'data asli x100'!C241/100</f>
        <v>1.5729999999999997</v>
      </c>
      <c r="L29" s="22">
        <f>'data asli x100'!C265/100</f>
        <v>1.5110000000000001</v>
      </c>
      <c r="M29" s="22">
        <f>'data asli x100'!C289/100</f>
        <v>1.538</v>
      </c>
      <c r="N29" s="22">
        <f>'data asli x100'!C313/100</f>
        <v>1.5089999999999997</v>
      </c>
      <c r="O29" s="22">
        <f>'data asli x100'!C337/100</f>
        <v>1.548</v>
      </c>
      <c r="P29" s="22">
        <f>'data asli x100'!C361/100</f>
        <v>1.617</v>
      </c>
      <c r="Q29" s="23">
        <f t="shared" si="1"/>
        <v>25.047999999999998</v>
      </c>
      <c r="R29" s="24" t="str">
        <f t="shared" si="3"/>
        <v>17:00</v>
      </c>
      <c r="S29" s="25">
        <v>69</v>
      </c>
      <c r="U29" s="32" t="str">
        <f t="shared" si="2"/>
        <v>17:00</v>
      </c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4"/>
      <c r="AK29" s="31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1"/>
    </row>
    <row r="30" spans="1:53" s="1" customFormat="1" ht="20.100000000000001" customHeight="1">
      <c r="A30" s="35" t="s">
        <v>27</v>
      </c>
      <c r="B30" s="22">
        <f>'data asli x100'!C26/100</f>
        <v>1.7330000000000001</v>
      </c>
      <c r="C30" s="22">
        <f>'data asli x100'!C50/100</f>
        <v>1.742</v>
      </c>
      <c r="D30" s="22">
        <f>'data asli x100'!C74/100</f>
        <v>1.7869999999999999</v>
      </c>
      <c r="E30" s="22">
        <f>'data asli x100'!C98/100</f>
        <v>1.7649999999999999</v>
      </c>
      <c r="F30" s="22">
        <f>'data asli x100'!C122/100</f>
        <v>1.839</v>
      </c>
      <c r="G30" s="22">
        <f>'data asli x100'!C146/100</f>
        <v>1.8129999999999997</v>
      </c>
      <c r="H30" s="22">
        <f>'data asli x100'!C170/100</f>
        <v>1.7789999999999997</v>
      </c>
      <c r="I30" s="22">
        <f>'data asli x100'!C194/100</f>
        <v>1.7480000000000002</v>
      </c>
      <c r="J30" s="22">
        <f>'data asli x100'!C218/100</f>
        <v>1.7210000000000003</v>
      </c>
      <c r="K30" s="22">
        <f>'data asli x100'!C242/100</f>
        <v>1.673</v>
      </c>
      <c r="L30" s="22">
        <f>'data asli x100'!C266/100</f>
        <v>1.595</v>
      </c>
      <c r="M30" s="22">
        <f>'data asli x100'!C290/100</f>
        <v>1.544</v>
      </c>
      <c r="N30" s="22">
        <f>'data asli x100'!C314/100</f>
        <v>1.4680000000000002</v>
      </c>
      <c r="O30" s="22">
        <f>'data asli x100'!C338/100</f>
        <v>1.4219999999999999</v>
      </c>
      <c r="P30" s="22">
        <f>'data asli x100'!C362/100</f>
        <v>1.4930000000000001</v>
      </c>
      <c r="Q30" s="23">
        <f t="shared" si="1"/>
        <v>25.122</v>
      </c>
      <c r="R30" s="24" t="str">
        <f t="shared" si="3"/>
        <v>18:00</v>
      </c>
      <c r="S30" s="25">
        <v>73</v>
      </c>
      <c r="U30" s="32" t="str">
        <f t="shared" si="2"/>
        <v>18:00</v>
      </c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4"/>
      <c r="AK30" s="31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1"/>
    </row>
    <row r="31" spans="1:53" s="1" customFormat="1" ht="20.100000000000001" customHeight="1">
      <c r="A31" s="18" t="s">
        <v>28</v>
      </c>
      <c r="B31" s="22">
        <f>'data asli x100'!C27/100</f>
        <v>1.55</v>
      </c>
      <c r="C31" s="22">
        <f>'data asli x100'!C51/100</f>
        <v>1.5829999999999997</v>
      </c>
      <c r="D31" s="22">
        <f>'data asli x100'!C75/100</f>
        <v>1.6260000000000003</v>
      </c>
      <c r="E31" s="22">
        <f>'data asli x100'!C99/100</f>
        <v>1.653</v>
      </c>
      <c r="F31" s="22">
        <f>'data asli x100'!C123/100</f>
        <v>1.7450000000000001</v>
      </c>
      <c r="G31" s="22">
        <f>'data asli x100'!C147/100</f>
        <v>1.7769999999999999</v>
      </c>
      <c r="H31" s="22">
        <f>'data asli x100'!C171/100</f>
        <v>1.766</v>
      </c>
      <c r="I31" s="22">
        <f>'data asli x100'!C195/100</f>
        <v>1.82</v>
      </c>
      <c r="J31" s="22">
        <f>'data asli x100'!C219/100</f>
        <v>1.8080000000000001</v>
      </c>
      <c r="K31" s="22">
        <f>'data asli x100'!C243/100</f>
        <v>1.7890000000000001</v>
      </c>
      <c r="L31" s="22">
        <f>'data asli x100'!C267/100</f>
        <v>1.724</v>
      </c>
      <c r="M31" s="22">
        <f>'data asli x100'!C291/100</f>
        <v>1.621</v>
      </c>
      <c r="N31" s="22">
        <f>'data asli x100'!C315/100</f>
        <v>1.484</v>
      </c>
      <c r="O31" s="22">
        <f>'data asli x100'!C339/100</f>
        <v>1.365</v>
      </c>
      <c r="P31" s="22">
        <f>'data asli x100'!C363/100</f>
        <v>1.3680000000000001</v>
      </c>
      <c r="Q31" s="23">
        <f t="shared" si="1"/>
        <v>24.678999999999995</v>
      </c>
      <c r="R31" s="24" t="str">
        <f t="shared" si="3"/>
        <v>19:00</v>
      </c>
      <c r="S31" s="25">
        <v>77</v>
      </c>
      <c r="U31" s="32" t="str">
        <f t="shared" si="2"/>
        <v>19:00</v>
      </c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4"/>
      <c r="AK31" s="31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1"/>
    </row>
    <row r="32" spans="1:53" s="1" customFormat="1" ht="20.100000000000001" customHeight="1">
      <c r="A32" s="18" t="s">
        <v>29</v>
      </c>
      <c r="B32" s="22">
        <f>'data asli x100'!C28/100</f>
        <v>1.3240000000000001</v>
      </c>
      <c r="C32" s="22">
        <f>'data asli x100'!C52/100</f>
        <v>1.3320000000000001</v>
      </c>
      <c r="D32" s="22">
        <f>'data asli x100'!C76/100</f>
        <v>1.399</v>
      </c>
      <c r="E32" s="22">
        <f>'data asli x100'!C100/100</f>
        <v>1.444</v>
      </c>
      <c r="F32" s="22">
        <f>'data asli x100'!C124/100</f>
        <v>1.554</v>
      </c>
      <c r="G32" s="22">
        <f>'data asli x100'!C148/100</f>
        <v>1.641</v>
      </c>
      <c r="H32" s="22">
        <f>'data asli x100'!C172/100</f>
        <v>1.6830000000000001</v>
      </c>
      <c r="I32" s="22">
        <f>'data asli x100'!C196/100</f>
        <v>1.7709999999999999</v>
      </c>
      <c r="J32" s="22">
        <f>'data asli x100'!C220/100</f>
        <v>1.8049999999999999</v>
      </c>
      <c r="K32" s="22">
        <f>'data asli x100'!C244/100</f>
        <v>1.8320000000000001</v>
      </c>
      <c r="L32" s="22">
        <f>'data asli x100'!C268/100</f>
        <v>1.796</v>
      </c>
      <c r="M32" s="22">
        <f>'data asli x100'!C292/100</f>
        <v>1.704</v>
      </c>
      <c r="N32" s="22">
        <f>'data asli x100'!C316/100</f>
        <v>1.5269999999999999</v>
      </c>
      <c r="O32" s="22">
        <f>'data asli x100'!C340/100</f>
        <v>1.3730000000000002</v>
      </c>
      <c r="P32" s="22">
        <f>'data asli x100'!C364/100</f>
        <v>1.2430000000000001</v>
      </c>
      <c r="Q32" s="23">
        <f t="shared" si="1"/>
        <v>23.428000000000001</v>
      </c>
      <c r="R32" s="24" t="str">
        <f t="shared" si="3"/>
        <v>20:00</v>
      </c>
      <c r="S32" s="25">
        <v>81</v>
      </c>
      <c r="U32" s="32" t="str">
        <f t="shared" si="2"/>
        <v>20:00</v>
      </c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4"/>
      <c r="AK32" s="31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1"/>
    </row>
    <row r="33" spans="1:53" s="1" customFormat="1" ht="20.100000000000001" customHeight="1">
      <c r="A33" s="18" t="s">
        <v>30</v>
      </c>
      <c r="B33" s="22">
        <f>'data asli x100'!C29/100</f>
        <v>1.1080000000000001</v>
      </c>
      <c r="C33" s="22">
        <f>'data asli x100'!C53/100</f>
        <v>1.0669999999999999</v>
      </c>
      <c r="D33" s="22">
        <f>'data asli x100'!C77/100</f>
        <v>1.1459999999999999</v>
      </c>
      <c r="E33" s="22">
        <f>'data asli x100'!C101/100</f>
        <v>1.226</v>
      </c>
      <c r="F33" s="22">
        <f>'data asli x100'!C125/100</f>
        <v>1.2949999999999999</v>
      </c>
      <c r="G33" s="22">
        <f>'data asli x100'!C149/100</f>
        <v>1.4079999999999999</v>
      </c>
      <c r="H33" s="22">
        <f>'data asli x100'!C173/100</f>
        <v>1.4750000000000001</v>
      </c>
      <c r="I33" s="22">
        <f>'data asli x100'!C197/100</f>
        <v>1.5880000000000001</v>
      </c>
      <c r="J33" s="22">
        <f>'data asli x100'!C221/100</f>
        <v>1.6670000000000003</v>
      </c>
      <c r="K33" s="22">
        <f>'data asli x100'!C245/100</f>
        <v>1.7549999999999999</v>
      </c>
      <c r="L33" s="22">
        <f>'data asli x100'!C269/100</f>
        <v>1.766</v>
      </c>
      <c r="M33" s="22">
        <f>'data asli x100'!C293/100</f>
        <v>1.7210000000000003</v>
      </c>
      <c r="N33" s="22">
        <f>'data asli x100'!C317/100</f>
        <v>1.544</v>
      </c>
      <c r="O33" s="22">
        <f>'data asli x100'!C341/100</f>
        <v>1.393</v>
      </c>
      <c r="P33" s="22">
        <f>'data asli x100'!C365/100</f>
        <v>1.198</v>
      </c>
      <c r="Q33" s="23">
        <f t="shared" si="1"/>
        <v>21.357000000000003</v>
      </c>
      <c r="R33" s="24" t="str">
        <f t="shared" si="3"/>
        <v>21:00</v>
      </c>
      <c r="S33" s="25">
        <v>85</v>
      </c>
      <c r="U33" s="32" t="str">
        <f t="shared" si="2"/>
        <v>21:00</v>
      </c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4"/>
      <c r="AK33" s="31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1"/>
    </row>
    <row r="34" spans="1:53" s="1" customFormat="1" ht="20.100000000000001" customHeight="1">
      <c r="A34" s="18" t="s">
        <v>31</v>
      </c>
      <c r="B34" s="22">
        <f>'data asli x100'!C30/100</f>
        <v>0.96899999999999986</v>
      </c>
      <c r="C34" s="22">
        <f>'data asli x100'!C54/100</f>
        <v>0.81299999999999994</v>
      </c>
      <c r="D34" s="22">
        <f>'data asli x100'!C78/100</f>
        <v>0.88500000000000001</v>
      </c>
      <c r="E34" s="22">
        <f>'data asli x100'!C102/100</f>
        <v>0.95599999999999996</v>
      </c>
      <c r="F34" s="22">
        <f>'data asli x100'!C126/100</f>
        <v>0.96299999999999997</v>
      </c>
      <c r="G34" s="22">
        <f>'data asli x100'!C150/100</f>
        <v>1.151</v>
      </c>
      <c r="H34" s="22">
        <f>'data asli x100'!C174/100</f>
        <v>1.2629999999999999</v>
      </c>
      <c r="I34" s="22">
        <f>'data asli x100'!C198/100</f>
        <v>1.36</v>
      </c>
      <c r="J34" s="22">
        <f>'data asli x100'!C222/100</f>
        <v>1.46</v>
      </c>
      <c r="K34" s="22">
        <f>'data asli x100'!C246/100</f>
        <v>1.556</v>
      </c>
      <c r="L34" s="22">
        <f>'data asli x100'!C270/100</f>
        <v>1.64</v>
      </c>
      <c r="M34" s="22">
        <f>'data asli x100'!C294/100</f>
        <v>1.6930000000000001</v>
      </c>
      <c r="N34" s="22">
        <f>'data asli x100'!C318/100</f>
        <v>1.5840000000000001</v>
      </c>
      <c r="O34" s="22">
        <f>'data asli x100'!C342/100</f>
        <v>1.4579999999999997</v>
      </c>
      <c r="P34" s="22">
        <f>'data asli x100'!C366/100</f>
        <v>1.238</v>
      </c>
      <c r="Q34" s="23">
        <f t="shared" si="1"/>
        <v>18.989000000000001</v>
      </c>
      <c r="R34" s="24" t="str">
        <f t="shared" si="3"/>
        <v>22:00</v>
      </c>
      <c r="S34" s="25">
        <v>89</v>
      </c>
      <c r="U34" s="32" t="str">
        <f t="shared" si="2"/>
        <v>22:00</v>
      </c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4"/>
      <c r="AK34" s="31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1"/>
    </row>
    <row r="35" spans="1:53" s="1" customFormat="1" ht="20.100000000000001" customHeight="1">
      <c r="A35" s="18" t="s">
        <v>32</v>
      </c>
      <c r="B35" s="22">
        <f>'data asli x100'!C31/100</f>
        <v>0.99099999999999999</v>
      </c>
      <c r="C35" s="22">
        <f>'data asli x100'!C55/100</f>
        <v>0.754</v>
      </c>
      <c r="D35" s="22">
        <f>'data asli x100'!C79/100</f>
        <v>0.70199999999999985</v>
      </c>
      <c r="E35" s="22">
        <f>'data asli x100'!C103/100</f>
        <v>0.73799999999999999</v>
      </c>
      <c r="F35" s="22">
        <f>'data asli x100'!C127/100</f>
        <v>0.76200000000000001</v>
      </c>
      <c r="G35" s="22">
        <f>'data asli x100'!C151/100</f>
        <v>0.90400000000000003</v>
      </c>
      <c r="H35" s="22">
        <f>'data asli x100'!C175/100</f>
        <v>1.0229999999999999</v>
      </c>
      <c r="I35" s="22">
        <f>'data asli x100'!C199/100</f>
        <v>1.1240000000000001</v>
      </c>
      <c r="J35" s="22">
        <f>'data asli x100'!C223/100</f>
        <v>1.254</v>
      </c>
      <c r="K35" s="22">
        <f>'data asli x100'!C247/100</f>
        <v>1.375</v>
      </c>
      <c r="L35" s="22">
        <f>'data asli x100'!C271/100</f>
        <v>1.4950000000000001</v>
      </c>
      <c r="M35" s="22">
        <f>'data asli x100'!C295/100</f>
        <v>1.61</v>
      </c>
      <c r="N35" s="22">
        <f>'data asli x100'!C319/100</f>
        <v>1.569</v>
      </c>
      <c r="O35" s="22">
        <f>'data asli x100'!C343/100</f>
        <v>1.5609999999999999</v>
      </c>
      <c r="P35" s="22">
        <f>'data asli x100'!C367/100</f>
        <v>1.3879999999999999</v>
      </c>
      <c r="Q35" s="23">
        <f t="shared" si="1"/>
        <v>17.25</v>
      </c>
      <c r="R35" s="24" t="str">
        <f t="shared" si="3"/>
        <v>23:00</v>
      </c>
      <c r="S35" s="25">
        <v>93</v>
      </c>
      <c r="U35" s="36" t="str">
        <f t="shared" si="2"/>
        <v>23:00</v>
      </c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8"/>
      <c r="AK35" s="31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1"/>
    </row>
    <row r="36" spans="1:53" s="12" customFormat="1" ht="20.100000000000001" customHeight="1">
      <c r="A36" s="490" t="s">
        <v>33</v>
      </c>
      <c r="B36" s="491">
        <f t="shared" ref="B36:P36" si="4">SUM(B12:B35)</f>
        <v>40.956999999999994</v>
      </c>
      <c r="C36" s="491">
        <f t="shared" si="4"/>
        <v>39.722000000000001</v>
      </c>
      <c r="D36" s="491">
        <f t="shared" si="4"/>
        <v>39.618999999999993</v>
      </c>
      <c r="E36" s="491">
        <f t="shared" si="4"/>
        <v>39.401999999999994</v>
      </c>
      <c r="F36" s="491">
        <f t="shared" si="4"/>
        <v>39.861000000000004</v>
      </c>
      <c r="G36" s="491">
        <f t="shared" si="4"/>
        <v>40.467000000000006</v>
      </c>
      <c r="H36" s="491">
        <f t="shared" si="4"/>
        <v>40.263000000000005</v>
      </c>
      <c r="I36" s="491">
        <f t="shared" si="4"/>
        <v>39.8155</v>
      </c>
      <c r="J36" s="491">
        <f t="shared" si="4"/>
        <v>40.070999999999998</v>
      </c>
      <c r="K36" s="491">
        <f t="shared" si="4"/>
        <v>40.125999999999998</v>
      </c>
      <c r="L36" s="491">
        <f t="shared" si="4"/>
        <v>40.166999999999987</v>
      </c>
      <c r="M36" s="491">
        <f t="shared" si="4"/>
        <v>40.167000000000002</v>
      </c>
      <c r="N36" s="491">
        <f t="shared" si="4"/>
        <v>39.50200000000001</v>
      </c>
      <c r="O36" s="491">
        <f t="shared" si="4"/>
        <v>39.462999999999994</v>
      </c>
      <c r="P36" s="491">
        <f t="shared" si="4"/>
        <v>39.737000000000009</v>
      </c>
    </row>
    <row r="37" spans="1:53" ht="20.100000000000001" customHeight="1">
      <c r="B37">
        <f>B36/96</f>
        <v>0.4266354166666666</v>
      </c>
      <c r="C37">
        <f t="shared" ref="C37:P37" si="5">C36/96</f>
        <v>0.41377083333333337</v>
      </c>
      <c r="D37">
        <f t="shared" si="5"/>
        <v>0.41269791666666661</v>
      </c>
      <c r="E37">
        <f t="shared" si="5"/>
        <v>0.41043749999999996</v>
      </c>
      <c r="F37">
        <f t="shared" si="5"/>
        <v>0.41521875000000003</v>
      </c>
      <c r="G37">
        <f t="shared" si="5"/>
        <v>0.42153125000000008</v>
      </c>
      <c r="H37">
        <f t="shared" si="5"/>
        <v>0.41940625000000004</v>
      </c>
      <c r="I37">
        <f t="shared" si="5"/>
        <v>0.41474479166666667</v>
      </c>
      <c r="J37">
        <f t="shared" si="5"/>
        <v>0.41740624999999998</v>
      </c>
      <c r="K37">
        <f t="shared" si="5"/>
        <v>0.41797916666666662</v>
      </c>
      <c r="L37">
        <f t="shared" si="5"/>
        <v>0.41840624999999987</v>
      </c>
      <c r="M37">
        <f t="shared" si="5"/>
        <v>0.41840625000000004</v>
      </c>
      <c r="N37">
        <f t="shared" si="5"/>
        <v>0.41147916666666678</v>
      </c>
      <c r="O37">
        <f t="shared" si="5"/>
        <v>0.41107291666666662</v>
      </c>
      <c r="P37">
        <f t="shared" si="5"/>
        <v>0.41392708333333345</v>
      </c>
      <c r="Q37" s="660" t="e">
        <f>IF(S37=#REF!,"Good...","Not Good Man!!!!!")</f>
        <v>#REF!</v>
      </c>
      <c r="R37" s="660"/>
      <c r="S37" s="40">
        <f>SUM(B36:P36)</f>
        <v>599.33949999999993</v>
      </c>
      <c r="V37" s="41">
        <f>MAX($B$12:$P$35)</f>
        <v>2.8460000000000001</v>
      </c>
      <c r="W37" s="25">
        <f>V37-$V$38</f>
        <v>1.1811680555555546</v>
      </c>
      <c r="X37" s="25">
        <f>W37-W39</f>
        <v>2.1880000000000002</v>
      </c>
    </row>
    <row r="38" spans="1:53" ht="20.100000000000001" customHeight="1">
      <c r="Q38" s="661">
        <f>S37/30</f>
        <v>19.977983333333331</v>
      </c>
      <c r="R38" s="661"/>
      <c r="V38" s="41">
        <f>AVERAGE($B$12:$P$35)</f>
        <v>1.6648319444444455</v>
      </c>
      <c r="W38" s="25">
        <f>V38-$V$38</f>
        <v>0</v>
      </c>
      <c r="X38" s="25"/>
    </row>
    <row r="39" spans="1:53" ht="20.100000000000001" customHeight="1">
      <c r="Q39" s="42"/>
      <c r="V39" s="41">
        <f>MIN($B$12:$P$35)</f>
        <v>0.65799999999999992</v>
      </c>
      <c r="W39" s="25">
        <f>V39-$V$38</f>
        <v>-1.0068319444444456</v>
      </c>
      <c r="X39" s="41"/>
    </row>
    <row r="40" spans="1:53" ht="20.100000000000001" customHeight="1"/>
    <row r="41" spans="1:53" ht="8.1" customHeight="1">
      <c r="A41" s="662"/>
    </row>
    <row r="42" spans="1:53" ht="8.1" customHeight="1">
      <c r="A42" s="662"/>
    </row>
    <row r="43" spans="1:53" ht="9" customHeight="1">
      <c r="A43" s="662"/>
    </row>
    <row r="44" spans="1:53" ht="9" customHeight="1">
      <c r="A44" s="662"/>
    </row>
    <row r="45" spans="1:53" ht="8.1" customHeight="1">
      <c r="A45" s="662"/>
    </row>
    <row r="46" spans="1:53" ht="8.1" customHeight="1">
      <c r="A46" s="662"/>
    </row>
    <row r="47" spans="1:53" ht="8.1" customHeight="1">
      <c r="A47" s="662"/>
    </row>
    <row r="48" spans="1:53" ht="8.1" customHeight="1">
      <c r="A48" s="662"/>
    </row>
    <row r="50" spans="1:1" ht="8.1" customHeight="1">
      <c r="A50" s="662"/>
    </row>
    <row r="51" spans="1:1" ht="8.1" customHeight="1">
      <c r="A51" s="662"/>
    </row>
    <row r="52" spans="1:1" ht="8.1" customHeight="1">
      <c r="A52" s="662"/>
    </row>
    <row r="53" spans="1:1" ht="8.1" customHeight="1">
      <c r="A53" s="662"/>
    </row>
    <row r="54" spans="1:1" ht="8.1" customHeight="1">
      <c r="A54" s="662"/>
    </row>
    <row r="55" spans="1:1" ht="8.1" customHeight="1">
      <c r="A55" s="662"/>
    </row>
    <row r="56" spans="1:1" ht="8.1" customHeight="1">
      <c r="A56" s="662"/>
    </row>
    <row r="57" spans="1:1" ht="8.1" customHeight="1">
      <c r="A57" s="662"/>
    </row>
  </sheetData>
  <sheetProtection selectLockedCells="1" selectUnlockedCells="1"/>
  <mergeCells count="10">
    <mergeCell ref="Q37:R37"/>
    <mergeCell ref="Q38:R38"/>
    <mergeCell ref="A41:A48"/>
    <mergeCell ref="A50:A57"/>
    <mergeCell ref="U5:AJ5"/>
    <mergeCell ref="A6:P6"/>
    <mergeCell ref="U6:AJ6"/>
    <mergeCell ref="B10:P10"/>
    <mergeCell ref="U10:U11"/>
    <mergeCell ref="V10:AJ10"/>
  </mergeCells>
  <phoneticPr fontId="26" type="noConversion"/>
  <printOptions horizontalCentered="1"/>
  <pageMargins left="0.7" right="0.7" top="0.98402777777777772" bottom="0.5" header="0.51180555555555551" footer="0.51180555555555551"/>
  <pageSetup paperSize="9" scale="7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4"/>
  <sheetViews>
    <sheetView showGridLines="0" zoomScale="85" zoomScaleNormal="85" zoomScaleSheetLayoutView="70" workbookViewId="0">
      <selection activeCell="C3" sqref="C3:Z3"/>
    </sheetView>
  </sheetViews>
  <sheetFormatPr defaultColWidth="9.140625" defaultRowHeight="14.25"/>
  <cols>
    <col min="1" max="1" width="5" style="43" customWidth="1"/>
    <col min="2" max="2" width="16.85546875" style="43" bestFit="1" customWidth="1"/>
    <col min="3" max="26" width="5.5703125" style="39" customWidth="1"/>
    <col min="27" max="27" width="10.28515625" style="1" customWidth="1"/>
    <col min="28" max="28" width="8.5703125" style="1" bestFit="1" customWidth="1"/>
    <col min="29" max="16384" width="9.140625" style="1"/>
  </cols>
  <sheetData>
    <row r="1" spans="1:31" ht="21" customHeight="1">
      <c r="A1" s="44" t="s">
        <v>547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1"/>
      <c r="O1" s="1"/>
      <c r="P1" s="1"/>
      <c r="Q1" s="1"/>
      <c r="R1" s="45"/>
      <c r="S1" s="45"/>
      <c r="T1" s="45"/>
      <c r="U1" s="45"/>
      <c r="V1" s="45"/>
      <c r="W1" s="1"/>
      <c r="X1" s="1"/>
      <c r="Y1" s="45"/>
      <c r="Z1" s="45"/>
      <c r="AA1" s="45"/>
    </row>
    <row r="2" spans="1:31" ht="9" customHeight="1">
      <c r="A2" s="1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31" ht="21" customHeight="1">
      <c r="A3" s="669" t="s">
        <v>0</v>
      </c>
      <c r="B3" s="669" t="s">
        <v>87</v>
      </c>
      <c r="C3" s="669" t="s">
        <v>617</v>
      </c>
      <c r="D3" s="669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669"/>
      <c r="R3" s="669"/>
      <c r="S3" s="669"/>
      <c r="T3" s="669"/>
      <c r="U3" s="669"/>
      <c r="V3" s="669"/>
      <c r="W3" s="669"/>
      <c r="X3" s="669"/>
      <c r="Y3" s="669"/>
      <c r="Z3" s="669"/>
      <c r="AA3" s="669" t="s">
        <v>85</v>
      </c>
      <c r="AB3" s="667" t="s">
        <v>619</v>
      </c>
    </row>
    <row r="4" spans="1:31" ht="21" customHeight="1">
      <c r="A4" s="669"/>
      <c r="B4" s="669"/>
      <c r="C4" s="596" t="s">
        <v>37</v>
      </c>
      <c r="D4" s="596" t="s">
        <v>38</v>
      </c>
      <c r="E4" s="596" t="s">
        <v>39</v>
      </c>
      <c r="F4" s="596" t="s">
        <v>40</v>
      </c>
      <c r="G4" s="596" t="s">
        <v>41</v>
      </c>
      <c r="H4" s="596" t="s">
        <v>42</v>
      </c>
      <c r="I4" s="596" t="s">
        <v>2</v>
      </c>
      <c r="J4" s="596" t="s">
        <v>43</v>
      </c>
      <c r="K4" s="596" t="s">
        <v>44</v>
      </c>
      <c r="L4" s="596" t="s">
        <v>45</v>
      </c>
      <c r="M4" s="596" t="s">
        <v>46</v>
      </c>
      <c r="N4" s="596" t="s">
        <v>47</v>
      </c>
      <c r="O4" s="596" t="s">
        <v>48</v>
      </c>
      <c r="P4" s="596" t="s">
        <v>49</v>
      </c>
      <c r="Q4" s="596" t="s">
        <v>50</v>
      </c>
      <c r="R4" s="596" t="s">
        <v>51</v>
      </c>
      <c r="S4" s="596" t="s">
        <v>52</v>
      </c>
      <c r="T4" s="596" t="s">
        <v>53</v>
      </c>
      <c r="U4" s="596" t="s">
        <v>54</v>
      </c>
      <c r="V4" s="596" t="s">
        <v>55</v>
      </c>
      <c r="W4" s="596" t="s">
        <v>56</v>
      </c>
      <c r="X4" s="596" t="s">
        <v>57</v>
      </c>
      <c r="Y4" s="596" t="s">
        <v>58</v>
      </c>
      <c r="Z4" s="596" t="s">
        <v>59</v>
      </c>
      <c r="AA4" s="669"/>
      <c r="AB4" s="668"/>
    </row>
    <row r="5" spans="1:31" s="45" customFormat="1" ht="21" customHeight="1">
      <c r="A5" s="532">
        <v>1</v>
      </c>
      <c r="B5" s="536">
        <v>44709</v>
      </c>
      <c r="C5" s="532">
        <f t="array" ref="C5:Z5">TRANSPOSE('data asli x100'!C8:C31)</f>
        <v>136</v>
      </c>
      <c r="D5" s="532">
        <v>165.5</v>
      </c>
      <c r="E5" s="532">
        <v>198.3</v>
      </c>
      <c r="F5" s="532">
        <v>224.7</v>
      </c>
      <c r="G5" s="532">
        <v>239</v>
      </c>
      <c r="H5" s="532">
        <v>243.00000000000003</v>
      </c>
      <c r="I5" s="532">
        <v>231.70000000000002</v>
      </c>
      <c r="J5" s="532">
        <v>212.1</v>
      </c>
      <c r="K5" s="532">
        <v>188.39999999999998</v>
      </c>
      <c r="L5" s="532">
        <v>163.69999999999999</v>
      </c>
      <c r="M5" s="532">
        <v>145.4</v>
      </c>
      <c r="N5" s="532">
        <v>135.4</v>
      </c>
      <c r="O5" s="532">
        <v>142</v>
      </c>
      <c r="P5" s="532">
        <v>156.1</v>
      </c>
      <c r="Q5" s="532">
        <v>173.10000000000002</v>
      </c>
      <c r="R5" s="532">
        <v>188.9</v>
      </c>
      <c r="S5" s="532">
        <v>194.9</v>
      </c>
      <c r="T5" s="532">
        <v>190</v>
      </c>
      <c r="U5" s="532">
        <v>173.3</v>
      </c>
      <c r="V5" s="532">
        <v>155</v>
      </c>
      <c r="W5" s="532">
        <v>132.4</v>
      </c>
      <c r="X5" s="532">
        <v>110.80000000000001</v>
      </c>
      <c r="Y5" s="532">
        <v>96.899999999999991</v>
      </c>
      <c r="Z5" s="532">
        <v>99.1</v>
      </c>
      <c r="AA5" s="532">
        <f t="shared" ref="AA5:AA33" si="0">SUM(C5:Z5)</f>
        <v>4095.7000000000003</v>
      </c>
      <c r="AB5" s="533">
        <f t="shared" ref="AB5:AB33" si="1">AVERAGE(C5:Z5)</f>
        <v>170.65416666666667</v>
      </c>
      <c r="AD5" s="45">
        <v>8</v>
      </c>
      <c r="AE5" s="45">
        <v>31</v>
      </c>
    </row>
    <row r="6" spans="1:31" s="45" customFormat="1" ht="21" customHeight="1">
      <c r="A6" s="593">
        <v>2</v>
      </c>
      <c r="B6" s="594">
        <f>B5+1</f>
        <v>44710</v>
      </c>
      <c r="C6" s="593">
        <f t="array" ref="C6:Z6">TRANSPOSE('data asli x100'!C32:C55)</f>
        <v>113.79999999999998</v>
      </c>
      <c r="D6" s="593">
        <v>143.9</v>
      </c>
      <c r="E6" s="593">
        <v>184.7</v>
      </c>
      <c r="F6" s="593">
        <v>222.29999999999998</v>
      </c>
      <c r="G6" s="593">
        <v>249.10000000000002</v>
      </c>
      <c r="H6" s="593">
        <v>258.10000000000002</v>
      </c>
      <c r="I6" s="593">
        <v>251.9</v>
      </c>
      <c r="J6" s="593">
        <v>232.6</v>
      </c>
      <c r="K6" s="593">
        <v>202.4</v>
      </c>
      <c r="L6" s="593">
        <v>171.9</v>
      </c>
      <c r="M6" s="593">
        <v>144.1</v>
      </c>
      <c r="N6" s="593">
        <v>125.29999999999998</v>
      </c>
      <c r="O6" s="593">
        <v>123.2</v>
      </c>
      <c r="P6" s="593">
        <v>133.20000000000002</v>
      </c>
      <c r="Q6" s="593">
        <v>150</v>
      </c>
      <c r="R6" s="593">
        <v>169.3</v>
      </c>
      <c r="S6" s="593">
        <v>183.29999999999998</v>
      </c>
      <c r="T6" s="593">
        <v>184</v>
      </c>
      <c r="U6" s="593">
        <v>174.2</v>
      </c>
      <c r="V6" s="593">
        <v>158.29999999999998</v>
      </c>
      <c r="W6" s="593">
        <v>133.20000000000002</v>
      </c>
      <c r="X6" s="593">
        <v>106.69999999999999</v>
      </c>
      <c r="Y6" s="593">
        <v>81.3</v>
      </c>
      <c r="Z6" s="593">
        <v>75.400000000000006</v>
      </c>
      <c r="AA6" s="593">
        <f t="shared" si="0"/>
        <v>3972.2000000000003</v>
      </c>
      <c r="AB6" s="595">
        <f t="shared" si="1"/>
        <v>165.50833333333335</v>
      </c>
      <c r="AD6" s="45">
        <f>AE5+1</f>
        <v>32</v>
      </c>
      <c r="AE6" s="45">
        <f>AD6+(AE5-AD5)</f>
        <v>55</v>
      </c>
    </row>
    <row r="7" spans="1:31" s="45" customFormat="1" ht="21" customHeight="1">
      <c r="A7" s="532">
        <v>3</v>
      </c>
      <c r="B7" s="536">
        <f t="shared" ref="B7:B33" si="2">B6+1</f>
        <v>44711</v>
      </c>
      <c r="C7" s="532">
        <f t="array" ref="C7:Z7">TRANSPOSE('data asli x100'!C56:C79)</f>
        <v>90.600000000000009</v>
      </c>
      <c r="D7" s="532">
        <v>123.10000000000001</v>
      </c>
      <c r="E7" s="532">
        <v>162.69999999999999</v>
      </c>
      <c r="F7" s="532">
        <v>205.50000000000003</v>
      </c>
      <c r="G7" s="532">
        <v>245.6</v>
      </c>
      <c r="H7" s="532">
        <v>271.39999999999998</v>
      </c>
      <c r="I7" s="532">
        <v>272.8</v>
      </c>
      <c r="J7" s="532">
        <v>255.20000000000002</v>
      </c>
      <c r="K7" s="532">
        <v>222.8</v>
      </c>
      <c r="L7" s="532">
        <v>182.8</v>
      </c>
      <c r="M7" s="532">
        <v>148.5</v>
      </c>
      <c r="N7" s="532">
        <v>122</v>
      </c>
      <c r="O7" s="532">
        <v>113.6</v>
      </c>
      <c r="P7" s="532">
        <v>123.4</v>
      </c>
      <c r="Q7" s="532">
        <v>143.4</v>
      </c>
      <c r="R7" s="532">
        <v>164.1</v>
      </c>
      <c r="S7" s="532">
        <v>177.8</v>
      </c>
      <c r="T7" s="532">
        <v>182.1</v>
      </c>
      <c r="U7" s="532">
        <v>178.7</v>
      </c>
      <c r="V7" s="532">
        <v>162.60000000000002</v>
      </c>
      <c r="W7" s="532">
        <v>139.9</v>
      </c>
      <c r="X7" s="532">
        <v>114.6</v>
      </c>
      <c r="Y7" s="532">
        <v>88.5</v>
      </c>
      <c r="Z7" s="532">
        <v>70.199999999999989</v>
      </c>
      <c r="AA7" s="530">
        <f t="shared" si="0"/>
        <v>3961.8999999999996</v>
      </c>
      <c r="AB7" s="531">
        <f t="shared" si="1"/>
        <v>165.07916666666665</v>
      </c>
      <c r="AD7" s="45">
        <f>AE6+1</f>
        <v>56</v>
      </c>
      <c r="AE7" s="45">
        <f>AD7+(AE6-AD6)</f>
        <v>79</v>
      </c>
    </row>
    <row r="8" spans="1:31" s="45" customFormat="1" ht="21" customHeight="1">
      <c r="A8" s="593">
        <v>4</v>
      </c>
      <c r="B8" s="594">
        <f t="shared" si="2"/>
        <v>44712</v>
      </c>
      <c r="C8" s="593">
        <f t="array" ref="C8:Z8">TRANSPOSE('data asli x100'!C80:C103)</f>
        <v>74.3</v>
      </c>
      <c r="D8" s="593">
        <v>100.89999999999999</v>
      </c>
      <c r="E8" s="593">
        <v>139.5</v>
      </c>
      <c r="F8" s="593">
        <v>188.39999999999998</v>
      </c>
      <c r="G8" s="593">
        <v>235.2</v>
      </c>
      <c r="H8" s="593">
        <v>269.60000000000002</v>
      </c>
      <c r="I8" s="593">
        <v>281.5</v>
      </c>
      <c r="J8" s="593">
        <v>273.8</v>
      </c>
      <c r="K8" s="593">
        <v>246</v>
      </c>
      <c r="L8" s="593">
        <v>202.8</v>
      </c>
      <c r="M8" s="593">
        <v>165.3</v>
      </c>
      <c r="N8" s="593">
        <v>134.5</v>
      </c>
      <c r="O8" s="593">
        <v>118</v>
      </c>
      <c r="P8" s="593">
        <v>115.19999999999999</v>
      </c>
      <c r="Q8" s="593">
        <v>126.1</v>
      </c>
      <c r="R8" s="593">
        <v>147</v>
      </c>
      <c r="S8" s="593">
        <v>166.79999999999998</v>
      </c>
      <c r="T8" s="593">
        <v>177.1</v>
      </c>
      <c r="U8" s="593">
        <v>176.5</v>
      </c>
      <c r="V8" s="593">
        <v>165.3</v>
      </c>
      <c r="W8" s="593">
        <v>144.4</v>
      </c>
      <c r="X8" s="593">
        <v>122.6</v>
      </c>
      <c r="Y8" s="593">
        <v>95.6</v>
      </c>
      <c r="Z8" s="593">
        <v>73.8</v>
      </c>
      <c r="AA8" s="593">
        <f t="shared" si="0"/>
        <v>3940.2000000000003</v>
      </c>
      <c r="AB8" s="595">
        <f t="shared" si="1"/>
        <v>164.17500000000001</v>
      </c>
      <c r="AD8" s="45">
        <f t="shared" ref="AD8:AD19" si="3">AE7+1</f>
        <v>80</v>
      </c>
      <c r="AE8" s="45">
        <f t="shared" ref="AE8:AE19" si="4">AD8+(AE7-AD7)</f>
        <v>103</v>
      </c>
    </row>
    <row r="9" spans="1:31" s="45" customFormat="1" ht="21" customHeight="1">
      <c r="A9" s="532">
        <v>5</v>
      </c>
      <c r="B9" s="536">
        <f t="shared" si="2"/>
        <v>44713</v>
      </c>
      <c r="C9" s="532">
        <f t="array" ref="C9:Z9">TRANSPOSE('data asli x100'!C104:C127)</f>
        <v>68.7</v>
      </c>
      <c r="D9" s="532">
        <v>86.4</v>
      </c>
      <c r="E9" s="532">
        <v>124.6</v>
      </c>
      <c r="F9" s="532">
        <v>170.1</v>
      </c>
      <c r="G9" s="532">
        <v>219.3</v>
      </c>
      <c r="H9" s="532">
        <v>259.5</v>
      </c>
      <c r="I9" s="532">
        <v>281.8</v>
      </c>
      <c r="J9" s="532">
        <v>284</v>
      </c>
      <c r="K9" s="532">
        <v>265.7</v>
      </c>
      <c r="L9" s="532">
        <v>228.79999999999998</v>
      </c>
      <c r="M9" s="532">
        <v>188.2</v>
      </c>
      <c r="N9" s="532">
        <v>151.5</v>
      </c>
      <c r="O9" s="532">
        <v>127</v>
      </c>
      <c r="P9" s="532">
        <v>116.9</v>
      </c>
      <c r="Q9" s="532">
        <v>122.50000000000001</v>
      </c>
      <c r="R9" s="532">
        <v>137.5</v>
      </c>
      <c r="S9" s="532">
        <v>159.4</v>
      </c>
      <c r="T9" s="532">
        <v>178.4</v>
      </c>
      <c r="U9" s="532">
        <v>183.9</v>
      </c>
      <c r="V9" s="532">
        <v>174.5</v>
      </c>
      <c r="W9" s="532">
        <v>155.4</v>
      </c>
      <c r="X9" s="532">
        <v>129.5</v>
      </c>
      <c r="Y9" s="532">
        <v>96.3</v>
      </c>
      <c r="Z9" s="532">
        <v>76.2</v>
      </c>
      <c r="AA9" s="530">
        <f t="shared" si="0"/>
        <v>3986.1000000000004</v>
      </c>
      <c r="AB9" s="531">
        <f t="shared" si="1"/>
        <v>166.08750000000001</v>
      </c>
      <c r="AD9" s="45">
        <f t="shared" si="3"/>
        <v>104</v>
      </c>
      <c r="AE9" s="45">
        <f t="shared" si="4"/>
        <v>127</v>
      </c>
    </row>
    <row r="10" spans="1:31" s="45" customFormat="1" ht="21" customHeight="1">
      <c r="A10" s="593">
        <v>6</v>
      </c>
      <c r="B10" s="594">
        <f t="shared" si="2"/>
        <v>44714</v>
      </c>
      <c r="C10" s="593">
        <f t="array" ref="C10:Z10">TRANSPOSE('data asli x100'!C128:C151)</f>
        <v>65.8</v>
      </c>
      <c r="D10" s="593">
        <v>75</v>
      </c>
      <c r="E10" s="593">
        <v>106.1</v>
      </c>
      <c r="F10" s="593">
        <v>149.30000000000001</v>
      </c>
      <c r="G10" s="593">
        <v>199.9</v>
      </c>
      <c r="H10" s="593">
        <v>243.5</v>
      </c>
      <c r="I10" s="593">
        <v>274.5</v>
      </c>
      <c r="J10" s="593">
        <v>284.60000000000002</v>
      </c>
      <c r="K10" s="593">
        <v>275.8</v>
      </c>
      <c r="L10" s="593">
        <v>250.59999999999997</v>
      </c>
      <c r="M10" s="593">
        <v>212.3</v>
      </c>
      <c r="N10" s="593">
        <v>174.9</v>
      </c>
      <c r="O10" s="593">
        <v>142.9</v>
      </c>
      <c r="P10" s="593">
        <v>126.1</v>
      </c>
      <c r="Q10" s="593">
        <v>123.10000000000001</v>
      </c>
      <c r="R10" s="593">
        <v>137.20000000000002</v>
      </c>
      <c r="S10" s="593">
        <v>158.80000000000001</v>
      </c>
      <c r="T10" s="593">
        <v>176.89999999999998</v>
      </c>
      <c r="U10" s="593">
        <v>181.29999999999998</v>
      </c>
      <c r="V10" s="593">
        <v>177.7</v>
      </c>
      <c r="W10" s="593">
        <v>164.1</v>
      </c>
      <c r="X10" s="593">
        <v>140.79999999999998</v>
      </c>
      <c r="Y10" s="593">
        <v>115.10000000000001</v>
      </c>
      <c r="Z10" s="593">
        <v>90.4</v>
      </c>
      <c r="AA10" s="593">
        <f t="shared" si="0"/>
        <v>4046.7</v>
      </c>
      <c r="AB10" s="595">
        <f t="shared" si="1"/>
        <v>168.61249999999998</v>
      </c>
      <c r="AD10" s="45">
        <f t="shared" si="3"/>
        <v>128</v>
      </c>
      <c r="AE10" s="45">
        <f t="shared" si="4"/>
        <v>151</v>
      </c>
    </row>
    <row r="11" spans="1:31" s="45" customFormat="1" ht="21" customHeight="1">
      <c r="A11" s="532">
        <v>7</v>
      </c>
      <c r="B11" s="536">
        <f t="shared" si="2"/>
        <v>44715</v>
      </c>
      <c r="C11" s="532">
        <f t="array" ref="C11:Z11">TRANSPOSE('data asli x100'!C152:C175)</f>
        <v>74</v>
      </c>
      <c r="D11" s="532">
        <v>75.400000000000006</v>
      </c>
      <c r="E11" s="532">
        <v>94.699999999999989</v>
      </c>
      <c r="F11" s="532">
        <v>130.5</v>
      </c>
      <c r="G11" s="532">
        <v>175.4</v>
      </c>
      <c r="H11" s="532">
        <v>218.5</v>
      </c>
      <c r="I11" s="532">
        <v>254.70000000000002</v>
      </c>
      <c r="J11" s="532">
        <v>275.8</v>
      </c>
      <c r="K11" s="532">
        <v>277.3</v>
      </c>
      <c r="L11" s="532">
        <v>259.8</v>
      </c>
      <c r="M11" s="532">
        <v>227.8</v>
      </c>
      <c r="N11" s="532">
        <v>188.7</v>
      </c>
      <c r="O11" s="532">
        <v>156.20000000000002</v>
      </c>
      <c r="P11" s="532">
        <v>134.9</v>
      </c>
      <c r="Q11" s="532">
        <v>128</v>
      </c>
      <c r="R11" s="532">
        <v>135</v>
      </c>
      <c r="S11" s="532">
        <v>152.69999999999999</v>
      </c>
      <c r="T11" s="532">
        <v>168</v>
      </c>
      <c r="U11" s="532">
        <v>177.89999999999998</v>
      </c>
      <c r="V11" s="532">
        <v>176.6</v>
      </c>
      <c r="W11" s="532">
        <v>168.3</v>
      </c>
      <c r="X11" s="532">
        <v>147.5</v>
      </c>
      <c r="Y11" s="532">
        <v>126.29999999999998</v>
      </c>
      <c r="Z11" s="532">
        <v>102.3</v>
      </c>
      <c r="AA11" s="530">
        <f t="shared" si="0"/>
        <v>4026.3</v>
      </c>
      <c r="AB11" s="531">
        <f t="shared" si="1"/>
        <v>167.76250000000002</v>
      </c>
      <c r="AD11" s="45">
        <f t="shared" si="3"/>
        <v>152</v>
      </c>
      <c r="AE11" s="45">
        <f t="shared" si="4"/>
        <v>175</v>
      </c>
    </row>
    <row r="12" spans="1:31" s="45" customFormat="1" ht="21" customHeight="1">
      <c r="A12" s="593">
        <v>8</v>
      </c>
      <c r="B12" s="594">
        <f t="shared" si="2"/>
        <v>44716</v>
      </c>
      <c r="C12" s="593">
        <f t="array" ref="C12:Z12">TRANSPOSE('data asli x100'!C176:C199)</f>
        <v>79.7</v>
      </c>
      <c r="D12" s="593">
        <v>73.400000000000006</v>
      </c>
      <c r="E12" s="593">
        <v>85.7</v>
      </c>
      <c r="F12" s="593">
        <v>115.99999999999999</v>
      </c>
      <c r="G12" s="593">
        <v>154</v>
      </c>
      <c r="H12" s="593">
        <v>198.9</v>
      </c>
      <c r="I12" s="593">
        <v>235.6</v>
      </c>
      <c r="J12" s="593">
        <v>259.5</v>
      </c>
      <c r="K12" s="593">
        <v>268.89999999999998</v>
      </c>
      <c r="L12" s="593">
        <v>258.59999999999997</v>
      </c>
      <c r="M12" s="593">
        <v>233.9</v>
      </c>
      <c r="N12" s="593">
        <v>199.10000000000002</v>
      </c>
      <c r="O12" s="593">
        <v>169.79999999999998</v>
      </c>
      <c r="P12" s="593">
        <v>143.55000000000001</v>
      </c>
      <c r="Q12" s="593">
        <v>131.9</v>
      </c>
      <c r="R12" s="593">
        <v>130.4</v>
      </c>
      <c r="S12" s="593">
        <v>142.1</v>
      </c>
      <c r="T12" s="593">
        <v>159.4</v>
      </c>
      <c r="U12" s="593">
        <v>174.8</v>
      </c>
      <c r="V12" s="593">
        <v>182</v>
      </c>
      <c r="W12" s="593">
        <v>177.1</v>
      </c>
      <c r="X12" s="593">
        <v>158.80000000000001</v>
      </c>
      <c r="Y12" s="593">
        <v>136</v>
      </c>
      <c r="Z12" s="593">
        <v>112.4</v>
      </c>
      <c r="AA12" s="593">
        <f t="shared" si="0"/>
        <v>3981.5500000000011</v>
      </c>
      <c r="AB12" s="595">
        <f t="shared" si="1"/>
        <v>165.8979166666667</v>
      </c>
      <c r="AD12" s="45">
        <f t="shared" si="3"/>
        <v>176</v>
      </c>
      <c r="AE12" s="45">
        <f t="shared" si="4"/>
        <v>199</v>
      </c>
    </row>
    <row r="13" spans="1:31" s="45" customFormat="1" ht="21" customHeight="1">
      <c r="A13" s="532">
        <v>9</v>
      </c>
      <c r="B13" s="536">
        <f t="shared" si="2"/>
        <v>44717</v>
      </c>
      <c r="C13" s="532">
        <f t="array" ref="C13:Z13">TRANSPOSE('data asli x100'!C200:C223)</f>
        <v>90.5</v>
      </c>
      <c r="D13" s="532">
        <v>78.600000000000009</v>
      </c>
      <c r="E13" s="532">
        <v>84.5</v>
      </c>
      <c r="F13" s="532">
        <v>107</v>
      </c>
      <c r="G13" s="532">
        <v>141.30000000000001</v>
      </c>
      <c r="H13" s="532">
        <v>179.20000000000002</v>
      </c>
      <c r="I13" s="532">
        <v>217.89999999999998</v>
      </c>
      <c r="J13" s="532">
        <v>244.20000000000002</v>
      </c>
      <c r="K13" s="532">
        <v>256.3</v>
      </c>
      <c r="L13" s="532">
        <v>255.20000000000002</v>
      </c>
      <c r="M13" s="532">
        <v>240.60000000000002</v>
      </c>
      <c r="N13" s="532">
        <v>211.50000000000003</v>
      </c>
      <c r="O13" s="532">
        <v>180.5</v>
      </c>
      <c r="P13" s="532">
        <v>156.4</v>
      </c>
      <c r="Q13" s="532">
        <v>143.9</v>
      </c>
      <c r="R13" s="532">
        <v>140.79999999999998</v>
      </c>
      <c r="S13" s="532">
        <v>147.9</v>
      </c>
      <c r="T13" s="532">
        <v>159.30000000000001</v>
      </c>
      <c r="U13" s="532">
        <v>172.10000000000002</v>
      </c>
      <c r="V13" s="532">
        <v>180.8</v>
      </c>
      <c r="W13" s="532">
        <v>180.5</v>
      </c>
      <c r="X13" s="532">
        <v>166.70000000000002</v>
      </c>
      <c r="Y13" s="532">
        <v>146</v>
      </c>
      <c r="Z13" s="532">
        <v>125.4</v>
      </c>
      <c r="AA13" s="530">
        <f t="shared" si="0"/>
        <v>4007.1000000000008</v>
      </c>
      <c r="AB13" s="531">
        <f t="shared" si="1"/>
        <v>166.96250000000003</v>
      </c>
      <c r="AD13" s="45">
        <f t="shared" si="3"/>
        <v>200</v>
      </c>
      <c r="AE13" s="45">
        <f t="shared" si="4"/>
        <v>223</v>
      </c>
    </row>
    <row r="14" spans="1:31" s="45" customFormat="1" ht="21" customHeight="1">
      <c r="A14" s="593">
        <v>10</v>
      </c>
      <c r="B14" s="594">
        <f t="shared" si="2"/>
        <v>44718</v>
      </c>
      <c r="C14" s="593">
        <f t="array" ref="C14:Z14">TRANSPOSE('data asli x100'!C224:C247)</f>
        <v>104.69999999999999</v>
      </c>
      <c r="D14" s="593">
        <v>90.600000000000009</v>
      </c>
      <c r="E14" s="593">
        <v>87.1</v>
      </c>
      <c r="F14" s="593">
        <v>102.4</v>
      </c>
      <c r="G14" s="593">
        <v>131.4</v>
      </c>
      <c r="H14" s="593">
        <v>166.79999999999998</v>
      </c>
      <c r="I14" s="593">
        <v>199.3</v>
      </c>
      <c r="J14" s="593">
        <v>225</v>
      </c>
      <c r="K14" s="593">
        <v>240.20000000000002</v>
      </c>
      <c r="L14" s="593">
        <v>242.20000000000002</v>
      </c>
      <c r="M14" s="593">
        <v>235.70000000000002</v>
      </c>
      <c r="N14" s="593">
        <v>218.29999999999998</v>
      </c>
      <c r="O14" s="593">
        <v>192.3</v>
      </c>
      <c r="P14" s="593">
        <v>170.5</v>
      </c>
      <c r="Q14" s="593">
        <v>155.6</v>
      </c>
      <c r="R14" s="593">
        <v>147.30000000000001</v>
      </c>
      <c r="S14" s="593">
        <v>147.9</v>
      </c>
      <c r="T14" s="593">
        <v>157.29999999999998</v>
      </c>
      <c r="U14" s="593">
        <v>167.3</v>
      </c>
      <c r="V14" s="593">
        <v>178.9</v>
      </c>
      <c r="W14" s="593">
        <v>183.20000000000002</v>
      </c>
      <c r="X14" s="593">
        <v>175.5</v>
      </c>
      <c r="Y14" s="593">
        <v>155.6</v>
      </c>
      <c r="Z14" s="593">
        <v>137.5</v>
      </c>
      <c r="AA14" s="593">
        <f t="shared" si="0"/>
        <v>4012.6000000000004</v>
      </c>
      <c r="AB14" s="595">
        <f t="shared" si="1"/>
        <v>167.19166666666669</v>
      </c>
      <c r="AD14" s="45">
        <f t="shared" si="3"/>
        <v>224</v>
      </c>
      <c r="AE14" s="45">
        <f t="shared" si="4"/>
        <v>247</v>
      </c>
    </row>
    <row r="15" spans="1:31" s="45" customFormat="1" ht="21" customHeight="1">
      <c r="A15" s="532">
        <v>11</v>
      </c>
      <c r="B15" s="536">
        <f t="shared" si="2"/>
        <v>44719</v>
      </c>
      <c r="C15" s="532">
        <f t="array" ref="C15:Z15">TRANSPOSE('data asli x100'!C248:C271)</f>
        <v>119.7</v>
      </c>
      <c r="D15" s="532">
        <v>105.80000000000001</v>
      </c>
      <c r="E15" s="532">
        <v>102.8</v>
      </c>
      <c r="F15" s="532">
        <v>110.00000000000001</v>
      </c>
      <c r="G15" s="532">
        <v>130.69999999999999</v>
      </c>
      <c r="H15" s="532">
        <v>159.30000000000001</v>
      </c>
      <c r="I15" s="532">
        <v>188.6</v>
      </c>
      <c r="J15" s="532">
        <v>209.60000000000002</v>
      </c>
      <c r="K15" s="532">
        <v>224.10000000000002</v>
      </c>
      <c r="L15" s="532">
        <v>230.29999999999998</v>
      </c>
      <c r="M15" s="532">
        <v>224.7</v>
      </c>
      <c r="N15" s="532">
        <v>212.4</v>
      </c>
      <c r="O15" s="532">
        <v>198.6</v>
      </c>
      <c r="P15" s="532">
        <v>180.8</v>
      </c>
      <c r="Q15" s="532">
        <v>162.9</v>
      </c>
      <c r="R15" s="532">
        <v>153.5</v>
      </c>
      <c r="S15" s="532">
        <v>150.19999999999999</v>
      </c>
      <c r="T15" s="532">
        <v>151.10000000000002</v>
      </c>
      <c r="U15" s="532">
        <v>159.5</v>
      </c>
      <c r="V15" s="532">
        <v>172.4</v>
      </c>
      <c r="W15" s="532">
        <v>179.6</v>
      </c>
      <c r="X15" s="532">
        <v>176.6</v>
      </c>
      <c r="Y15" s="532">
        <v>164</v>
      </c>
      <c r="Z15" s="532">
        <v>149.5</v>
      </c>
      <c r="AA15" s="530">
        <f t="shared" si="0"/>
        <v>4016.7</v>
      </c>
      <c r="AB15" s="531">
        <f t="shared" si="1"/>
        <v>167.36249999999998</v>
      </c>
      <c r="AD15" s="45">
        <f t="shared" si="3"/>
        <v>248</v>
      </c>
      <c r="AE15" s="45">
        <f t="shared" si="4"/>
        <v>271</v>
      </c>
    </row>
    <row r="16" spans="1:31" s="45" customFormat="1" ht="21" customHeight="1">
      <c r="A16" s="593">
        <v>12</v>
      </c>
      <c r="B16" s="594">
        <f t="shared" si="2"/>
        <v>44720</v>
      </c>
      <c r="C16" s="593">
        <f t="array" ref="C16:Z16">TRANSPOSE('data asli x100'!C272:C295)</f>
        <v>137.30000000000001</v>
      </c>
      <c r="D16" s="593">
        <v>127.1</v>
      </c>
      <c r="E16" s="593">
        <v>123.4</v>
      </c>
      <c r="F16" s="593">
        <v>127.3</v>
      </c>
      <c r="G16" s="593">
        <v>135.20000000000002</v>
      </c>
      <c r="H16" s="593">
        <v>152.6</v>
      </c>
      <c r="I16" s="593">
        <v>173.9</v>
      </c>
      <c r="J16" s="593">
        <v>190.5</v>
      </c>
      <c r="K16" s="593">
        <v>203.9</v>
      </c>
      <c r="L16" s="593">
        <v>208.70000000000002</v>
      </c>
      <c r="M16" s="593">
        <v>207.7</v>
      </c>
      <c r="N16" s="593">
        <v>203.6</v>
      </c>
      <c r="O16" s="593">
        <v>197.6</v>
      </c>
      <c r="P16" s="593">
        <v>187.3</v>
      </c>
      <c r="Q16" s="593">
        <v>176.5</v>
      </c>
      <c r="R16" s="593">
        <v>163.19999999999999</v>
      </c>
      <c r="S16" s="593">
        <v>157.80000000000001</v>
      </c>
      <c r="T16" s="593">
        <v>153.80000000000001</v>
      </c>
      <c r="U16" s="593">
        <v>154.4</v>
      </c>
      <c r="V16" s="593">
        <v>162.1</v>
      </c>
      <c r="W16" s="593">
        <v>170.4</v>
      </c>
      <c r="X16" s="593">
        <v>172.10000000000002</v>
      </c>
      <c r="Y16" s="593">
        <v>169.3</v>
      </c>
      <c r="Z16" s="593">
        <v>161</v>
      </c>
      <c r="AA16" s="593">
        <f t="shared" si="0"/>
        <v>4016.7000000000007</v>
      </c>
      <c r="AB16" s="595">
        <f t="shared" si="1"/>
        <v>167.36250000000004</v>
      </c>
      <c r="AD16" s="45">
        <f t="shared" si="3"/>
        <v>272</v>
      </c>
      <c r="AE16" s="45">
        <f t="shared" si="4"/>
        <v>295</v>
      </c>
    </row>
    <row r="17" spans="1:43" s="45" customFormat="1" ht="21" customHeight="1">
      <c r="A17" s="532">
        <v>13</v>
      </c>
      <c r="B17" s="536">
        <f t="shared" si="2"/>
        <v>44721</v>
      </c>
      <c r="C17" s="532">
        <f t="array" ref="C17:Z17">TRANSPOSE('data asli x100'!C296:C319)</f>
        <v>149.6</v>
      </c>
      <c r="D17" s="532">
        <v>143.70000000000002</v>
      </c>
      <c r="E17" s="532">
        <v>143.1</v>
      </c>
      <c r="F17" s="532">
        <v>146.6</v>
      </c>
      <c r="G17" s="532">
        <v>153.9</v>
      </c>
      <c r="H17" s="532">
        <v>163.6</v>
      </c>
      <c r="I17" s="532">
        <v>170.70000000000002</v>
      </c>
      <c r="J17" s="532">
        <v>179.7</v>
      </c>
      <c r="K17" s="532">
        <v>184.3</v>
      </c>
      <c r="L17" s="532">
        <v>187.4</v>
      </c>
      <c r="M17" s="532">
        <v>189.9</v>
      </c>
      <c r="N17" s="532">
        <v>192.4</v>
      </c>
      <c r="O17" s="532">
        <v>189.39999999999998</v>
      </c>
      <c r="P17" s="532">
        <v>183.5</v>
      </c>
      <c r="Q17" s="532">
        <v>178.9</v>
      </c>
      <c r="R17" s="532">
        <v>167.4</v>
      </c>
      <c r="S17" s="532">
        <v>157.6</v>
      </c>
      <c r="T17" s="532">
        <v>150.89999999999998</v>
      </c>
      <c r="U17" s="532">
        <v>146.80000000000001</v>
      </c>
      <c r="V17" s="532">
        <v>148.4</v>
      </c>
      <c r="W17" s="532">
        <v>152.69999999999999</v>
      </c>
      <c r="X17" s="532">
        <v>154.4</v>
      </c>
      <c r="Y17" s="532">
        <v>158.4</v>
      </c>
      <c r="Z17" s="532">
        <v>156.9</v>
      </c>
      <c r="AA17" s="530">
        <f t="shared" si="0"/>
        <v>3950.2000000000007</v>
      </c>
      <c r="AB17" s="531">
        <f t="shared" si="1"/>
        <v>164.5916666666667</v>
      </c>
      <c r="AD17" s="45">
        <f t="shared" si="3"/>
        <v>296</v>
      </c>
      <c r="AE17" s="45">
        <f t="shared" si="4"/>
        <v>319</v>
      </c>
    </row>
    <row r="18" spans="1:43" s="45" customFormat="1" ht="21" customHeight="1">
      <c r="A18" s="593">
        <v>14</v>
      </c>
      <c r="B18" s="594">
        <f t="shared" si="2"/>
        <v>44722</v>
      </c>
      <c r="C18" s="593">
        <f t="array" ref="C18:Z18">TRANSPOSE('data asli x100'!C320:C343)</f>
        <v>162</v>
      </c>
      <c r="D18" s="593">
        <v>167.6</v>
      </c>
      <c r="E18" s="593">
        <v>166.9</v>
      </c>
      <c r="F18" s="593">
        <v>169.9</v>
      </c>
      <c r="G18" s="593">
        <v>171.4</v>
      </c>
      <c r="H18" s="593">
        <v>171.4</v>
      </c>
      <c r="I18" s="593">
        <v>171.2</v>
      </c>
      <c r="J18" s="593">
        <v>173</v>
      </c>
      <c r="K18" s="593">
        <v>175.2</v>
      </c>
      <c r="L18" s="593">
        <v>172.3</v>
      </c>
      <c r="M18" s="593">
        <v>171.5</v>
      </c>
      <c r="N18" s="593">
        <v>173.9</v>
      </c>
      <c r="O18" s="593">
        <v>178.5</v>
      </c>
      <c r="P18" s="593">
        <v>182.20000000000002</v>
      </c>
      <c r="Q18" s="593">
        <v>182.29999999999998</v>
      </c>
      <c r="R18" s="593">
        <v>176.6</v>
      </c>
      <c r="S18" s="593">
        <v>168.4</v>
      </c>
      <c r="T18" s="593">
        <v>154.80000000000001</v>
      </c>
      <c r="U18" s="593">
        <v>142.19999999999999</v>
      </c>
      <c r="V18" s="593">
        <v>136.5</v>
      </c>
      <c r="W18" s="593">
        <v>137.30000000000001</v>
      </c>
      <c r="X18" s="593">
        <v>139.30000000000001</v>
      </c>
      <c r="Y18" s="593">
        <v>145.79999999999998</v>
      </c>
      <c r="Z18" s="593">
        <v>156.1</v>
      </c>
      <c r="AA18" s="593">
        <f t="shared" si="0"/>
        <v>3946.3000000000006</v>
      </c>
      <c r="AB18" s="595">
        <f t="shared" si="1"/>
        <v>164.4291666666667</v>
      </c>
      <c r="AD18" s="45">
        <f t="shared" si="3"/>
        <v>320</v>
      </c>
      <c r="AE18" s="45">
        <f t="shared" si="4"/>
        <v>343</v>
      </c>
    </row>
    <row r="19" spans="1:43" s="45" customFormat="1" ht="21" customHeight="1">
      <c r="A19" s="532">
        <v>15</v>
      </c>
      <c r="B19" s="536">
        <f t="shared" si="2"/>
        <v>44723</v>
      </c>
      <c r="C19" s="532">
        <f t="array" ref="C19:Z19">TRANSPOSE('data asli x100'!C344:C367)</f>
        <v>169.6</v>
      </c>
      <c r="D19" s="532">
        <v>181.6</v>
      </c>
      <c r="E19" s="532">
        <v>190.3</v>
      </c>
      <c r="F19" s="532">
        <v>196.8</v>
      </c>
      <c r="G19" s="532">
        <v>201.2</v>
      </c>
      <c r="H19" s="532">
        <v>200</v>
      </c>
      <c r="I19" s="532">
        <v>191.3</v>
      </c>
      <c r="J19" s="532">
        <v>182</v>
      </c>
      <c r="K19" s="532">
        <v>172.2</v>
      </c>
      <c r="L19" s="532">
        <v>164.79999999999998</v>
      </c>
      <c r="M19" s="532">
        <v>160</v>
      </c>
      <c r="N19" s="532">
        <v>158.1</v>
      </c>
      <c r="O19" s="532">
        <v>160.80000000000001</v>
      </c>
      <c r="P19" s="532">
        <v>166.4</v>
      </c>
      <c r="Q19" s="532">
        <v>174.3</v>
      </c>
      <c r="R19" s="532">
        <v>178</v>
      </c>
      <c r="S19" s="532">
        <v>171.8</v>
      </c>
      <c r="T19" s="532">
        <v>161.69999999999999</v>
      </c>
      <c r="U19" s="532">
        <v>149.30000000000001</v>
      </c>
      <c r="V19" s="532">
        <v>136.80000000000001</v>
      </c>
      <c r="W19" s="532">
        <v>124.30000000000001</v>
      </c>
      <c r="X19" s="532">
        <v>119.8</v>
      </c>
      <c r="Y19" s="532">
        <v>123.8</v>
      </c>
      <c r="Z19" s="532">
        <v>138.79999999999998</v>
      </c>
      <c r="AA19" s="530">
        <f t="shared" si="0"/>
        <v>3973.7000000000016</v>
      </c>
      <c r="AB19" s="531">
        <f t="shared" si="1"/>
        <v>165.57083333333341</v>
      </c>
      <c r="AD19" s="45">
        <f t="shared" si="3"/>
        <v>344</v>
      </c>
      <c r="AE19" s="45">
        <f t="shared" si="4"/>
        <v>367</v>
      </c>
    </row>
    <row r="20" spans="1:43" s="45" customFormat="1" ht="21" customHeight="1">
      <c r="A20" s="593">
        <v>16</v>
      </c>
      <c r="B20" s="594">
        <f t="shared" si="2"/>
        <v>44724</v>
      </c>
      <c r="C20" s="593">
        <f t="array" ref="C20:Z20">TRANSPOSE('data asli x100'!C368:C391)</f>
        <v>159.20000000000002</v>
      </c>
      <c r="D20" s="593">
        <v>181.9</v>
      </c>
      <c r="E20" s="593">
        <v>204.8</v>
      </c>
      <c r="F20" s="593">
        <v>223.8</v>
      </c>
      <c r="G20" s="593">
        <v>234.79999999999998</v>
      </c>
      <c r="H20" s="593">
        <v>230.9</v>
      </c>
      <c r="I20" s="593">
        <v>220.00000000000003</v>
      </c>
      <c r="J20" s="593">
        <v>200.89999999999998</v>
      </c>
      <c r="K20" s="593">
        <v>179.7</v>
      </c>
      <c r="L20" s="593">
        <v>161</v>
      </c>
      <c r="M20" s="593">
        <v>148</v>
      </c>
      <c r="N20" s="593">
        <v>140</v>
      </c>
      <c r="O20" s="593">
        <v>145.4</v>
      </c>
      <c r="P20" s="593">
        <v>151.6</v>
      </c>
      <c r="Q20" s="593">
        <v>160.69999999999999</v>
      </c>
      <c r="R20" s="593">
        <v>169</v>
      </c>
      <c r="S20" s="593">
        <v>169</v>
      </c>
      <c r="T20" s="593">
        <v>161.9</v>
      </c>
      <c r="U20" s="593">
        <v>147.19999999999999</v>
      </c>
      <c r="V20" s="593">
        <v>130.1</v>
      </c>
      <c r="W20" s="593">
        <v>112.6</v>
      </c>
      <c r="X20" s="593">
        <v>102.49999999999999</v>
      </c>
      <c r="Y20" s="593">
        <v>102.8</v>
      </c>
      <c r="Z20" s="593">
        <v>115.3</v>
      </c>
      <c r="AA20" s="593">
        <f t="shared" si="0"/>
        <v>3953.1</v>
      </c>
      <c r="AB20" s="595">
        <f t="shared" si="1"/>
        <v>164.71250000000001</v>
      </c>
    </row>
    <row r="21" spans="1:43" s="45" customFormat="1" ht="21" customHeight="1">
      <c r="A21" s="532">
        <v>17</v>
      </c>
      <c r="B21" s="536">
        <f t="shared" si="2"/>
        <v>44725</v>
      </c>
      <c r="C21" s="532">
        <f t="array" ref="C21:Z21">TRANSPOSE('data asli x100'!C392:C415)</f>
        <v>140.9</v>
      </c>
      <c r="D21" s="532">
        <v>171.4</v>
      </c>
      <c r="E21" s="532">
        <v>202.59999999999997</v>
      </c>
      <c r="F21" s="532">
        <v>231.5</v>
      </c>
      <c r="G21" s="532">
        <v>252.1</v>
      </c>
      <c r="H21" s="532">
        <v>259.7</v>
      </c>
      <c r="I21" s="532">
        <v>254.5</v>
      </c>
      <c r="J21" s="532">
        <v>233.8</v>
      </c>
      <c r="K21" s="532">
        <v>206.1</v>
      </c>
      <c r="L21" s="532">
        <v>175.6</v>
      </c>
      <c r="M21" s="532">
        <v>152.6</v>
      </c>
      <c r="N21" s="532">
        <v>137.5</v>
      </c>
      <c r="O21" s="532">
        <v>133.69999999999999</v>
      </c>
      <c r="P21" s="532">
        <v>140.9</v>
      </c>
      <c r="Q21" s="532">
        <v>151.89999999999998</v>
      </c>
      <c r="R21" s="532">
        <v>161.30000000000001</v>
      </c>
      <c r="S21" s="532">
        <v>165</v>
      </c>
      <c r="T21" s="532">
        <v>159.60000000000002</v>
      </c>
      <c r="U21" s="532">
        <v>147.19999999999999</v>
      </c>
      <c r="V21" s="532">
        <v>130.80000000000001</v>
      </c>
      <c r="W21" s="532">
        <v>112.6</v>
      </c>
      <c r="X21" s="532">
        <v>94.399999999999991</v>
      </c>
      <c r="Y21" s="532">
        <v>88.4</v>
      </c>
      <c r="Z21" s="532">
        <v>93.600000000000009</v>
      </c>
      <c r="AA21" s="530">
        <f t="shared" si="0"/>
        <v>3997.7</v>
      </c>
      <c r="AB21" s="531">
        <f t="shared" si="1"/>
        <v>166.57083333333333</v>
      </c>
    </row>
    <row r="22" spans="1:43" s="45" customFormat="1" ht="21" customHeight="1">
      <c r="A22" s="593">
        <v>18</v>
      </c>
      <c r="B22" s="594">
        <f t="shared" si="2"/>
        <v>44726</v>
      </c>
      <c r="C22" s="593">
        <f t="array" ref="C22:Z22">TRANSPOSE('data asli x100'!C416:C439)</f>
        <v>115.9</v>
      </c>
      <c r="D22" s="593">
        <v>149</v>
      </c>
      <c r="E22" s="593">
        <v>187.1</v>
      </c>
      <c r="F22" s="593">
        <v>225.70000000000002</v>
      </c>
      <c r="G22" s="593">
        <v>255.39999999999998</v>
      </c>
      <c r="H22" s="593">
        <v>273</v>
      </c>
      <c r="I22" s="593">
        <v>274.7</v>
      </c>
      <c r="J22" s="593">
        <v>259.8</v>
      </c>
      <c r="K22" s="593">
        <v>231.9</v>
      </c>
      <c r="L22" s="593">
        <v>199</v>
      </c>
      <c r="M22" s="593">
        <v>169.2</v>
      </c>
      <c r="N22" s="593">
        <v>142.19999999999999</v>
      </c>
      <c r="O22" s="593">
        <v>129.69999999999999</v>
      </c>
      <c r="P22" s="593">
        <v>129</v>
      </c>
      <c r="Q22" s="593">
        <v>138.6</v>
      </c>
      <c r="R22" s="593">
        <v>149.70000000000002</v>
      </c>
      <c r="S22" s="593">
        <v>157.80000000000001</v>
      </c>
      <c r="T22" s="593">
        <v>157.5</v>
      </c>
      <c r="U22" s="593">
        <v>146.9</v>
      </c>
      <c r="V22" s="593">
        <v>131.9</v>
      </c>
      <c r="W22" s="593">
        <v>113.39999999999999</v>
      </c>
      <c r="X22" s="593">
        <v>94.699999999999989</v>
      </c>
      <c r="Y22" s="593">
        <v>78.100000000000009</v>
      </c>
      <c r="Z22" s="593">
        <v>74.8</v>
      </c>
      <c r="AA22" s="593">
        <f t="shared" si="0"/>
        <v>3984.9999999999995</v>
      </c>
      <c r="AB22" s="595">
        <f t="shared" si="1"/>
        <v>166.04166666666666</v>
      </c>
    </row>
    <row r="23" spans="1:43" s="45" customFormat="1" ht="21" customHeight="1">
      <c r="A23" s="532">
        <v>19</v>
      </c>
      <c r="B23" s="536">
        <f t="shared" si="2"/>
        <v>44727</v>
      </c>
      <c r="C23" s="532">
        <f t="array" ref="C23:Z23">TRANSPOSE('data asli x100'!C440:C463)</f>
        <v>88.9</v>
      </c>
      <c r="D23" s="532">
        <v>119.39999999999999</v>
      </c>
      <c r="E23" s="532">
        <v>161.4</v>
      </c>
      <c r="F23" s="532">
        <v>208.9</v>
      </c>
      <c r="G23" s="532">
        <v>247.40000000000003</v>
      </c>
      <c r="H23" s="532">
        <v>276.90000000000003</v>
      </c>
      <c r="I23" s="532">
        <v>288</v>
      </c>
      <c r="J23" s="532">
        <v>281.2</v>
      </c>
      <c r="K23" s="532">
        <v>256.8</v>
      </c>
      <c r="L23" s="532">
        <v>222.5</v>
      </c>
      <c r="M23" s="532">
        <v>190.39999999999998</v>
      </c>
      <c r="N23" s="532">
        <v>158.5</v>
      </c>
      <c r="O23" s="532">
        <v>138.1</v>
      </c>
      <c r="P23" s="532">
        <v>128.1</v>
      </c>
      <c r="Q23" s="532">
        <v>129.5</v>
      </c>
      <c r="R23" s="532">
        <v>142.5</v>
      </c>
      <c r="S23" s="532">
        <v>149.19999999999999</v>
      </c>
      <c r="T23" s="532">
        <v>155.9</v>
      </c>
      <c r="U23" s="532">
        <v>151.1</v>
      </c>
      <c r="V23" s="532">
        <v>136.80000000000001</v>
      </c>
      <c r="W23" s="532">
        <v>119</v>
      </c>
      <c r="X23" s="532">
        <v>100.1</v>
      </c>
      <c r="Y23" s="532">
        <v>83</v>
      </c>
      <c r="Z23" s="532">
        <v>65.3</v>
      </c>
      <c r="AA23" s="530">
        <f t="shared" si="0"/>
        <v>3998.9</v>
      </c>
      <c r="AB23" s="531">
        <f t="shared" si="1"/>
        <v>166.62083333333334</v>
      </c>
    </row>
    <row r="24" spans="1:43" s="45" customFormat="1" ht="21" customHeight="1">
      <c r="A24" s="593">
        <v>20</v>
      </c>
      <c r="B24" s="594">
        <f t="shared" si="2"/>
        <v>44728</v>
      </c>
      <c r="C24" s="593">
        <f t="array" ref="C24:Z24">TRANSPOSE('data asli x100'!C464:C487)</f>
        <v>65.2</v>
      </c>
      <c r="D24" s="593">
        <v>86.8</v>
      </c>
      <c r="E24" s="593">
        <v>125.2</v>
      </c>
      <c r="F24" s="593">
        <v>174.8</v>
      </c>
      <c r="G24" s="593">
        <v>225.89999999999998</v>
      </c>
      <c r="H24" s="593">
        <v>264.5</v>
      </c>
      <c r="I24" s="593">
        <v>287</v>
      </c>
      <c r="J24" s="593">
        <v>288.89999999999998</v>
      </c>
      <c r="K24" s="593">
        <v>271.09999999999997</v>
      </c>
      <c r="L24" s="593">
        <v>242.20000000000002</v>
      </c>
      <c r="M24" s="593">
        <v>210.8</v>
      </c>
      <c r="N24" s="593">
        <v>178.5</v>
      </c>
      <c r="O24" s="593">
        <v>155</v>
      </c>
      <c r="P24" s="593">
        <v>138.19999999999999</v>
      </c>
      <c r="Q24" s="593">
        <v>132.5</v>
      </c>
      <c r="R24" s="593">
        <v>138.5</v>
      </c>
      <c r="S24" s="593">
        <v>149.80000000000001</v>
      </c>
      <c r="T24" s="593">
        <v>157.69999999999999</v>
      </c>
      <c r="U24" s="593">
        <v>158.4</v>
      </c>
      <c r="V24" s="593">
        <v>147.5</v>
      </c>
      <c r="W24" s="593">
        <v>129.5</v>
      </c>
      <c r="X24" s="593">
        <v>105.4</v>
      </c>
      <c r="Y24" s="593">
        <v>80.800000000000011</v>
      </c>
      <c r="Z24" s="593">
        <v>62.6</v>
      </c>
      <c r="AA24" s="593">
        <f t="shared" si="0"/>
        <v>3976.8</v>
      </c>
      <c r="AB24" s="595">
        <f t="shared" si="1"/>
        <v>165.70000000000002</v>
      </c>
    </row>
    <row r="25" spans="1:43" s="45" customFormat="1" ht="21" customHeight="1">
      <c r="A25" s="532">
        <v>21</v>
      </c>
      <c r="B25" s="536">
        <f t="shared" si="2"/>
        <v>44729</v>
      </c>
      <c r="C25" s="532">
        <f t="array" ref="C25:Z25">TRANSPOSE('data asli x100'!C488:C511)</f>
        <v>56.000000000000007</v>
      </c>
      <c r="D25" s="532">
        <v>68.5</v>
      </c>
      <c r="E25" s="532">
        <v>95.8</v>
      </c>
      <c r="F25" s="532">
        <v>142.6</v>
      </c>
      <c r="G25" s="532">
        <v>192.1</v>
      </c>
      <c r="H25" s="532">
        <v>237.5</v>
      </c>
      <c r="I25" s="532">
        <v>272.5</v>
      </c>
      <c r="J25" s="532">
        <v>286.2</v>
      </c>
      <c r="K25" s="532">
        <v>281.5</v>
      </c>
      <c r="L25" s="532">
        <v>261</v>
      </c>
      <c r="M25" s="532">
        <v>227.3</v>
      </c>
      <c r="N25" s="532">
        <v>195.79999999999998</v>
      </c>
      <c r="O25" s="532">
        <v>171</v>
      </c>
      <c r="P25" s="532">
        <v>152.4</v>
      </c>
      <c r="Q25" s="532">
        <v>141.9</v>
      </c>
      <c r="R25" s="532">
        <v>139</v>
      </c>
      <c r="S25" s="532">
        <v>150.5</v>
      </c>
      <c r="T25" s="532">
        <v>161.4</v>
      </c>
      <c r="U25" s="532">
        <v>168.70000000000002</v>
      </c>
      <c r="V25" s="532">
        <v>162.1</v>
      </c>
      <c r="W25" s="532">
        <v>150.5</v>
      </c>
      <c r="X25" s="532">
        <v>125.4</v>
      </c>
      <c r="Y25" s="532">
        <v>101.2</v>
      </c>
      <c r="Z25" s="532">
        <v>81.5</v>
      </c>
      <c r="AA25" s="530">
        <f t="shared" si="0"/>
        <v>4022.4</v>
      </c>
      <c r="AB25" s="531">
        <f t="shared" si="1"/>
        <v>167.6</v>
      </c>
    </row>
    <row r="26" spans="1:43" s="45" customFormat="1" ht="21" customHeight="1">
      <c r="A26" s="593">
        <v>22</v>
      </c>
      <c r="B26" s="594">
        <f t="shared" si="2"/>
        <v>44730</v>
      </c>
      <c r="C26" s="593">
        <f t="array" ref="C26:Z26">TRANSPOSE('data asli x100'!C512:C535)</f>
        <v>68.8</v>
      </c>
      <c r="D26" s="593">
        <v>61.5</v>
      </c>
      <c r="E26" s="593">
        <v>77.8</v>
      </c>
      <c r="F26" s="593">
        <v>111.00000000000001</v>
      </c>
      <c r="G26" s="593">
        <v>159.69999999999999</v>
      </c>
      <c r="H26" s="593">
        <v>208.5</v>
      </c>
      <c r="I26" s="593">
        <v>246.60000000000002</v>
      </c>
      <c r="J26" s="593">
        <v>268.5</v>
      </c>
      <c r="K26" s="593">
        <v>270.40000000000003</v>
      </c>
      <c r="L26" s="593">
        <v>264.8</v>
      </c>
      <c r="M26" s="593">
        <v>242.70000000000002</v>
      </c>
      <c r="N26" s="593">
        <v>208.1</v>
      </c>
      <c r="O26" s="593">
        <v>178.9</v>
      </c>
      <c r="P26" s="593">
        <v>162.79999999999998</v>
      </c>
      <c r="Q26" s="593">
        <v>146.69999999999999</v>
      </c>
      <c r="R26" s="593">
        <v>144.5</v>
      </c>
      <c r="S26" s="593">
        <v>151.5</v>
      </c>
      <c r="T26" s="593">
        <v>162.20000000000002</v>
      </c>
      <c r="U26" s="593">
        <v>171.2</v>
      </c>
      <c r="V26" s="593">
        <v>173.4</v>
      </c>
      <c r="W26" s="593">
        <v>165.79999999999998</v>
      </c>
      <c r="X26" s="593">
        <v>150</v>
      </c>
      <c r="Y26" s="593">
        <v>129.1</v>
      </c>
      <c r="Z26" s="593">
        <v>105.80000000000001</v>
      </c>
      <c r="AA26" s="593">
        <f t="shared" si="0"/>
        <v>4030.3</v>
      </c>
      <c r="AB26" s="595">
        <f t="shared" si="1"/>
        <v>167.92916666666667</v>
      </c>
    </row>
    <row r="27" spans="1:43" s="45" customFormat="1" ht="21" customHeight="1">
      <c r="A27" s="532">
        <v>23</v>
      </c>
      <c r="B27" s="536">
        <f t="shared" si="2"/>
        <v>44731</v>
      </c>
      <c r="C27" s="532">
        <f t="array" ref="C27:Z27">TRANSPOSE('data asli x100'!C536:C559)</f>
        <v>83.399999999999991</v>
      </c>
      <c r="D27" s="532">
        <v>71.2</v>
      </c>
      <c r="E27" s="532">
        <v>72.8</v>
      </c>
      <c r="F27" s="532">
        <v>91</v>
      </c>
      <c r="G27" s="532">
        <v>126.8</v>
      </c>
      <c r="H27" s="532">
        <v>176.5</v>
      </c>
      <c r="I27" s="532">
        <v>219.70000000000002</v>
      </c>
      <c r="J27" s="532">
        <v>253.2</v>
      </c>
      <c r="K27" s="532">
        <v>264.2</v>
      </c>
      <c r="L27" s="532">
        <v>258</v>
      </c>
      <c r="M27" s="532">
        <v>244.3</v>
      </c>
      <c r="N27" s="532">
        <v>217.1</v>
      </c>
      <c r="O27" s="532">
        <v>189.7</v>
      </c>
      <c r="P27" s="532">
        <v>165.6</v>
      </c>
      <c r="Q27" s="532">
        <v>147.9</v>
      </c>
      <c r="R27" s="532">
        <v>140.5</v>
      </c>
      <c r="S27" s="532">
        <v>146.70000000000002</v>
      </c>
      <c r="T27" s="532">
        <v>160.80000000000001</v>
      </c>
      <c r="U27" s="532">
        <v>174.70000000000002</v>
      </c>
      <c r="V27" s="532">
        <v>182.4</v>
      </c>
      <c r="W27" s="532">
        <v>182.1</v>
      </c>
      <c r="X27" s="532">
        <v>168.3</v>
      </c>
      <c r="Y27" s="532">
        <v>148.5</v>
      </c>
      <c r="Z27" s="532">
        <v>128.69999999999999</v>
      </c>
      <c r="AA27" s="530">
        <f t="shared" si="0"/>
        <v>4014.1</v>
      </c>
      <c r="AB27" s="531">
        <f t="shared" si="1"/>
        <v>167.25416666666666</v>
      </c>
    </row>
    <row r="28" spans="1:43" s="45" customFormat="1" ht="21" customHeight="1">
      <c r="A28" s="593">
        <v>24</v>
      </c>
      <c r="B28" s="594">
        <f t="shared" si="2"/>
        <v>44732</v>
      </c>
      <c r="C28" s="593">
        <f t="array" ref="C28:Z28">TRANSPOSE('data asli x100'!C560:C583)</f>
        <v>111.80000000000001</v>
      </c>
      <c r="D28" s="593">
        <v>93.899999999999991</v>
      </c>
      <c r="E28" s="593">
        <v>89.2</v>
      </c>
      <c r="F28" s="593">
        <v>97.3</v>
      </c>
      <c r="G28" s="593">
        <v>118.6</v>
      </c>
      <c r="H28" s="593">
        <v>152.4</v>
      </c>
      <c r="I28" s="593">
        <v>195.9</v>
      </c>
      <c r="J28" s="593">
        <v>232.10000000000002</v>
      </c>
      <c r="K28" s="593">
        <v>250.4</v>
      </c>
      <c r="L28" s="593">
        <v>250.1</v>
      </c>
      <c r="M28" s="593">
        <v>241.1</v>
      </c>
      <c r="N28" s="593">
        <v>223.8</v>
      </c>
      <c r="O28" s="593">
        <v>199.8</v>
      </c>
      <c r="P28" s="593">
        <v>176.6</v>
      </c>
      <c r="Q28" s="593">
        <v>155</v>
      </c>
      <c r="R28" s="593">
        <v>140.69999999999999</v>
      </c>
      <c r="S28" s="593">
        <v>141.4</v>
      </c>
      <c r="T28" s="593">
        <v>154.5</v>
      </c>
      <c r="U28" s="593">
        <v>170</v>
      </c>
      <c r="V28" s="593">
        <v>181.7</v>
      </c>
      <c r="W28" s="593">
        <v>188.1</v>
      </c>
      <c r="X28" s="593">
        <v>184.4</v>
      </c>
      <c r="Y28" s="593">
        <v>171.9</v>
      </c>
      <c r="Z28" s="593">
        <v>153.69999999999999</v>
      </c>
      <c r="AA28" s="593">
        <f t="shared" si="0"/>
        <v>4074.3999999999996</v>
      </c>
      <c r="AB28" s="595">
        <f t="shared" si="1"/>
        <v>169.76666666666665</v>
      </c>
    </row>
    <row r="29" spans="1:43" s="45" customFormat="1" ht="21" customHeight="1">
      <c r="A29" s="532">
        <v>25</v>
      </c>
      <c r="B29" s="536">
        <f t="shared" si="2"/>
        <v>44733</v>
      </c>
      <c r="C29" s="532">
        <f t="array" ref="C29:Z29">TRANSPOSE('data asli x100'!C584:C607)</f>
        <v>134.9</v>
      </c>
      <c r="D29" s="532">
        <v>121.9</v>
      </c>
      <c r="E29" s="532">
        <v>111.60000000000001</v>
      </c>
      <c r="F29" s="532">
        <v>113.9</v>
      </c>
      <c r="G29" s="532">
        <v>122</v>
      </c>
      <c r="H29" s="532">
        <v>143.5</v>
      </c>
      <c r="I29" s="532">
        <v>176.8</v>
      </c>
      <c r="J29" s="532">
        <v>208.8</v>
      </c>
      <c r="K29" s="532">
        <v>230.29999999999998</v>
      </c>
      <c r="L29" s="532">
        <v>237.9</v>
      </c>
      <c r="M29" s="532">
        <v>233.8</v>
      </c>
      <c r="N29" s="532">
        <v>222.10000000000002</v>
      </c>
      <c r="O29" s="532">
        <v>204.2</v>
      </c>
      <c r="P29" s="532">
        <v>184.9</v>
      </c>
      <c r="Q29" s="532">
        <v>161.4</v>
      </c>
      <c r="R29" s="532">
        <v>142.5</v>
      </c>
      <c r="S29" s="532">
        <v>137.9</v>
      </c>
      <c r="T29" s="532">
        <v>143.1</v>
      </c>
      <c r="U29" s="532">
        <v>152.4</v>
      </c>
      <c r="V29" s="532">
        <v>167.6</v>
      </c>
      <c r="W29" s="532">
        <v>178</v>
      </c>
      <c r="X29" s="532">
        <v>183.1</v>
      </c>
      <c r="Y29" s="532">
        <v>181</v>
      </c>
      <c r="Z29" s="532">
        <v>167.9</v>
      </c>
      <c r="AA29" s="530">
        <f t="shared" si="0"/>
        <v>4061.5</v>
      </c>
      <c r="AB29" s="531">
        <f t="shared" si="1"/>
        <v>169.22916666666666</v>
      </c>
    </row>
    <row r="30" spans="1:43" s="45" customFormat="1" ht="21" customHeight="1">
      <c r="A30" s="593">
        <v>26</v>
      </c>
      <c r="B30" s="594">
        <f t="shared" si="2"/>
        <v>44734</v>
      </c>
      <c r="C30" s="593">
        <f t="array" ref="C30:Z30">TRANSPOSE('data asli x100'!C608:C631)</f>
        <v>156.9</v>
      </c>
      <c r="D30" s="593">
        <v>143.30000000000001</v>
      </c>
      <c r="E30" s="593">
        <v>133.80000000000001</v>
      </c>
      <c r="F30" s="593">
        <v>134</v>
      </c>
      <c r="G30" s="593">
        <v>138.1</v>
      </c>
      <c r="H30" s="593">
        <v>146.70000000000002</v>
      </c>
      <c r="I30" s="593">
        <v>165.7</v>
      </c>
      <c r="J30" s="593">
        <v>191.2</v>
      </c>
      <c r="K30" s="593">
        <v>208.70000000000002</v>
      </c>
      <c r="L30" s="593">
        <v>218.5</v>
      </c>
      <c r="M30" s="593">
        <v>221.89999999999998</v>
      </c>
      <c r="N30" s="593">
        <v>217</v>
      </c>
      <c r="O30" s="593">
        <v>205.7</v>
      </c>
      <c r="P30" s="593">
        <v>185.5</v>
      </c>
      <c r="Q30" s="593">
        <v>165.3</v>
      </c>
      <c r="R30" s="593">
        <v>146.4</v>
      </c>
      <c r="S30" s="593">
        <v>133.4</v>
      </c>
      <c r="T30" s="593">
        <v>127.89999999999999</v>
      </c>
      <c r="U30" s="593">
        <v>133.69999999999999</v>
      </c>
      <c r="V30" s="593">
        <v>142.9</v>
      </c>
      <c r="W30" s="593">
        <v>154</v>
      </c>
      <c r="X30" s="593">
        <v>164.39999999999998</v>
      </c>
      <c r="Y30" s="593">
        <v>176.1</v>
      </c>
      <c r="Z30" s="593">
        <v>179.6</v>
      </c>
      <c r="AA30" s="593">
        <f t="shared" si="0"/>
        <v>3990.7000000000003</v>
      </c>
      <c r="AB30" s="595">
        <f t="shared" si="1"/>
        <v>166.27916666666667</v>
      </c>
    </row>
    <row r="31" spans="1:43" s="45" customFormat="1" ht="21" customHeight="1">
      <c r="A31" s="532">
        <v>27</v>
      </c>
      <c r="B31" s="536">
        <f t="shared" si="2"/>
        <v>44735</v>
      </c>
      <c r="C31" s="532">
        <f t="array" ref="C31:Z31">TRANSPOSE('data asli x100'!C632:C655)</f>
        <v>179</v>
      </c>
      <c r="D31" s="532">
        <v>172.4</v>
      </c>
      <c r="E31" s="532">
        <v>161.69999999999999</v>
      </c>
      <c r="F31" s="532">
        <v>156.6</v>
      </c>
      <c r="G31" s="532">
        <v>153.19999999999999</v>
      </c>
      <c r="H31" s="532">
        <v>156.80000000000001</v>
      </c>
      <c r="I31" s="532">
        <v>166.5</v>
      </c>
      <c r="J31" s="532">
        <v>178.4</v>
      </c>
      <c r="K31" s="532">
        <v>193.79999999999998</v>
      </c>
      <c r="L31" s="532">
        <v>197.3</v>
      </c>
      <c r="M31" s="532">
        <v>197</v>
      </c>
      <c r="N31" s="532">
        <v>194.4</v>
      </c>
      <c r="O31" s="532">
        <v>182.4</v>
      </c>
      <c r="P31" s="532">
        <v>173.5</v>
      </c>
      <c r="Q31" s="532">
        <v>163.69999999999999</v>
      </c>
      <c r="R31" s="532">
        <v>148.10000000000002</v>
      </c>
      <c r="S31" s="532">
        <v>133.20000000000002</v>
      </c>
      <c r="T31" s="532">
        <v>124.70000000000002</v>
      </c>
      <c r="U31" s="532">
        <v>119.6</v>
      </c>
      <c r="V31" s="532">
        <v>121.39999999999999</v>
      </c>
      <c r="W31" s="532">
        <v>131.80000000000001</v>
      </c>
      <c r="X31" s="532">
        <v>146.6</v>
      </c>
      <c r="Y31" s="532">
        <v>160</v>
      </c>
      <c r="Z31" s="532">
        <v>169.9</v>
      </c>
      <c r="AA31" s="530">
        <f t="shared" si="0"/>
        <v>3881.9999999999995</v>
      </c>
      <c r="AB31" s="531">
        <f t="shared" si="1"/>
        <v>161.74999999999997</v>
      </c>
      <c r="AQ31" s="45">
        <f>3.492-0.919</f>
        <v>2.573</v>
      </c>
    </row>
    <row r="32" spans="1:43" s="45" customFormat="1" ht="21" customHeight="1">
      <c r="A32" s="593">
        <v>28</v>
      </c>
      <c r="B32" s="594">
        <f t="shared" si="2"/>
        <v>44736</v>
      </c>
      <c r="C32" s="593">
        <f t="array" ref="C32:Z32">TRANSPOSE('data asli x100'!C656:C679)</f>
        <v>177</v>
      </c>
      <c r="D32" s="593">
        <v>180.5</v>
      </c>
      <c r="E32" s="593">
        <v>182.9</v>
      </c>
      <c r="F32" s="593">
        <v>182.6</v>
      </c>
      <c r="G32" s="593">
        <v>178.8</v>
      </c>
      <c r="H32" s="593">
        <v>173.70000000000002</v>
      </c>
      <c r="I32" s="593">
        <v>169.70000000000002</v>
      </c>
      <c r="J32" s="593">
        <v>172.8</v>
      </c>
      <c r="K32" s="593">
        <v>175.6</v>
      </c>
      <c r="L32" s="593">
        <v>180</v>
      </c>
      <c r="M32" s="593">
        <v>183.1</v>
      </c>
      <c r="N32" s="593">
        <v>180.9</v>
      </c>
      <c r="O32" s="593">
        <v>176</v>
      </c>
      <c r="P32" s="593">
        <v>170.9</v>
      </c>
      <c r="Q32" s="593">
        <v>161.69999999999999</v>
      </c>
      <c r="R32" s="593">
        <v>152.4</v>
      </c>
      <c r="S32" s="593">
        <v>141.9</v>
      </c>
      <c r="T32" s="593">
        <v>131.4</v>
      </c>
      <c r="U32" s="593">
        <v>122.10000000000001</v>
      </c>
      <c r="V32" s="593">
        <v>117.10000000000001</v>
      </c>
      <c r="W32" s="593">
        <v>114.9</v>
      </c>
      <c r="X32" s="593">
        <v>124.4</v>
      </c>
      <c r="Y32" s="593">
        <v>138.5</v>
      </c>
      <c r="Z32" s="593">
        <v>156.69999999999999</v>
      </c>
      <c r="AA32" s="593">
        <f t="shared" si="0"/>
        <v>3845.6</v>
      </c>
      <c r="AB32" s="595">
        <f t="shared" si="1"/>
        <v>160.23333333333332</v>
      </c>
    </row>
    <row r="33" spans="1:28" s="45" customFormat="1" ht="21" customHeight="1" thickBot="1">
      <c r="A33" s="532">
        <v>29</v>
      </c>
      <c r="B33" s="536">
        <f t="shared" si="2"/>
        <v>44737</v>
      </c>
      <c r="C33" s="532">
        <f t="array" ref="C33:Z33">TRANSPOSE('data asli x100'!C680:C703)</f>
        <v>171.9</v>
      </c>
      <c r="D33" s="532">
        <v>188.7</v>
      </c>
      <c r="E33" s="532">
        <v>200.70000000000002</v>
      </c>
      <c r="F33" s="532">
        <v>205.29999999999998</v>
      </c>
      <c r="G33" s="532">
        <v>203.79999999999998</v>
      </c>
      <c r="H33" s="532">
        <v>197.2</v>
      </c>
      <c r="I33" s="532">
        <v>192</v>
      </c>
      <c r="J33" s="532">
        <v>184.7</v>
      </c>
      <c r="K33" s="532">
        <v>175.7</v>
      </c>
      <c r="L33" s="532">
        <v>168.4</v>
      </c>
      <c r="M33" s="532">
        <v>163.5</v>
      </c>
      <c r="N33" s="532">
        <v>165.39999999999998</v>
      </c>
      <c r="O33" s="532">
        <v>166.79999999999998</v>
      </c>
      <c r="P33" s="532">
        <v>167.2</v>
      </c>
      <c r="Q33" s="532">
        <v>166.79999999999998</v>
      </c>
      <c r="R33" s="532">
        <v>158.80000000000001</v>
      </c>
      <c r="S33" s="532">
        <v>149.5</v>
      </c>
      <c r="T33" s="532">
        <v>139.9</v>
      </c>
      <c r="U33" s="532">
        <v>126.2</v>
      </c>
      <c r="V33" s="532">
        <v>114.39999999999999</v>
      </c>
      <c r="W33" s="532">
        <v>111.4</v>
      </c>
      <c r="X33" s="532">
        <v>112.99999999999999</v>
      </c>
      <c r="Y33" s="532">
        <v>120.39999999999999</v>
      </c>
      <c r="Z33" s="532">
        <v>135</v>
      </c>
      <c r="AA33" s="534">
        <f t="shared" si="0"/>
        <v>3886.7000000000007</v>
      </c>
      <c r="AB33" s="535">
        <f t="shared" si="1"/>
        <v>161.94583333333335</v>
      </c>
    </row>
    <row r="34" spans="1:28" s="45" customFormat="1" ht="8.25" customHeight="1" thickTop="1">
      <c r="A34" s="496"/>
      <c r="B34" s="497"/>
      <c r="C34" s="498"/>
      <c r="D34" s="498"/>
      <c r="E34" s="498"/>
      <c r="F34" s="498"/>
      <c r="G34" s="498"/>
      <c r="H34" s="498"/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  <c r="W34" s="498"/>
      <c r="X34" s="498"/>
      <c r="Y34" s="498"/>
      <c r="Z34" s="498"/>
      <c r="AA34" s="498"/>
      <c r="AB34" s="499"/>
    </row>
    <row r="35" spans="1:28">
      <c r="A35" s="146" t="s">
        <v>61</v>
      </c>
      <c r="C35" s="45" t="s">
        <v>62</v>
      </c>
      <c r="D35" s="1"/>
      <c r="E35" s="45"/>
      <c r="F35" s="1"/>
      <c r="G35" s="1" t="s">
        <v>63</v>
      </c>
      <c r="H35" s="406">
        <f>MAX(C5:Z33)</f>
        <v>288.89999999999998</v>
      </c>
      <c r="I35" s="45" t="s">
        <v>64</v>
      </c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B35" s="148"/>
    </row>
    <row r="36" spans="1:28">
      <c r="A36" s="146"/>
      <c r="C36" s="502" t="s">
        <v>65</v>
      </c>
      <c r="D36" s="1"/>
      <c r="E36" s="45"/>
      <c r="F36" s="1"/>
      <c r="G36" s="1" t="s">
        <v>63</v>
      </c>
      <c r="H36" s="406">
        <f>MIN(C5:Z33)</f>
        <v>56.000000000000007</v>
      </c>
      <c r="I36" s="45" t="s">
        <v>64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B36" s="148"/>
    </row>
    <row r="37" spans="1:28" ht="15" thickBot="1">
      <c r="A37" s="149"/>
      <c r="B37" s="150"/>
      <c r="C37" s="413" t="s">
        <v>618</v>
      </c>
      <c r="D37" s="500"/>
      <c r="E37" s="500"/>
      <c r="F37" s="151"/>
      <c r="G37" s="151" t="s">
        <v>63</v>
      </c>
      <c r="H37" s="501">
        <f>'Duduk Tengah'!L44</f>
        <v>166.53240740740742</v>
      </c>
      <c r="I37" s="500" t="s">
        <v>64</v>
      </c>
      <c r="J37" s="500"/>
      <c r="K37" s="500"/>
      <c r="L37" s="500"/>
      <c r="M37" s="500"/>
      <c r="N37" s="500"/>
      <c r="O37" s="500"/>
      <c r="P37" s="500"/>
      <c r="Q37" s="500"/>
      <c r="R37" s="500"/>
      <c r="S37" s="500"/>
      <c r="T37" s="500"/>
      <c r="U37" s="500"/>
      <c r="V37" s="500"/>
      <c r="W37" s="500"/>
      <c r="X37" s="500"/>
      <c r="Y37" s="500"/>
      <c r="Z37" s="500"/>
      <c r="AA37" s="151"/>
      <c r="AB37" s="152"/>
    </row>
    <row r="38" spans="1:28" ht="15" thickTop="1">
      <c r="A38" s="1"/>
      <c r="C38" s="1"/>
      <c r="D38" s="45"/>
      <c r="E38" s="45"/>
      <c r="F38" s="45"/>
      <c r="G38" s="265">
        <f>H35-H36</f>
        <v>232.89999999999998</v>
      </c>
      <c r="H38" s="45"/>
      <c r="I38" s="45"/>
      <c r="J38" s="265">
        <f>H35-H36</f>
        <v>232.89999999999998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41" spans="1:28">
      <c r="A41" s="46" t="s">
        <v>66</v>
      </c>
      <c r="B41" s="47"/>
      <c r="C41" s="505">
        <v>11</v>
      </c>
    </row>
    <row r="44" spans="1:28" ht="15">
      <c r="C44" s="48">
        <v>0.55400000000000005</v>
      </c>
      <c r="D44" s="49">
        <v>0.89100000000000001</v>
      </c>
      <c r="E44" s="49">
        <v>1.0209999999999999</v>
      </c>
      <c r="F44" s="49">
        <v>1.27</v>
      </c>
      <c r="G44" s="49">
        <v>1.4470000000000001</v>
      </c>
      <c r="H44" s="49">
        <v>1.462</v>
      </c>
      <c r="I44" s="50">
        <v>1.4910000000000001</v>
      </c>
      <c r="J44" s="49">
        <v>1.3160000000000001</v>
      </c>
      <c r="K44" s="49">
        <v>1.087</v>
      </c>
      <c r="L44" s="49">
        <v>1.054</v>
      </c>
      <c r="M44" s="49">
        <v>0.75</v>
      </c>
      <c r="N44" s="49">
        <v>0.66300000000000003</v>
      </c>
      <c r="O44" s="50">
        <v>0.75800000000000001</v>
      </c>
      <c r="P44" s="49">
        <v>1.0529999999999999</v>
      </c>
      <c r="Q44" s="49">
        <v>1.157</v>
      </c>
      <c r="R44" s="49">
        <v>1.371</v>
      </c>
      <c r="S44" s="49">
        <v>1.6120000000000001</v>
      </c>
      <c r="T44" s="49">
        <v>1.621</v>
      </c>
      <c r="U44" s="50">
        <v>1.3540000000000001</v>
      </c>
      <c r="V44" s="49">
        <v>1.28</v>
      </c>
      <c r="W44" s="49">
        <v>1.8859999999999999</v>
      </c>
      <c r="X44" s="49">
        <v>0.83199999999999996</v>
      </c>
      <c r="Y44" s="49">
        <v>0.60099999999999998</v>
      </c>
      <c r="Z44" s="49">
        <v>0.46200000000000002</v>
      </c>
      <c r="AA44" s="51">
        <v>0.41399999999999998</v>
      </c>
    </row>
  </sheetData>
  <sheetProtection selectLockedCells="1" selectUnlockedCells="1"/>
  <mergeCells count="5">
    <mergeCell ref="AB3:AB4"/>
    <mergeCell ref="A3:A4"/>
    <mergeCell ref="B3:B4"/>
    <mergeCell ref="C3:Z3"/>
    <mergeCell ref="AA3:AA4"/>
  </mergeCells>
  <phoneticPr fontId="26" type="noConversion"/>
  <pageMargins left="0.47013888888888888" right="0.27986111111111112" top="1.5097222222222222" bottom="0.98402777777777772" header="0.51180555555555551" footer="0.51180555555555551"/>
  <pageSetup paperSize="9" scale="67" firstPageNumber="0" orientation="landscape" horizontalDpi="300" verticalDpi="300" r:id="rId1"/>
  <headerFooter alignWithMargins="0"/>
  <ignoredErrors>
    <ignoredError sqref="C4:Z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C872"/>
  <sheetViews>
    <sheetView topLeftCell="AD4" workbookViewId="0">
      <selection activeCell="AR2" sqref="AR2"/>
    </sheetView>
  </sheetViews>
  <sheetFormatPr defaultColWidth="7.140625" defaultRowHeight="14.25"/>
  <cols>
    <col min="1" max="1" width="2.85546875" style="1" customWidth="1"/>
    <col min="2" max="2" width="7.140625" style="1" customWidth="1"/>
    <col min="3" max="26" width="4.7109375" style="1" customWidth="1"/>
    <col min="27" max="28" width="7.140625" style="1"/>
    <col min="29" max="29" width="10.5703125" style="1" bestFit="1" customWidth="1"/>
    <col min="30" max="30" width="11.28515625" style="1" customWidth="1"/>
    <col min="31" max="31" width="9.85546875" style="1" customWidth="1"/>
    <col min="32" max="32" width="9.140625" style="1" bestFit="1" customWidth="1"/>
    <col min="33" max="35" width="7.140625" style="1"/>
    <col min="36" max="36" width="8.85546875" style="1" customWidth="1"/>
    <col min="37" max="39" width="7.140625" style="1"/>
    <col min="40" max="40" width="9.140625" style="1" customWidth="1"/>
    <col min="41" max="43" width="7.140625" style="1"/>
    <col min="44" max="44" width="9.7109375" style="1" customWidth="1"/>
    <col min="45" max="47" width="7.140625" style="1"/>
    <col min="48" max="48" width="9.140625" style="1" bestFit="1" customWidth="1"/>
    <col min="49" max="51" width="7.140625" style="1"/>
    <col min="52" max="52" width="9.140625" style="1" customWidth="1"/>
    <col min="53" max="16384" width="7.140625" style="1"/>
  </cols>
  <sheetData>
    <row r="2" spans="2:55" ht="15">
      <c r="B2" s="52" t="s">
        <v>67</v>
      </c>
    </row>
    <row r="3" spans="2:55" ht="8.25" customHeight="1"/>
    <row r="4" spans="2:55" ht="21" customHeight="1" thickBot="1">
      <c r="B4" s="675"/>
      <c r="C4" s="676" t="s">
        <v>68</v>
      </c>
      <c r="D4" s="676"/>
      <c r="E4" s="676"/>
      <c r="F4" s="676"/>
      <c r="G4" s="676"/>
      <c r="H4" s="676"/>
      <c r="I4" s="676"/>
      <c r="J4" s="676"/>
      <c r="K4" s="676"/>
      <c r="L4" s="676"/>
      <c r="M4" s="676"/>
      <c r="N4" s="676"/>
      <c r="O4" s="676"/>
      <c r="P4" s="676"/>
      <c r="Q4" s="676"/>
      <c r="R4" s="676"/>
      <c r="S4" s="676"/>
      <c r="T4" s="676"/>
      <c r="U4" s="676"/>
      <c r="V4" s="676"/>
      <c r="W4" s="676"/>
      <c r="X4" s="676"/>
      <c r="Y4" s="676"/>
      <c r="Z4" s="676"/>
      <c r="AD4" s="476">
        <f>skemA1!B5</f>
        <v>44709</v>
      </c>
    </row>
    <row r="5" spans="2:55" ht="21" customHeight="1" thickBot="1">
      <c r="B5" s="675"/>
      <c r="C5" s="53" t="s">
        <v>37</v>
      </c>
      <c r="D5" s="53" t="s">
        <v>38</v>
      </c>
      <c r="E5" s="53" t="s">
        <v>39</v>
      </c>
      <c r="F5" s="53" t="s">
        <v>40</v>
      </c>
      <c r="G5" s="53" t="s">
        <v>41</v>
      </c>
      <c r="H5" s="53" t="s">
        <v>42</v>
      </c>
      <c r="I5" s="53" t="s">
        <v>2</v>
      </c>
      <c r="J5" s="53" t="s">
        <v>43</v>
      </c>
      <c r="K5" s="53" t="s">
        <v>44</v>
      </c>
      <c r="L5" s="53" t="s">
        <v>45</v>
      </c>
      <c r="M5" s="53" t="s">
        <v>46</v>
      </c>
      <c r="N5" s="53" t="s">
        <v>47</v>
      </c>
      <c r="O5" s="53" t="s">
        <v>48</v>
      </c>
      <c r="P5" s="53" t="s">
        <v>49</v>
      </c>
      <c r="Q5" s="53" t="s">
        <v>50</v>
      </c>
      <c r="R5" s="53" t="s">
        <v>51</v>
      </c>
      <c r="S5" s="53" t="s">
        <v>52</v>
      </c>
      <c r="T5" s="53" t="s">
        <v>53</v>
      </c>
      <c r="U5" s="53" t="s">
        <v>54</v>
      </c>
      <c r="V5" s="53" t="s">
        <v>55</v>
      </c>
      <c r="W5" s="53" t="s">
        <v>56</v>
      </c>
      <c r="X5" s="53" t="s">
        <v>57</v>
      </c>
      <c r="Y5" s="53" t="s">
        <v>58</v>
      </c>
      <c r="Z5" s="53" t="s">
        <v>59</v>
      </c>
      <c r="AD5" s="677" t="s">
        <v>75</v>
      </c>
      <c r="AE5" s="60" t="s">
        <v>558</v>
      </c>
      <c r="AF5" s="672" t="s">
        <v>559</v>
      </c>
      <c r="AG5" s="672"/>
      <c r="AH5" s="672"/>
      <c r="AI5" s="673"/>
      <c r="AJ5" s="672" t="s">
        <v>562</v>
      </c>
      <c r="AK5" s="672"/>
      <c r="AL5" s="672"/>
      <c r="AM5" s="673"/>
      <c r="AN5" s="672" t="s">
        <v>563</v>
      </c>
      <c r="AO5" s="672"/>
      <c r="AP5" s="672"/>
      <c r="AQ5" s="673"/>
      <c r="AR5" s="672" t="s">
        <v>564</v>
      </c>
      <c r="AS5" s="672"/>
      <c r="AT5" s="672"/>
      <c r="AU5" s="673"/>
      <c r="AV5" s="672" t="s">
        <v>565</v>
      </c>
      <c r="AW5" s="672"/>
      <c r="AX5" s="672"/>
      <c r="AY5" s="673"/>
      <c r="AZ5" s="672" t="s">
        <v>566</v>
      </c>
      <c r="BA5" s="672"/>
      <c r="BB5" s="672"/>
      <c r="BC5" s="673"/>
    </row>
    <row r="6" spans="2:55" ht="17.25" thickBot="1">
      <c r="B6" s="54" t="s">
        <v>69</v>
      </c>
      <c r="C6" s="55">
        <v>-1</v>
      </c>
      <c r="D6" s="55">
        <v>-1</v>
      </c>
      <c r="E6" s="55">
        <v>-1</v>
      </c>
      <c r="F6" s="55">
        <v>-1</v>
      </c>
      <c r="G6" s="55">
        <v>-1</v>
      </c>
      <c r="H6" s="55">
        <v>-1</v>
      </c>
      <c r="I6" s="55">
        <v>1</v>
      </c>
      <c r="J6" s="55">
        <v>1</v>
      </c>
      <c r="K6" s="55">
        <v>1</v>
      </c>
      <c r="L6" s="55">
        <v>1</v>
      </c>
      <c r="M6" s="55">
        <v>1</v>
      </c>
      <c r="N6" s="55">
        <v>1</v>
      </c>
      <c r="O6" s="55">
        <v>1</v>
      </c>
      <c r="P6" s="55">
        <v>1</v>
      </c>
      <c r="Q6" s="55">
        <v>1</v>
      </c>
      <c r="R6" s="55">
        <v>1</v>
      </c>
      <c r="S6" s="55">
        <v>1</v>
      </c>
      <c r="T6" s="55">
        <v>1</v>
      </c>
      <c r="U6" s="55">
        <v>-1</v>
      </c>
      <c r="V6" s="55">
        <v>-1</v>
      </c>
      <c r="W6" s="55">
        <v>-1</v>
      </c>
      <c r="X6" s="55">
        <v>-1</v>
      </c>
      <c r="Y6" s="55">
        <v>-1</v>
      </c>
      <c r="Z6" s="55">
        <v>-1</v>
      </c>
      <c r="AD6" s="677"/>
      <c r="AE6" s="61"/>
      <c r="AF6" s="674" t="s">
        <v>561</v>
      </c>
      <c r="AG6" s="670" t="s">
        <v>560</v>
      </c>
      <c r="AH6" s="670"/>
      <c r="AI6" s="671"/>
      <c r="AJ6" s="674" t="s">
        <v>561</v>
      </c>
      <c r="AK6" s="670" t="s">
        <v>560</v>
      </c>
      <c r="AL6" s="670"/>
      <c r="AM6" s="671"/>
      <c r="AN6" s="674" t="s">
        <v>561</v>
      </c>
      <c r="AO6" s="670" t="s">
        <v>560</v>
      </c>
      <c r="AP6" s="670"/>
      <c r="AQ6" s="671"/>
      <c r="AR6" s="674" t="s">
        <v>561</v>
      </c>
      <c r="AS6" s="670" t="s">
        <v>560</v>
      </c>
      <c r="AT6" s="670"/>
      <c r="AU6" s="671"/>
      <c r="AV6" s="674" t="s">
        <v>561</v>
      </c>
      <c r="AW6" s="670" t="s">
        <v>560</v>
      </c>
      <c r="AX6" s="670"/>
      <c r="AY6" s="671"/>
      <c r="AZ6" s="674" t="s">
        <v>561</v>
      </c>
      <c r="BA6" s="670" t="s">
        <v>560</v>
      </c>
      <c r="BB6" s="670"/>
      <c r="BC6" s="671"/>
    </row>
    <row r="7" spans="2:55" ht="16.5">
      <c r="B7" s="56" t="s">
        <v>70</v>
      </c>
      <c r="C7" s="57">
        <v>-1</v>
      </c>
      <c r="D7" s="57">
        <v>-1</v>
      </c>
      <c r="E7" s="57">
        <v>-1</v>
      </c>
      <c r="F7" s="57">
        <v>-1</v>
      </c>
      <c r="G7" s="57">
        <v>-1</v>
      </c>
      <c r="H7" s="57">
        <v>-1</v>
      </c>
      <c r="I7" s="57">
        <v>-1</v>
      </c>
      <c r="J7" s="57">
        <v>-1</v>
      </c>
      <c r="K7" s="57">
        <v>-1</v>
      </c>
      <c r="L7" s="57">
        <v>-1</v>
      </c>
      <c r="M7" s="57">
        <v>-1</v>
      </c>
      <c r="N7" s="57">
        <v>-1</v>
      </c>
      <c r="O7" s="57">
        <v>1</v>
      </c>
      <c r="P7" s="57">
        <v>1</v>
      </c>
      <c r="Q7" s="57">
        <v>1</v>
      </c>
      <c r="R7" s="57">
        <v>1</v>
      </c>
      <c r="S7" s="57">
        <v>1</v>
      </c>
      <c r="T7" s="57">
        <v>1</v>
      </c>
      <c r="U7" s="57">
        <v>1</v>
      </c>
      <c r="V7" s="57">
        <v>1</v>
      </c>
      <c r="W7" s="57">
        <v>1</v>
      </c>
      <c r="X7" s="57">
        <v>1</v>
      </c>
      <c r="Y7" s="57">
        <v>1</v>
      </c>
      <c r="Z7" s="57">
        <v>1</v>
      </c>
      <c r="AD7" s="677"/>
      <c r="AE7" s="62"/>
      <c r="AF7" s="674"/>
      <c r="AG7" s="63" t="s">
        <v>76</v>
      </c>
      <c r="AH7" s="63">
        <v>0</v>
      </c>
      <c r="AI7" s="64" t="s">
        <v>77</v>
      </c>
      <c r="AJ7" s="674"/>
      <c r="AK7" s="63" t="s">
        <v>76</v>
      </c>
      <c r="AL7" s="63">
        <v>0</v>
      </c>
      <c r="AM7" s="64" t="s">
        <v>77</v>
      </c>
      <c r="AN7" s="674"/>
      <c r="AO7" s="63" t="s">
        <v>76</v>
      </c>
      <c r="AP7" s="63">
        <v>0</v>
      </c>
      <c r="AQ7" s="64" t="s">
        <v>77</v>
      </c>
      <c r="AR7" s="674"/>
      <c r="AS7" s="63" t="s">
        <v>76</v>
      </c>
      <c r="AT7" s="63">
        <v>0</v>
      </c>
      <c r="AU7" s="64" t="s">
        <v>77</v>
      </c>
      <c r="AV7" s="674"/>
      <c r="AW7" s="63" t="s">
        <v>76</v>
      </c>
      <c r="AX7" s="63">
        <v>0</v>
      </c>
      <c r="AY7" s="64" t="s">
        <v>77</v>
      </c>
      <c r="AZ7" s="674"/>
      <c r="BA7" s="63" t="s">
        <v>76</v>
      </c>
      <c r="BB7" s="63">
        <v>0</v>
      </c>
      <c r="BC7" s="64" t="s">
        <v>77</v>
      </c>
    </row>
    <row r="8" spans="2:55" ht="16.5">
      <c r="B8" s="56" t="s">
        <v>71</v>
      </c>
      <c r="C8" s="57">
        <v>1</v>
      </c>
      <c r="D8" s="57">
        <v>1</v>
      </c>
      <c r="E8" s="57">
        <v>1</v>
      </c>
      <c r="F8" s="57">
        <v>-1</v>
      </c>
      <c r="G8" s="57">
        <v>-1</v>
      </c>
      <c r="H8" s="57">
        <v>-1</v>
      </c>
      <c r="I8" s="57">
        <v>-1</v>
      </c>
      <c r="J8" s="57">
        <v>-1</v>
      </c>
      <c r="K8" s="57">
        <v>-1</v>
      </c>
      <c r="L8" s="57">
        <v>1</v>
      </c>
      <c r="M8" s="57">
        <v>1</v>
      </c>
      <c r="N8" s="57">
        <v>1</v>
      </c>
      <c r="O8" s="57">
        <v>1</v>
      </c>
      <c r="P8" s="57">
        <v>1</v>
      </c>
      <c r="Q8" s="57">
        <v>1</v>
      </c>
      <c r="R8" s="57">
        <v>-1</v>
      </c>
      <c r="S8" s="57">
        <v>-1</v>
      </c>
      <c r="T8" s="57">
        <v>-1</v>
      </c>
      <c r="U8" s="57">
        <v>-1</v>
      </c>
      <c r="V8" s="57">
        <v>-1</v>
      </c>
      <c r="W8" s="57">
        <v>-1</v>
      </c>
      <c r="X8" s="57">
        <v>1</v>
      </c>
      <c r="Y8" s="57">
        <v>1</v>
      </c>
      <c r="Z8" s="57">
        <v>1</v>
      </c>
      <c r="AD8" s="65" t="str">
        <f t="array" ref="AD8:AD31">TRANSPOSE(C5:Z5)</f>
        <v>00</v>
      </c>
      <c r="AE8" s="66">
        <f t="array" ref="AE8:AE31">TRANSPOSE(skemA1!C5:Z5)</f>
        <v>136</v>
      </c>
      <c r="AF8" s="66">
        <f t="array" ref="AF8:AF31">TRANSPOSE(C6:Z6)</f>
        <v>-1</v>
      </c>
      <c r="AG8" s="66" t="str">
        <f>IF(AF8&gt;0,AF8*$AE8,"")</f>
        <v/>
      </c>
      <c r="AH8" s="66" t="str">
        <f>IF(AF8=0,AF8*$AE8,"")</f>
        <v/>
      </c>
      <c r="AI8" s="67">
        <f>IF(AF8&lt;0,AF8*$AE8,"")</f>
        <v>-136</v>
      </c>
      <c r="AJ8" s="66">
        <f t="array" ref="AJ8:AJ31">TRANSPOSE(C7:Z7)</f>
        <v>-1</v>
      </c>
      <c r="AK8" s="66" t="str">
        <f>IF(AJ8&gt;0,AJ8*$AE8,"")</f>
        <v/>
      </c>
      <c r="AL8" s="66" t="str">
        <f>IF(AJ8=0,AJ8*$AE8,"")</f>
        <v/>
      </c>
      <c r="AM8" s="67">
        <f>IF(AJ8&lt;0,AJ8*$AE8,"")</f>
        <v>-136</v>
      </c>
      <c r="AN8" s="66">
        <f t="array" ref="AN8:AN31">TRANSPOSE(C8:Z8)</f>
        <v>1</v>
      </c>
      <c r="AO8" s="66">
        <f>IF(AN8&gt;0,AN8*$AE8,"")</f>
        <v>136</v>
      </c>
      <c r="AP8" s="66" t="str">
        <f>IF(AN8=0,AN8*$AE8,"")</f>
        <v/>
      </c>
      <c r="AQ8" s="67" t="str">
        <f>IF(AN8&lt;0,AN8*$AE8,"")</f>
        <v/>
      </c>
      <c r="AR8" s="66">
        <f t="array" ref="AR8:AR31">TRANSPOSE(C9:Z9)</f>
        <v>1</v>
      </c>
      <c r="AS8" s="66">
        <f>IF(AR8&gt;0,AR8*$AE8,"")</f>
        <v>136</v>
      </c>
      <c r="AT8" s="66" t="str">
        <f>IF(AR8=0,AR8*$AE8,"")</f>
        <v/>
      </c>
      <c r="AU8" s="67" t="str">
        <f>IF(AR8&lt;0,AR8*$AE8,"")</f>
        <v/>
      </c>
      <c r="AV8" s="66">
        <f t="array" ref="AV8:AV31">TRANSPOSE(C10:Z10)</f>
        <v>1</v>
      </c>
      <c r="AW8" s="66">
        <f t="shared" ref="AW8:AW31" si="0">IF(AV8&gt;0,AV8*$AE8,"")</f>
        <v>136</v>
      </c>
      <c r="AX8" s="66" t="str">
        <f t="shared" ref="AX8:AX31" si="1">IF(AV8=0,AV8*$AE8,"")</f>
        <v/>
      </c>
      <c r="AY8" s="67" t="str">
        <f t="shared" ref="AY8:AY31" si="2">IF(AV8&lt;0,AV8*$AE8,"")</f>
        <v/>
      </c>
      <c r="AZ8" s="66">
        <f t="array" ref="AZ8:AZ31">TRANSPOSE(C11:Z11)</f>
        <v>1</v>
      </c>
      <c r="BA8" s="66">
        <f t="shared" ref="BA8:BA31" si="3">IF(AZ8&gt;0,AZ8*$AE8,"")</f>
        <v>136</v>
      </c>
      <c r="BB8" s="66" t="str">
        <f t="shared" ref="BB8:BB31" si="4">IF(AZ8=0,AZ8*$AE8,"")</f>
        <v/>
      </c>
      <c r="BC8" s="67" t="str">
        <f t="shared" ref="BC8:BC31" si="5">IF(AZ8&lt;0,AZ8*$AE8,"")</f>
        <v/>
      </c>
    </row>
    <row r="9" spans="2:55" ht="16.5">
      <c r="B9" s="56" t="s">
        <v>72</v>
      </c>
      <c r="C9" s="57">
        <v>1</v>
      </c>
      <c r="D9" s="57">
        <v>1</v>
      </c>
      <c r="E9" s="57">
        <v>1</v>
      </c>
      <c r="F9" s="57">
        <v>1</v>
      </c>
      <c r="G9" s="57">
        <v>1</v>
      </c>
      <c r="H9" s="57">
        <v>1</v>
      </c>
      <c r="I9" s="57">
        <v>-1</v>
      </c>
      <c r="J9" s="57">
        <v>-1</v>
      </c>
      <c r="K9" s="57">
        <v>-1</v>
      </c>
      <c r="L9" s="57">
        <v>-1</v>
      </c>
      <c r="M9" s="57">
        <v>-1</v>
      </c>
      <c r="N9" s="57">
        <v>-1</v>
      </c>
      <c r="O9" s="57">
        <v>1</v>
      </c>
      <c r="P9" s="57">
        <v>1</v>
      </c>
      <c r="Q9" s="57">
        <v>1</v>
      </c>
      <c r="R9" s="57">
        <v>1</v>
      </c>
      <c r="S9" s="57">
        <v>1</v>
      </c>
      <c r="T9" s="57">
        <v>1</v>
      </c>
      <c r="U9" s="57">
        <v>-1</v>
      </c>
      <c r="V9" s="57">
        <v>-1</v>
      </c>
      <c r="W9" s="57">
        <v>-1</v>
      </c>
      <c r="X9" s="57">
        <v>-1</v>
      </c>
      <c r="Y9" s="57">
        <v>-1</v>
      </c>
      <c r="Z9" s="57">
        <v>-1</v>
      </c>
      <c r="AD9" s="68" t="str">
        <v>01</v>
      </c>
      <c r="AE9" s="61">
        <v>165.5</v>
      </c>
      <c r="AF9" s="61">
        <v>-1</v>
      </c>
      <c r="AG9" s="66" t="str">
        <f t="shared" ref="AG9:AG31" si="6">IF(AF9&gt;0,AF9*$AE9,"")</f>
        <v/>
      </c>
      <c r="AH9" s="66" t="str">
        <f t="shared" ref="AH9:AH31" si="7">IF(AF9=0,AF9*$AE9,"")</f>
        <v/>
      </c>
      <c r="AI9" s="67">
        <f t="shared" ref="AI9:AI31" si="8">IF(AF9&lt;0,AF9*$AE9,"")</f>
        <v>-165.5</v>
      </c>
      <c r="AJ9" s="61">
        <v>-1</v>
      </c>
      <c r="AK9" s="66" t="str">
        <f t="shared" ref="AK9:AK31" si="9">IF(AJ9&gt;0,AJ9*$AE9,"")</f>
        <v/>
      </c>
      <c r="AL9" s="66" t="str">
        <f t="shared" ref="AL9:AL31" si="10">IF(AJ9=0,AJ9*$AE9,"")</f>
        <v/>
      </c>
      <c r="AM9" s="67">
        <f t="shared" ref="AM9:AM31" si="11">IF(AJ9&lt;0,AJ9*$AE9,"")</f>
        <v>-165.5</v>
      </c>
      <c r="AN9" s="61">
        <v>1</v>
      </c>
      <c r="AO9" s="66">
        <f t="shared" ref="AO9:AO31" si="12">IF(AN9&gt;0,AN9*$AE9,"")</f>
        <v>165.5</v>
      </c>
      <c r="AP9" s="66" t="str">
        <f t="shared" ref="AP9:AP31" si="13">IF(AN9=0,AN9*$AE9,"")</f>
        <v/>
      </c>
      <c r="AQ9" s="67" t="str">
        <f t="shared" ref="AQ9:AQ31" si="14">IF(AN9&lt;0,AN9*$AE9,"")</f>
        <v/>
      </c>
      <c r="AR9" s="61">
        <v>1</v>
      </c>
      <c r="AS9" s="66">
        <f t="shared" ref="AS9:AS31" si="15">IF(AR9&gt;0,AR9*$AE9,"")</f>
        <v>165.5</v>
      </c>
      <c r="AT9" s="66" t="str">
        <f t="shared" ref="AT9:AT31" si="16">IF(AR9=0,AR9*$AE9,"")</f>
        <v/>
      </c>
      <c r="AU9" s="67" t="str">
        <f t="shared" ref="AU9:AU31" si="17">IF(AR9&lt;0,AR9*$AE9,"")</f>
        <v/>
      </c>
      <c r="AV9" s="61">
        <v>0</v>
      </c>
      <c r="AW9" s="66" t="str">
        <f t="shared" si="0"/>
        <v/>
      </c>
      <c r="AX9" s="66">
        <f t="shared" si="1"/>
        <v>0</v>
      </c>
      <c r="AY9" s="67" t="str">
        <f t="shared" si="2"/>
        <v/>
      </c>
      <c r="AZ9" s="61">
        <v>1</v>
      </c>
      <c r="BA9" s="66">
        <f t="shared" si="3"/>
        <v>165.5</v>
      </c>
      <c r="BB9" s="66" t="str">
        <f t="shared" si="4"/>
        <v/>
      </c>
      <c r="BC9" s="67" t="str">
        <f t="shared" si="5"/>
        <v/>
      </c>
    </row>
    <row r="10" spans="2:55" ht="16.5">
      <c r="B10" s="56" t="s">
        <v>73</v>
      </c>
      <c r="C10" s="57">
        <v>1</v>
      </c>
      <c r="D10" s="57">
        <v>0</v>
      </c>
      <c r="E10" s="57">
        <v>-1</v>
      </c>
      <c r="F10" s="57">
        <v>-1</v>
      </c>
      <c r="G10" s="57">
        <v>0</v>
      </c>
      <c r="H10" s="57">
        <v>1</v>
      </c>
      <c r="I10" s="57">
        <v>1</v>
      </c>
      <c r="J10" s="57">
        <v>0</v>
      </c>
      <c r="K10" s="57">
        <v>-1</v>
      </c>
      <c r="L10" s="57">
        <v>-1</v>
      </c>
      <c r="M10" s="57">
        <v>0</v>
      </c>
      <c r="N10" s="57">
        <v>1</v>
      </c>
      <c r="O10" s="57">
        <v>1</v>
      </c>
      <c r="P10" s="57">
        <v>0</v>
      </c>
      <c r="Q10" s="57">
        <v>-1</v>
      </c>
      <c r="R10" s="57">
        <v>-1</v>
      </c>
      <c r="S10" s="57">
        <v>0</v>
      </c>
      <c r="T10" s="57">
        <v>1</v>
      </c>
      <c r="U10" s="57">
        <v>1</v>
      </c>
      <c r="V10" s="57">
        <v>0</v>
      </c>
      <c r="W10" s="57">
        <v>-1</v>
      </c>
      <c r="X10" s="57">
        <v>-1</v>
      </c>
      <c r="Y10" s="57">
        <v>0</v>
      </c>
      <c r="Z10" s="57">
        <v>1</v>
      </c>
      <c r="AD10" s="68" t="str">
        <v>02</v>
      </c>
      <c r="AE10" s="61">
        <v>198.3</v>
      </c>
      <c r="AF10" s="61">
        <v>-1</v>
      </c>
      <c r="AG10" s="66" t="str">
        <f t="shared" si="6"/>
        <v/>
      </c>
      <c r="AH10" s="66" t="str">
        <f t="shared" si="7"/>
        <v/>
      </c>
      <c r="AI10" s="67">
        <f t="shared" si="8"/>
        <v>-198.3</v>
      </c>
      <c r="AJ10" s="61">
        <v>-1</v>
      </c>
      <c r="AK10" s="66" t="str">
        <f t="shared" si="9"/>
        <v/>
      </c>
      <c r="AL10" s="66" t="str">
        <f t="shared" si="10"/>
        <v/>
      </c>
      <c r="AM10" s="67">
        <f t="shared" si="11"/>
        <v>-198.3</v>
      </c>
      <c r="AN10" s="61">
        <v>1</v>
      </c>
      <c r="AO10" s="66">
        <f t="shared" si="12"/>
        <v>198.3</v>
      </c>
      <c r="AP10" s="66" t="str">
        <f t="shared" si="13"/>
        <v/>
      </c>
      <c r="AQ10" s="67" t="str">
        <f t="shared" si="14"/>
        <v/>
      </c>
      <c r="AR10" s="61">
        <v>1</v>
      </c>
      <c r="AS10" s="66">
        <f t="shared" si="15"/>
        <v>198.3</v>
      </c>
      <c r="AT10" s="66" t="str">
        <f t="shared" si="16"/>
        <v/>
      </c>
      <c r="AU10" s="67" t="str">
        <f t="shared" si="17"/>
        <v/>
      </c>
      <c r="AV10" s="61">
        <v>-1</v>
      </c>
      <c r="AW10" s="66" t="str">
        <f t="shared" si="0"/>
        <v/>
      </c>
      <c r="AX10" s="66" t="str">
        <f t="shared" si="1"/>
        <v/>
      </c>
      <c r="AY10" s="67">
        <f t="shared" si="2"/>
        <v>-198.3</v>
      </c>
      <c r="AZ10" s="61">
        <v>1</v>
      </c>
      <c r="BA10" s="66">
        <f t="shared" si="3"/>
        <v>198.3</v>
      </c>
      <c r="BB10" s="66" t="str">
        <f t="shared" si="4"/>
        <v/>
      </c>
      <c r="BC10" s="67" t="str">
        <f t="shared" si="5"/>
        <v/>
      </c>
    </row>
    <row r="11" spans="2:55" ht="16.5">
      <c r="B11" s="58" t="s">
        <v>74</v>
      </c>
      <c r="C11" s="59">
        <v>1</v>
      </c>
      <c r="D11" s="59">
        <v>1</v>
      </c>
      <c r="E11" s="59">
        <v>1</v>
      </c>
      <c r="F11" s="59">
        <v>-1</v>
      </c>
      <c r="G11" s="59">
        <v>-1</v>
      </c>
      <c r="H11" s="59">
        <v>-1</v>
      </c>
      <c r="I11" s="59">
        <v>1</v>
      </c>
      <c r="J11" s="59">
        <v>1</v>
      </c>
      <c r="K11" s="59">
        <v>1</v>
      </c>
      <c r="L11" s="59">
        <v>-1</v>
      </c>
      <c r="M11" s="59">
        <v>-1</v>
      </c>
      <c r="N11" s="59">
        <v>-1</v>
      </c>
      <c r="O11" s="59">
        <v>1</v>
      </c>
      <c r="P11" s="59">
        <v>1</v>
      </c>
      <c r="Q11" s="59">
        <v>1</v>
      </c>
      <c r="R11" s="59">
        <v>-1</v>
      </c>
      <c r="S11" s="59">
        <v>-1</v>
      </c>
      <c r="T11" s="59">
        <v>-1</v>
      </c>
      <c r="U11" s="59">
        <v>1</v>
      </c>
      <c r="V11" s="59">
        <v>1</v>
      </c>
      <c r="W11" s="59">
        <v>1</v>
      </c>
      <c r="X11" s="59">
        <v>-1</v>
      </c>
      <c r="Y11" s="59">
        <v>-1</v>
      </c>
      <c r="Z11" s="59">
        <v>-1</v>
      </c>
      <c r="AD11" s="68" t="str">
        <v>03</v>
      </c>
      <c r="AE11" s="61">
        <v>224.7</v>
      </c>
      <c r="AF11" s="61">
        <v>-1</v>
      </c>
      <c r="AG11" s="66" t="str">
        <f t="shared" si="6"/>
        <v/>
      </c>
      <c r="AH11" s="66" t="str">
        <f t="shared" si="7"/>
        <v/>
      </c>
      <c r="AI11" s="67">
        <f t="shared" si="8"/>
        <v>-224.7</v>
      </c>
      <c r="AJ11" s="61">
        <v>-1</v>
      </c>
      <c r="AK11" s="66" t="str">
        <f t="shared" si="9"/>
        <v/>
      </c>
      <c r="AL11" s="66" t="str">
        <f t="shared" si="10"/>
        <v/>
      </c>
      <c r="AM11" s="67">
        <f t="shared" si="11"/>
        <v>-224.7</v>
      </c>
      <c r="AN11" s="61">
        <v>-1</v>
      </c>
      <c r="AO11" s="66" t="str">
        <f t="shared" si="12"/>
        <v/>
      </c>
      <c r="AP11" s="66" t="str">
        <f t="shared" si="13"/>
        <v/>
      </c>
      <c r="AQ11" s="67">
        <f t="shared" si="14"/>
        <v>-224.7</v>
      </c>
      <c r="AR11" s="61">
        <v>1</v>
      </c>
      <c r="AS11" s="66">
        <f t="shared" si="15"/>
        <v>224.7</v>
      </c>
      <c r="AT11" s="66" t="str">
        <f t="shared" si="16"/>
        <v/>
      </c>
      <c r="AU11" s="67" t="str">
        <f t="shared" si="17"/>
        <v/>
      </c>
      <c r="AV11" s="61">
        <v>-1</v>
      </c>
      <c r="AW11" s="66" t="str">
        <f t="shared" si="0"/>
        <v/>
      </c>
      <c r="AX11" s="66" t="str">
        <f t="shared" si="1"/>
        <v/>
      </c>
      <c r="AY11" s="67">
        <f t="shared" si="2"/>
        <v>-224.7</v>
      </c>
      <c r="AZ11" s="61">
        <v>-1</v>
      </c>
      <c r="BA11" s="66" t="str">
        <f t="shared" si="3"/>
        <v/>
      </c>
      <c r="BB11" s="66" t="str">
        <f t="shared" si="4"/>
        <v/>
      </c>
      <c r="BC11" s="67">
        <f t="shared" si="5"/>
        <v>-224.7</v>
      </c>
    </row>
    <row r="12" spans="2:55">
      <c r="AD12" s="68" t="str">
        <v>04</v>
      </c>
      <c r="AE12" s="61">
        <v>239</v>
      </c>
      <c r="AF12" s="61">
        <v>-1</v>
      </c>
      <c r="AG12" s="66" t="str">
        <f t="shared" si="6"/>
        <v/>
      </c>
      <c r="AH12" s="66" t="str">
        <f t="shared" si="7"/>
        <v/>
      </c>
      <c r="AI12" s="67">
        <f t="shared" si="8"/>
        <v>-239</v>
      </c>
      <c r="AJ12" s="61">
        <v>-1</v>
      </c>
      <c r="AK12" s="66" t="str">
        <f t="shared" si="9"/>
        <v/>
      </c>
      <c r="AL12" s="66" t="str">
        <f t="shared" si="10"/>
        <v/>
      </c>
      <c r="AM12" s="67">
        <f t="shared" si="11"/>
        <v>-239</v>
      </c>
      <c r="AN12" s="61">
        <v>-1</v>
      </c>
      <c r="AO12" s="66" t="str">
        <f t="shared" si="12"/>
        <v/>
      </c>
      <c r="AP12" s="66" t="str">
        <f t="shared" si="13"/>
        <v/>
      </c>
      <c r="AQ12" s="67">
        <f t="shared" si="14"/>
        <v>-239</v>
      </c>
      <c r="AR12" s="61">
        <v>1</v>
      </c>
      <c r="AS12" s="66">
        <f t="shared" si="15"/>
        <v>239</v>
      </c>
      <c r="AT12" s="66" t="str">
        <f t="shared" si="16"/>
        <v/>
      </c>
      <c r="AU12" s="67" t="str">
        <f t="shared" si="17"/>
        <v/>
      </c>
      <c r="AV12" s="61">
        <v>0</v>
      </c>
      <c r="AW12" s="66" t="str">
        <f t="shared" si="0"/>
        <v/>
      </c>
      <c r="AX12" s="66">
        <f t="shared" si="1"/>
        <v>0</v>
      </c>
      <c r="AY12" s="67" t="str">
        <f t="shared" si="2"/>
        <v/>
      </c>
      <c r="AZ12" s="61">
        <v>-1</v>
      </c>
      <c r="BA12" s="66" t="str">
        <f t="shared" si="3"/>
        <v/>
      </c>
      <c r="BB12" s="66" t="str">
        <f t="shared" si="4"/>
        <v/>
      </c>
      <c r="BC12" s="67">
        <f t="shared" si="5"/>
        <v>-239</v>
      </c>
    </row>
    <row r="13" spans="2:55">
      <c r="AD13" s="68" t="str">
        <v>05</v>
      </c>
      <c r="AE13" s="61">
        <v>243.00000000000003</v>
      </c>
      <c r="AF13" s="61">
        <v>-1</v>
      </c>
      <c r="AG13" s="66" t="str">
        <f t="shared" si="6"/>
        <v/>
      </c>
      <c r="AH13" s="66" t="str">
        <f t="shared" si="7"/>
        <v/>
      </c>
      <c r="AI13" s="67">
        <f t="shared" si="8"/>
        <v>-243.00000000000003</v>
      </c>
      <c r="AJ13" s="61">
        <v>-1</v>
      </c>
      <c r="AK13" s="66" t="str">
        <f t="shared" si="9"/>
        <v/>
      </c>
      <c r="AL13" s="66" t="str">
        <f t="shared" si="10"/>
        <v/>
      </c>
      <c r="AM13" s="67">
        <f t="shared" si="11"/>
        <v>-243.00000000000003</v>
      </c>
      <c r="AN13" s="61">
        <v>-1</v>
      </c>
      <c r="AO13" s="66" t="str">
        <f t="shared" si="12"/>
        <v/>
      </c>
      <c r="AP13" s="66" t="str">
        <f t="shared" si="13"/>
        <v/>
      </c>
      <c r="AQ13" s="67">
        <f t="shared" si="14"/>
        <v>-243.00000000000003</v>
      </c>
      <c r="AR13" s="61">
        <v>1</v>
      </c>
      <c r="AS13" s="66">
        <f t="shared" si="15"/>
        <v>243.00000000000003</v>
      </c>
      <c r="AT13" s="66" t="str">
        <f t="shared" si="16"/>
        <v/>
      </c>
      <c r="AU13" s="67" t="str">
        <f t="shared" si="17"/>
        <v/>
      </c>
      <c r="AV13" s="61">
        <v>1</v>
      </c>
      <c r="AW13" s="66">
        <f t="shared" si="0"/>
        <v>243.00000000000003</v>
      </c>
      <c r="AX13" s="66" t="str">
        <f t="shared" si="1"/>
        <v/>
      </c>
      <c r="AY13" s="67" t="str">
        <f t="shared" si="2"/>
        <v/>
      </c>
      <c r="AZ13" s="61">
        <v>-1</v>
      </c>
      <c r="BA13" s="66" t="str">
        <f t="shared" si="3"/>
        <v/>
      </c>
      <c r="BB13" s="66" t="str">
        <f t="shared" si="4"/>
        <v/>
      </c>
      <c r="BC13" s="67">
        <f t="shared" si="5"/>
        <v>-243.00000000000003</v>
      </c>
    </row>
    <row r="14" spans="2:55">
      <c r="AD14" s="68" t="str">
        <v>06</v>
      </c>
      <c r="AE14" s="61">
        <v>231.70000000000002</v>
      </c>
      <c r="AF14" s="61">
        <v>1</v>
      </c>
      <c r="AG14" s="66">
        <f t="shared" si="6"/>
        <v>231.70000000000002</v>
      </c>
      <c r="AH14" s="66" t="str">
        <f t="shared" si="7"/>
        <v/>
      </c>
      <c r="AI14" s="67" t="str">
        <f t="shared" si="8"/>
        <v/>
      </c>
      <c r="AJ14" s="61">
        <v>-1</v>
      </c>
      <c r="AK14" s="66" t="str">
        <f t="shared" si="9"/>
        <v/>
      </c>
      <c r="AL14" s="66" t="str">
        <f t="shared" si="10"/>
        <v/>
      </c>
      <c r="AM14" s="67">
        <f t="shared" si="11"/>
        <v>-231.70000000000002</v>
      </c>
      <c r="AN14" s="61">
        <v>-1</v>
      </c>
      <c r="AO14" s="66" t="str">
        <f t="shared" si="12"/>
        <v/>
      </c>
      <c r="AP14" s="66" t="str">
        <f t="shared" si="13"/>
        <v/>
      </c>
      <c r="AQ14" s="67">
        <f t="shared" si="14"/>
        <v>-231.70000000000002</v>
      </c>
      <c r="AR14" s="61">
        <v>-1</v>
      </c>
      <c r="AS14" s="66" t="str">
        <f t="shared" si="15"/>
        <v/>
      </c>
      <c r="AT14" s="66" t="str">
        <f t="shared" si="16"/>
        <v/>
      </c>
      <c r="AU14" s="67">
        <f t="shared" si="17"/>
        <v>-231.70000000000002</v>
      </c>
      <c r="AV14" s="61">
        <v>1</v>
      </c>
      <c r="AW14" s="66">
        <f t="shared" si="0"/>
        <v>231.70000000000002</v>
      </c>
      <c r="AX14" s="66" t="str">
        <f t="shared" si="1"/>
        <v/>
      </c>
      <c r="AY14" s="67" t="str">
        <f t="shared" si="2"/>
        <v/>
      </c>
      <c r="AZ14" s="61">
        <v>1</v>
      </c>
      <c r="BA14" s="66">
        <f t="shared" si="3"/>
        <v>231.70000000000002</v>
      </c>
      <c r="BB14" s="66" t="str">
        <f t="shared" si="4"/>
        <v/>
      </c>
      <c r="BC14" s="67" t="str">
        <f t="shared" si="5"/>
        <v/>
      </c>
    </row>
    <row r="15" spans="2:55">
      <c r="AD15" s="68" t="str">
        <v>07</v>
      </c>
      <c r="AE15" s="61">
        <v>212.1</v>
      </c>
      <c r="AF15" s="61">
        <v>1</v>
      </c>
      <c r="AG15" s="66">
        <f t="shared" si="6"/>
        <v>212.1</v>
      </c>
      <c r="AH15" s="66" t="str">
        <f t="shared" si="7"/>
        <v/>
      </c>
      <c r="AI15" s="67" t="str">
        <f t="shared" si="8"/>
        <v/>
      </c>
      <c r="AJ15" s="61">
        <v>-1</v>
      </c>
      <c r="AK15" s="66" t="str">
        <f t="shared" si="9"/>
        <v/>
      </c>
      <c r="AL15" s="66" t="str">
        <f t="shared" si="10"/>
        <v/>
      </c>
      <c r="AM15" s="67">
        <f t="shared" si="11"/>
        <v>-212.1</v>
      </c>
      <c r="AN15" s="61">
        <v>-1</v>
      </c>
      <c r="AO15" s="66" t="str">
        <f t="shared" si="12"/>
        <v/>
      </c>
      <c r="AP15" s="66" t="str">
        <f t="shared" si="13"/>
        <v/>
      </c>
      <c r="AQ15" s="67">
        <f t="shared" si="14"/>
        <v>-212.1</v>
      </c>
      <c r="AR15" s="61">
        <v>-1</v>
      </c>
      <c r="AS15" s="66" t="str">
        <f t="shared" si="15"/>
        <v/>
      </c>
      <c r="AT15" s="66" t="str">
        <f t="shared" si="16"/>
        <v/>
      </c>
      <c r="AU15" s="67">
        <f t="shared" si="17"/>
        <v>-212.1</v>
      </c>
      <c r="AV15" s="61">
        <v>0</v>
      </c>
      <c r="AW15" s="66" t="str">
        <f t="shared" si="0"/>
        <v/>
      </c>
      <c r="AX15" s="66">
        <f t="shared" si="1"/>
        <v>0</v>
      </c>
      <c r="AY15" s="67" t="str">
        <f t="shared" si="2"/>
        <v/>
      </c>
      <c r="AZ15" s="61">
        <v>1</v>
      </c>
      <c r="BA15" s="66">
        <f t="shared" si="3"/>
        <v>212.1</v>
      </c>
      <c r="BB15" s="66" t="str">
        <f t="shared" si="4"/>
        <v/>
      </c>
      <c r="BC15" s="67" t="str">
        <f t="shared" si="5"/>
        <v/>
      </c>
    </row>
    <row r="16" spans="2:55">
      <c r="AD16" s="68" t="str">
        <v>08</v>
      </c>
      <c r="AE16" s="61">
        <v>188.39999999999998</v>
      </c>
      <c r="AF16" s="61">
        <v>1</v>
      </c>
      <c r="AG16" s="66">
        <f t="shared" si="6"/>
        <v>188.39999999999998</v>
      </c>
      <c r="AH16" s="66" t="str">
        <f t="shared" si="7"/>
        <v/>
      </c>
      <c r="AI16" s="67" t="str">
        <f t="shared" si="8"/>
        <v/>
      </c>
      <c r="AJ16" s="61">
        <v>-1</v>
      </c>
      <c r="AK16" s="66" t="str">
        <f t="shared" si="9"/>
        <v/>
      </c>
      <c r="AL16" s="66" t="str">
        <f t="shared" si="10"/>
        <v/>
      </c>
      <c r="AM16" s="67">
        <f t="shared" si="11"/>
        <v>-188.39999999999998</v>
      </c>
      <c r="AN16" s="61">
        <v>-1</v>
      </c>
      <c r="AO16" s="66" t="str">
        <f t="shared" si="12"/>
        <v/>
      </c>
      <c r="AP16" s="66" t="str">
        <f t="shared" si="13"/>
        <v/>
      </c>
      <c r="AQ16" s="67">
        <f t="shared" si="14"/>
        <v>-188.39999999999998</v>
      </c>
      <c r="AR16" s="61">
        <v>-1</v>
      </c>
      <c r="AS16" s="66" t="str">
        <f t="shared" si="15"/>
        <v/>
      </c>
      <c r="AT16" s="66" t="str">
        <f t="shared" si="16"/>
        <v/>
      </c>
      <c r="AU16" s="67">
        <f t="shared" si="17"/>
        <v>-188.39999999999998</v>
      </c>
      <c r="AV16" s="61">
        <v>-1</v>
      </c>
      <c r="AW16" s="66" t="str">
        <f t="shared" si="0"/>
        <v/>
      </c>
      <c r="AX16" s="66" t="str">
        <f t="shared" si="1"/>
        <v/>
      </c>
      <c r="AY16" s="67">
        <f t="shared" si="2"/>
        <v>-188.39999999999998</v>
      </c>
      <c r="AZ16" s="61">
        <v>1</v>
      </c>
      <c r="BA16" s="66">
        <f t="shared" si="3"/>
        <v>188.39999999999998</v>
      </c>
      <c r="BB16" s="66" t="str">
        <f t="shared" si="4"/>
        <v/>
      </c>
      <c r="BC16" s="67" t="str">
        <f t="shared" si="5"/>
        <v/>
      </c>
    </row>
    <row r="17" spans="29:55">
      <c r="AD17" s="68" t="str">
        <v>09</v>
      </c>
      <c r="AE17" s="61">
        <v>163.69999999999999</v>
      </c>
      <c r="AF17" s="61">
        <v>1</v>
      </c>
      <c r="AG17" s="66">
        <f t="shared" si="6"/>
        <v>163.69999999999999</v>
      </c>
      <c r="AH17" s="66" t="str">
        <f t="shared" si="7"/>
        <v/>
      </c>
      <c r="AI17" s="67" t="str">
        <f t="shared" si="8"/>
        <v/>
      </c>
      <c r="AJ17" s="61">
        <v>-1</v>
      </c>
      <c r="AK17" s="66" t="str">
        <f t="shared" si="9"/>
        <v/>
      </c>
      <c r="AL17" s="66" t="str">
        <f t="shared" si="10"/>
        <v/>
      </c>
      <c r="AM17" s="67">
        <f t="shared" si="11"/>
        <v>-163.69999999999999</v>
      </c>
      <c r="AN17" s="61">
        <v>1</v>
      </c>
      <c r="AO17" s="66">
        <f t="shared" si="12"/>
        <v>163.69999999999999</v>
      </c>
      <c r="AP17" s="66" t="str">
        <f t="shared" si="13"/>
        <v/>
      </c>
      <c r="AQ17" s="67" t="str">
        <f t="shared" si="14"/>
        <v/>
      </c>
      <c r="AR17" s="61">
        <v>-1</v>
      </c>
      <c r="AS17" s="66" t="str">
        <f t="shared" si="15"/>
        <v/>
      </c>
      <c r="AT17" s="66" t="str">
        <f t="shared" si="16"/>
        <v/>
      </c>
      <c r="AU17" s="67">
        <f t="shared" si="17"/>
        <v>-163.69999999999999</v>
      </c>
      <c r="AV17" s="61">
        <v>-1</v>
      </c>
      <c r="AW17" s="66" t="str">
        <f t="shared" si="0"/>
        <v/>
      </c>
      <c r="AX17" s="66" t="str">
        <f t="shared" si="1"/>
        <v/>
      </c>
      <c r="AY17" s="67">
        <f t="shared" si="2"/>
        <v>-163.69999999999999</v>
      </c>
      <c r="AZ17" s="61">
        <v>-1</v>
      </c>
      <c r="BA17" s="66" t="str">
        <f t="shared" si="3"/>
        <v/>
      </c>
      <c r="BB17" s="66" t="str">
        <f t="shared" si="4"/>
        <v/>
      </c>
      <c r="BC17" s="67">
        <f t="shared" si="5"/>
        <v>-163.69999999999999</v>
      </c>
    </row>
    <row r="18" spans="29:55">
      <c r="AD18" s="68" t="str">
        <v>10</v>
      </c>
      <c r="AE18" s="61">
        <v>145.4</v>
      </c>
      <c r="AF18" s="61">
        <v>1</v>
      </c>
      <c r="AG18" s="66">
        <f t="shared" si="6"/>
        <v>145.4</v>
      </c>
      <c r="AH18" s="66" t="str">
        <f t="shared" si="7"/>
        <v/>
      </c>
      <c r="AI18" s="67" t="str">
        <f t="shared" si="8"/>
        <v/>
      </c>
      <c r="AJ18" s="61">
        <v>-1</v>
      </c>
      <c r="AK18" s="66" t="str">
        <f t="shared" si="9"/>
        <v/>
      </c>
      <c r="AL18" s="66" t="str">
        <f t="shared" si="10"/>
        <v/>
      </c>
      <c r="AM18" s="67">
        <f t="shared" si="11"/>
        <v>-145.4</v>
      </c>
      <c r="AN18" s="61">
        <v>1</v>
      </c>
      <c r="AO18" s="66">
        <f t="shared" si="12"/>
        <v>145.4</v>
      </c>
      <c r="AP18" s="66" t="str">
        <f t="shared" si="13"/>
        <v/>
      </c>
      <c r="AQ18" s="67" t="str">
        <f t="shared" si="14"/>
        <v/>
      </c>
      <c r="AR18" s="61">
        <v>-1</v>
      </c>
      <c r="AS18" s="66" t="str">
        <f t="shared" si="15"/>
        <v/>
      </c>
      <c r="AT18" s="66" t="str">
        <f t="shared" si="16"/>
        <v/>
      </c>
      <c r="AU18" s="67">
        <f t="shared" si="17"/>
        <v>-145.4</v>
      </c>
      <c r="AV18" s="61">
        <v>0</v>
      </c>
      <c r="AW18" s="66" t="str">
        <f t="shared" si="0"/>
        <v/>
      </c>
      <c r="AX18" s="66">
        <f t="shared" si="1"/>
        <v>0</v>
      </c>
      <c r="AY18" s="67" t="str">
        <f t="shared" si="2"/>
        <v/>
      </c>
      <c r="AZ18" s="61">
        <v>-1</v>
      </c>
      <c r="BA18" s="66" t="str">
        <f t="shared" si="3"/>
        <v/>
      </c>
      <c r="BB18" s="66" t="str">
        <f t="shared" si="4"/>
        <v/>
      </c>
      <c r="BC18" s="67">
        <f t="shared" si="5"/>
        <v>-145.4</v>
      </c>
    </row>
    <row r="19" spans="29:55">
      <c r="AD19" s="68" t="str">
        <v>11</v>
      </c>
      <c r="AE19" s="61">
        <v>135.4</v>
      </c>
      <c r="AF19" s="61">
        <v>1</v>
      </c>
      <c r="AG19" s="66">
        <f t="shared" si="6"/>
        <v>135.4</v>
      </c>
      <c r="AH19" s="66" t="str">
        <f t="shared" si="7"/>
        <v/>
      </c>
      <c r="AI19" s="67" t="str">
        <f t="shared" si="8"/>
        <v/>
      </c>
      <c r="AJ19" s="61">
        <v>-1</v>
      </c>
      <c r="AK19" s="66" t="str">
        <f t="shared" si="9"/>
        <v/>
      </c>
      <c r="AL19" s="66" t="str">
        <f t="shared" si="10"/>
        <v/>
      </c>
      <c r="AM19" s="67">
        <f t="shared" si="11"/>
        <v>-135.4</v>
      </c>
      <c r="AN19" s="61">
        <v>1</v>
      </c>
      <c r="AO19" s="66">
        <f t="shared" si="12"/>
        <v>135.4</v>
      </c>
      <c r="AP19" s="66" t="str">
        <f t="shared" si="13"/>
        <v/>
      </c>
      <c r="AQ19" s="67" t="str">
        <f t="shared" si="14"/>
        <v/>
      </c>
      <c r="AR19" s="61">
        <v>-1</v>
      </c>
      <c r="AS19" s="66" t="str">
        <f t="shared" si="15"/>
        <v/>
      </c>
      <c r="AT19" s="66" t="str">
        <f t="shared" si="16"/>
        <v/>
      </c>
      <c r="AU19" s="67">
        <f t="shared" si="17"/>
        <v>-135.4</v>
      </c>
      <c r="AV19" s="61">
        <v>1</v>
      </c>
      <c r="AW19" s="66">
        <f t="shared" si="0"/>
        <v>135.4</v>
      </c>
      <c r="AX19" s="66" t="str">
        <f t="shared" si="1"/>
        <v/>
      </c>
      <c r="AY19" s="67" t="str">
        <f t="shared" si="2"/>
        <v/>
      </c>
      <c r="AZ19" s="61">
        <v>-1</v>
      </c>
      <c r="BA19" s="66" t="str">
        <f t="shared" si="3"/>
        <v/>
      </c>
      <c r="BB19" s="66" t="str">
        <f t="shared" si="4"/>
        <v/>
      </c>
      <c r="BC19" s="67">
        <f t="shared" si="5"/>
        <v>-135.4</v>
      </c>
    </row>
    <row r="20" spans="29:55">
      <c r="AD20" s="68" t="str">
        <v>12</v>
      </c>
      <c r="AE20" s="61">
        <v>142</v>
      </c>
      <c r="AF20" s="61">
        <v>1</v>
      </c>
      <c r="AG20" s="66">
        <f t="shared" si="6"/>
        <v>142</v>
      </c>
      <c r="AH20" s="66" t="str">
        <f t="shared" si="7"/>
        <v/>
      </c>
      <c r="AI20" s="67" t="str">
        <f t="shared" si="8"/>
        <v/>
      </c>
      <c r="AJ20" s="61">
        <v>1</v>
      </c>
      <c r="AK20" s="66">
        <f t="shared" si="9"/>
        <v>142</v>
      </c>
      <c r="AL20" s="66" t="str">
        <f t="shared" si="10"/>
        <v/>
      </c>
      <c r="AM20" s="67" t="str">
        <f t="shared" si="11"/>
        <v/>
      </c>
      <c r="AN20" s="61">
        <v>1</v>
      </c>
      <c r="AO20" s="66">
        <f t="shared" si="12"/>
        <v>142</v>
      </c>
      <c r="AP20" s="66" t="str">
        <f t="shared" si="13"/>
        <v/>
      </c>
      <c r="AQ20" s="67" t="str">
        <f t="shared" si="14"/>
        <v/>
      </c>
      <c r="AR20" s="61">
        <v>1</v>
      </c>
      <c r="AS20" s="66">
        <f t="shared" si="15"/>
        <v>142</v>
      </c>
      <c r="AT20" s="66" t="str">
        <f t="shared" si="16"/>
        <v/>
      </c>
      <c r="AU20" s="67" t="str">
        <f t="shared" si="17"/>
        <v/>
      </c>
      <c r="AV20" s="61">
        <v>1</v>
      </c>
      <c r="AW20" s="66">
        <f t="shared" si="0"/>
        <v>142</v>
      </c>
      <c r="AX20" s="66" t="str">
        <f t="shared" si="1"/>
        <v/>
      </c>
      <c r="AY20" s="67" t="str">
        <f t="shared" si="2"/>
        <v/>
      </c>
      <c r="AZ20" s="61">
        <v>1</v>
      </c>
      <c r="BA20" s="66">
        <f t="shared" si="3"/>
        <v>142</v>
      </c>
      <c r="BB20" s="66" t="str">
        <f t="shared" si="4"/>
        <v/>
      </c>
      <c r="BC20" s="67" t="str">
        <f t="shared" si="5"/>
        <v/>
      </c>
    </row>
    <row r="21" spans="29:55">
      <c r="AD21" s="68" t="str">
        <v>13</v>
      </c>
      <c r="AE21" s="61">
        <v>156.1</v>
      </c>
      <c r="AF21" s="61">
        <v>1</v>
      </c>
      <c r="AG21" s="66">
        <f t="shared" si="6"/>
        <v>156.1</v>
      </c>
      <c r="AH21" s="66" t="str">
        <f t="shared" si="7"/>
        <v/>
      </c>
      <c r="AI21" s="67" t="str">
        <f t="shared" si="8"/>
        <v/>
      </c>
      <c r="AJ21" s="61">
        <v>1</v>
      </c>
      <c r="AK21" s="66">
        <f t="shared" si="9"/>
        <v>156.1</v>
      </c>
      <c r="AL21" s="66" t="str">
        <f t="shared" si="10"/>
        <v/>
      </c>
      <c r="AM21" s="67" t="str">
        <f t="shared" si="11"/>
        <v/>
      </c>
      <c r="AN21" s="61">
        <v>1</v>
      </c>
      <c r="AO21" s="66">
        <f t="shared" si="12"/>
        <v>156.1</v>
      </c>
      <c r="AP21" s="66" t="str">
        <f t="shared" si="13"/>
        <v/>
      </c>
      <c r="AQ21" s="67" t="str">
        <f t="shared" si="14"/>
        <v/>
      </c>
      <c r="AR21" s="61">
        <v>1</v>
      </c>
      <c r="AS21" s="66">
        <f t="shared" si="15"/>
        <v>156.1</v>
      </c>
      <c r="AT21" s="66" t="str">
        <f t="shared" si="16"/>
        <v/>
      </c>
      <c r="AU21" s="67" t="str">
        <f t="shared" si="17"/>
        <v/>
      </c>
      <c r="AV21" s="61">
        <v>0</v>
      </c>
      <c r="AW21" s="66" t="str">
        <f t="shared" si="0"/>
        <v/>
      </c>
      <c r="AX21" s="66">
        <f t="shared" si="1"/>
        <v>0</v>
      </c>
      <c r="AY21" s="67" t="str">
        <f t="shared" si="2"/>
        <v/>
      </c>
      <c r="AZ21" s="61">
        <v>1</v>
      </c>
      <c r="BA21" s="66">
        <f t="shared" si="3"/>
        <v>156.1</v>
      </c>
      <c r="BB21" s="66" t="str">
        <f t="shared" si="4"/>
        <v/>
      </c>
      <c r="BC21" s="67" t="str">
        <f t="shared" si="5"/>
        <v/>
      </c>
    </row>
    <row r="22" spans="29:55">
      <c r="AD22" s="68" t="str">
        <v>14</v>
      </c>
      <c r="AE22" s="61">
        <v>173.10000000000002</v>
      </c>
      <c r="AF22" s="61">
        <v>1</v>
      </c>
      <c r="AG22" s="66">
        <f t="shared" si="6"/>
        <v>173.10000000000002</v>
      </c>
      <c r="AH22" s="66" t="str">
        <f t="shared" si="7"/>
        <v/>
      </c>
      <c r="AI22" s="67" t="str">
        <f t="shared" si="8"/>
        <v/>
      </c>
      <c r="AJ22" s="61">
        <v>1</v>
      </c>
      <c r="AK22" s="66">
        <f t="shared" si="9"/>
        <v>173.10000000000002</v>
      </c>
      <c r="AL22" s="66" t="str">
        <f t="shared" si="10"/>
        <v/>
      </c>
      <c r="AM22" s="67" t="str">
        <f t="shared" si="11"/>
        <v/>
      </c>
      <c r="AN22" s="61">
        <v>1</v>
      </c>
      <c r="AO22" s="66">
        <f t="shared" si="12"/>
        <v>173.10000000000002</v>
      </c>
      <c r="AP22" s="66" t="str">
        <f t="shared" si="13"/>
        <v/>
      </c>
      <c r="AQ22" s="67" t="str">
        <f t="shared" si="14"/>
        <v/>
      </c>
      <c r="AR22" s="61">
        <v>1</v>
      </c>
      <c r="AS22" s="66">
        <f t="shared" si="15"/>
        <v>173.10000000000002</v>
      </c>
      <c r="AT22" s="66" t="str">
        <f t="shared" si="16"/>
        <v/>
      </c>
      <c r="AU22" s="67" t="str">
        <f t="shared" si="17"/>
        <v/>
      </c>
      <c r="AV22" s="61">
        <v>-1</v>
      </c>
      <c r="AW22" s="66" t="str">
        <f t="shared" si="0"/>
        <v/>
      </c>
      <c r="AX22" s="66" t="str">
        <f t="shared" si="1"/>
        <v/>
      </c>
      <c r="AY22" s="67">
        <f t="shared" si="2"/>
        <v>-173.10000000000002</v>
      </c>
      <c r="AZ22" s="61">
        <v>1</v>
      </c>
      <c r="BA22" s="66">
        <f t="shared" si="3"/>
        <v>173.10000000000002</v>
      </c>
      <c r="BB22" s="66" t="str">
        <f t="shared" si="4"/>
        <v/>
      </c>
      <c r="BC22" s="67" t="str">
        <f t="shared" si="5"/>
        <v/>
      </c>
    </row>
    <row r="23" spans="29:55">
      <c r="AD23" s="68" t="str">
        <v>15</v>
      </c>
      <c r="AE23" s="61">
        <v>188.9</v>
      </c>
      <c r="AF23" s="61">
        <v>1</v>
      </c>
      <c r="AG23" s="66">
        <f t="shared" si="6"/>
        <v>188.9</v>
      </c>
      <c r="AH23" s="66" t="str">
        <f t="shared" si="7"/>
        <v/>
      </c>
      <c r="AI23" s="67" t="str">
        <f t="shared" si="8"/>
        <v/>
      </c>
      <c r="AJ23" s="61">
        <v>1</v>
      </c>
      <c r="AK23" s="66">
        <f t="shared" si="9"/>
        <v>188.9</v>
      </c>
      <c r="AL23" s="66" t="str">
        <f t="shared" si="10"/>
        <v/>
      </c>
      <c r="AM23" s="67" t="str">
        <f t="shared" si="11"/>
        <v/>
      </c>
      <c r="AN23" s="61">
        <v>-1</v>
      </c>
      <c r="AO23" s="66" t="str">
        <f t="shared" si="12"/>
        <v/>
      </c>
      <c r="AP23" s="66" t="str">
        <f t="shared" si="13"/>
        <v/>
      </c>
      <c r="AQ23" s="67">
        <f t="shared" si="14"/>
        <v>-188.9</v>
      </c>
      <c r="AR23" s="61">
        <v>1</v>
      </c>
      <c r="AS23" s="66">
        <f t="shared" si="15"/>
        <v>188.9</v>
      </c>
      <c r="AT23" s="66" t="str">
        <f t="shared" si="16"/>
        <v/>
      </c>
      <c r="AU23" s="67" t="str">
        <f t="shared" si="17"/>
        <v/>
      </c>
      <c r="AV23" s="61">
        <v>-1</v>
      </c>
      <c r="AW23" s="66" t="str">
        <f t="shared" si="0"/>
        <v/>
      </c>
      <c r="AX23" s="66" t="str">
        <f t="shared" si="1"/>
        <v/>
      </c>
      <c r="AY23" s="67">
        <f t="shared" si="2"/>
        <v>-188.9</v>
      </c>
      <c r="AZ23" s="61">
        <v>-1</v>
      </c>
      <c r="BA23" s="66" t="str">
        <f t="shared" si="3"/>
        <v/>
      </c>
      <c r="BB23" s="66" t="str">
        <f t="shared" si="4"/>
        <v/>
      </c>
      <c r="BC23" s="67">
        <f t="shared" si="5"/>
        <v>-188.9</v>
      </c>
    </row>
    <row r="24" spans="29:55">
      <c r="AD24" s="68" t="str">
        <v>16</v>
      </c>
      <c r="AE24" s="61">
        <v>194.9</v>
      </c>
      <c r="AF24" s="61">
        <v>1</v>
      </c>
      <c r="AG24" s="66">
        <f t="shared" si="6"/>
        <v>194.9</v>
      </c>
      <c r="AH24" s="66" t="str">
        <f t="shared" si="7"/>
        <v/>
      </c>
      <c r="AI24" s="67" t="str">
        <f t="shared" si="8"/>
        <v/>
      </c>
      <c r="AJ24" s="61">
        <v>1</v>
      </c>
      <c r="AK24" s="66">
        <f t="shared" si="9"/>
        <v>194.9</v>
      </c>
      <c r="AL24" s="66" t="str">
        <f t="shared" si="10"/>
        <v/>
      </c>
      <c r="AM24" s="67" t="str">
        <f t="shared" si="11"/>
        <v/>
      </c>
      <c r="AN24" s="61">
        <v>-1</v>
      </c>
      <c r="AO24" s="66" t="str">
        <f t="shared" si="12"/>
        <v/>
      </c>
      <c r="AP24" s="66" t="str">
        <f t="shared" si="13"/>
        <v/>
      </c>
      <c r="AQ24" s="67">
        <f t="shared" si="14"/>
        <v>-194.9</v>
      </c>
      <c r="AR24" s="61">
        <v>1</v>
      </c>
      <c r="AS24" s="66">
        <f t="shared" si="15"/>
        <v>194.9</v>
      </c>
      <c r="AT24" s="66" t="str">
        <f t="shared" si="16"/>
        <v/>
      </c>
      <c r="AU24" s="67" t="str">
        <f t="shared" si="17"/>
        <v/>
      </c>
      <c r="AV24" s="61">
        <v>0</v>
      </c>
      <c r="AW24" s="66" t="str">
        <f t="shared" si="0"/>
        <v/>
      </c>
      <c r="AX24" s="66">
        <f t="shared" si="1"/>
        <v>0</v>
      </c>
      <c r="AY24" s="67" t="str">
        <f t="shared" si="2"/>
        <v/>
      </c>
      <c r="AZ24" s="61">
        <v>-1</v>
      </c>
      <c r="BA24" s="66" t="str">
        <f t="shared" si="3"/>
        <v/>
      </c>
      <c r="BB24" s="66" t="str">
        <f t="shared" si="4"/>
        <v/>
      </c>
      <c r="BC24" s="67">
        <f t="shared" si="5"/>
        <v>-194.9</v>
      </c>
    </row>
    <row r="25" spans="29:55">
      <c r="AD25" s="68" t="str">
        <v>17</v>
      </c>
      <c r="AE25" s="61">
        <v>190</v>
      </c>
      <c r="AF25" s="61">
        <v>1</v>
      </c>
      <c r="AG25" s="66">
        <f t="shared" si="6"/>
        <v>190</v>
      </c>
      <c r="AH25" s="66" t="str">
        <f t="shared" si="7"/>
        <v/>
      </c>
      <c r="AI25" s="67" t="str">
        <f t="shared" si="8"/>
        <v/>
      </c>
      <c r="AJ25" s="61">
        <v>1</v>
      </c>
      <c r="AK25" s="66">
        <f t="shared" si="9"/>
        <v>190</v>
      </c>
      <c r="AL25" s="66" t="str">
        <f t="shared" si="10"/>
        <v/>
      </c>
      <c r="AM25" s="67" t="str">
        <f t="shared" si="11"/>
        <v/>
      </c>
      <c r="AN25" s="61">
        <v>-1</v>
      </c>
      <c r="AO25" s="66" t="str">
        <f t="shared" si="12"/>
        <v/>
      </c>
      <c r="AP25" s="66" t="str">
        <f t="shared" si="13"/>
        <v/>
      </c>
      <c r="AQ25" s="67">
        <f t="shared" si="14"/>
        <v>-190</v>
      </c>
      <c r="AR25" s="61">
        <v>1</v>
      </c>
      <c r="AS25" s="66">
        <f t="shared" si="15"/>
        <v>190</v>
      </c>
      <c r="AT25" s="66" t="str">
        <f t="shared" si="16"/>
        <v/>
      </c>
      <c r="AU25" s="67" t="str">
        <f t="shared" si="17"/>
        <v/>
      </c>
      <c r="AV25" s="61">
        <v>1</v>
      </c>
      <c r="AW25" s="66">
        <f t="shared" si="0"/>
        <v>190</v>
      </c>
      <c r="AX25" s="66" t="str">
        <f t="shared" si="1"/>
        <v/>
      </c>
      <c r="AY25" s="67" t="str">
        <f t="shared" si="2"/>
        <v/>
      </c>
      <c r="AZ25" s="61">
        <v>-1</v>
      </c>
      <c r="BA25" s="66" t="str">
        <f t="shared" si="3"/>
        <v/>
      </c>
      <c r="BB25" s="66" t="str">
        <f t="shared" si="4"/>
        <v/>
      </c>
      <c r="BC25" s="67">
        <f t="shared" si="5"/>
        <v>-190</v>
      </c>
    </row>
    <row r="26" spans="29:55">
      <c r="AD26" s="68" t="str">
        <v>18</v>
      </c>
      <c r="AE26" s="61">
        <v>173.3</v>
      </c>
      <c r="AF26" s="61">
        <v>-1</v>
      </c>
      <c r="AG26" s="66" t="str">
        <f t="shared" si="6"/>
        <v/>
      </c>
      <c r="AH26" s="66" t="str">
        <f t="shared" si="7"/>
        <v/>
      </c>
      <c r="AI26" s="67">
        <f t="shared" si="8"/>
        <v>-173.3</v>
      </c>
      <c r="AJ26" s="61">
        <v>1</v>
      </c>
      <c r="AK26" s="66">
        <f t="shared" si="9"/>
        <v>173.3</v>
      </c>
      <c r="AL26" s="66" t="str">
        <f t="shared" si="10"/>
        <v/>
      </c>
      <c r="AM26" s="67" t="str">
        <f t="shared" si="11"/>
        <v/>
      </c>
      <c r="AN26" s="61">
        <v>-1</v>
      </c>
      <c r="AO26" s="66" t="str">
        <f t="shared" si="12"/>
        <v/>
      </c>
      <c r="AP26" s="66" t="str">
        <f t="shared" si="13"/>
        <v/>
      </c>
      <c r="AQ26" s="67">
        <f t="shared" si="14"/>
        <v>-173.3</v>
      </c>
      <c r="AR26" s="61">
        <v>-1</v>
      </c>
      <c r="AS26" s="66" t="str">
        <f t="shared" si="15"/>
        <v/>
      </c>
      <c r="AT26" s="66" t="str">
        <f t="shared" si="16"/>
        <v/>
      </c>
      <c r="AU26" s="67">
        <f t="shared" si="17"/>
        <v>-173.3</v>
      </c>
      <c r="AV26" s="61">
        <v>1</v>
      </c>
      <c r="AW26" s="66">
        <f t="shared" si="0"/>
        <v>173.3</v>
      </c>
      <c r="AX26" s="66" t="str">
        <f t="shared" si="1"/>
        <v/>
      </c>
      <c r="AY26" s="67" t="str">
        <f t="shared" si="2"/>
        <v/>
      </c>
      <c r="AZ26" s="61">
        <v>1</v>
      </c>
      <c r="BA26" s="66">
        <f t="shared" si="3"/>
        <v>173.3</v>
      </c>
      <c r="BB26" s="66" t="str">
        <f t="shared" si="4"/>
        <v/>
      </c>
      <c r="BC26" s="67" t="str">
        <f t="shared" si="5"/>
        <v/>
      </c>
    </row>
    <row r="27" spans="29:55">
      <c r="AD27" s="68" t="str">
        <v>19</v>
      </c>
      <c r="AE27" s="61">
        <v>155</v>
      </c>
      <c r="AF27" s="61">
        <v>-1</v>
      </c>
      <c r="AG27" s="66" t="str">
        <f t="shared" si="6"/>
        <v/>
      </c>
      <c r="AH27" s="66" t="str">
        <f t="shared" si="7"/>
        <v/>
      </c>
      <c r="AI27" s="67">
        <f t="shared" si="8"/>
        <v>-155</v>
      </c>
      <c r="AJ27" s="61">
        <v>1</v>
      </c>
      <c r="AK27" s="66">
        <f t="shared" si="9"/>
        <v>155</v>
      </c>
      <c r="AL27" s="66" t="str">
        <f t="shared" si="10"/>
        <v/>
      </c>
      <c r="AM27" s="67" t="str">
        <f t="shared" si="11"/>
        <v/>
      </c>
      <c r="AN27" s="61">
        <v>-1</v>
      </c>
      <c r="AO27" s="66" t="str">
        <f t="shared" si="12"/>
        <v/>
      </c>
      <c r="AP27" s="66" t="str">
        <f t="shared" si="13"/>
        <v/>
      </c>
      <c r="AQ27" s="67">
        <f t="shared" si="14"/>
        <v>-155</v>
      </c>
      <c r="AR27" s="61">
        <v>-1</v>
      </c>
      <c r="AS27" s="66" t="str">
        <f t="shared" si="15"/>
        <v/>
      </c>
      <c r="AT27" s="66" t="str">
        <f t="shared" si="16"/>
        <v/>
      </c>
      <c r="AU27" s="67">
        <f t="shared" si="17"/>
        <v>-155</v>
      </c>
      <c r="AV27" s="61">
        <v>0</v>
      </c>
      <c r="AW27" s="66" t="str">
        <f t="shared" si="0"/>
        <v/>
      </c>
      <c r="AX27" s="66">
        <f t="shared" si="1"/>
        <v>0</v>
      </c>
      <c r="AY27" s="67" t="str">
        <f t="shared" si="2"/>
        <v/>
      </c>
      <c r="AZ27" s="61">
        <v>1</v>
      </c>
      <c r="BA27" s="66">
        <f t="shared" si="3"/>
        <v>155</v>
      </c>
      <c r="BB27" s="66" t="str">
        <f t="shared" si="4"/>
        <v/>
      </c>
      <c r="BC27" s="67" t="str">
        <f t="shared" si="5"/>
        <v/>
      </c>
    </row>
    <row r="28" spans="29:55">
      <c r="AD28" s="68" t="str">
        <v>20</v>
      </c>
      <c r="AE28" s="61">
        <v>132.4</v>
      </c>
      <c r="AF28" s="61">
        <v>-1</v>
      </c>
      <c r="AG28" s="66" t="str">
        <f t="shared" si="6"/>
        <v/>
      </c>
      <c r="AH28" s="66" t="str">
        <f t="shared" si="7"/>
        <v/>
      </c>
      <c r="AI28" s="67">
        <f t="shared" si="8"/>
        <v>-132.4</v>
      </c>
      <c r="AJ28" s="61">
        <v>1</v>
      </c>
      <c r="AK28" s="66">
        <f t="shared" si="9"/>
        <v>132.4</v>
      </c>
      <c r="AL28" s="66" t="str">
        <f t="shared" si="10"/>
        <v/>
      </c>
      <c r="AM28" s="67" t="str">
        <f t="shared" si="11"/>
        <v/>
      </c>
      <c r="AN28" s="61">
        <v>-1</v>
      </c>
      <c r="AO28" s="66" t="str">
        <f t="shared" si="12"/>
        <v/>
      </c>
      <c r="AP28" s="66" t="str">
        <f t="shared" si="13"/>
        <v/>
      </c>
      <c r="AQ28" s="67">
        <f t="shared" si="14"/>
        <v>-132.4</v>
      </c>
      <c r="AR28" s="61">
        <v>-1</v>
      </c>
      <c r="AS28" s="66" t="str">
        <f t="shared" si="15"/>
        <v/>
      </c>
      <c r="AT28" s="66" t="str">
        <f t="shared" si="16"/>
        <v/>
      </c>
      <c r="AU28" s="67">
        <f t="shared" si="17"/>
        <v>-132.4</v>
      </c>
      <c r="AV28" s="61">
        <v>-1</v>
      </c>
      <c r="AW28" s="66" t="str">
        <f t="shared" si="0"/>
        <v/>
      </c>
      <c r="AX28" s="66" t="str">
        <f t="shared" si="1"/>
        <v/>
      </c>
      <c r="AY28" s="67">
        <f t="shared" si="2"/>
        <v>-132.4</v>
      </c>
      <c r="AZ28" s="61">
        <v>1</v>
      </c>
      <c r="BA28" s="66">
        <f t="shared" si="3"/>
        <v>132.4</v>
      </c>
      <c r="BB28" s="66" t="str">
        <f t="shared" si="4"/>
        <v/>
      </c>
      <c r="BC28" s="67" t="str">
        <f t="shared" si="5"/>
        <v/>
      </c>
    </row>
    <row r="29" spans="29:55">
      <c r="AD29" s="68" t="str">
        <v>21</v>
      </c>
      <c r="AE29" s="61">
        <v>110.80000000000001</v>
      </c>
      <c r="AF29" s="61">
        <v>-1</v>
      </c>
      <c r="AG29" s="66" t="str">
        <f t="shared" si="6"/>
        <v/>
      </c>
      <c r="AH29" s="66" t="str">
        <f t="shared" si="7"/>
        <v/>
      </c>
      <c r="AI29" s="67">
        <f t="shared" si="8"/>
        <v>-110.80000000000001</v>
      </c>
      <c r="AJ29" s="61">
        <v>1</v>
      </c>
      <c r="AK29" s="66">
        <f t="shared" si="9"/>
        <v>110.80000000000001</v>
      </c>
      <c r="AL29" s="66" t="str">
        <f t="shared" si="10"/>
        <v/>
      </c>
      <c r="AM29" s="67" t="str">
        <f t="shared" si="11"/>
        <v/>
      </c>
      <c r="AN29" s="61">
        <v>1</v>
      </c>
      <c r="AO29" s="66">
        <f t="shared" si="12"/>
        <v>110.80000000000001</v>
      </c>
      <c r="AP29" s="66" t="str">
        <f t="shared" si="13"/>
        <v/>
      </c>
      <c r="AQ29" s="67" t="str">
        <f t="shared" si="14"/>
        <v/>
      </c>
      <c r="AR29" s="61">
        <v>-1</v>
      </c>
      <c r="AS29" s="66" t="str">
        <f t="shared" si="15"/>
        <v/>
      </c>
      <c r="AT29" s="66" t="str">
        <f t="shared" si="16"/>
        <v/>
      </c>
      <c r="AU29" s="67">
        <f t="shared" si="17"/>
        <v>-110.80000000000001</v>
      </c>
      <c r="AV29" s="61">
        <v>-1</v>
      </c>
      <c r="AW29" s="66" t="str">
        <f t="shared" si="0"/>
        <v/>
      </c>
      <c r="AX29" s="66" t="str">
        <f t="shared" si="1"/>
        <v/>
      </c>
      <c r="AY29" s="67">
        <f t="shared" si="2"/>
        <v>-110.80000000000001</v>
      </c>
      <c r="AZ29" s="61">
        <v>-1</v>
      </c>
      <c r="BA29" s="66" t="str">
        <f t="shared" si="3"/>
        <v/>
      </c>
      <c r="BB29" s="66" t="str">
        <f t="shared" si="4"/>
        <v/>
      </c>
      <c r="BC29" s="67">
        <f t="shared" si="5"/>
        <v>-110.80000000000001</v>
      </c>
    </row>
    <row r="30" spans="29:55">
      <c r="AD30" s="68" t="str">
        <v>22</v>
      </c>
      <c r="AE30" s="61">
        <v>96.899999999999991</v>
      </c>
      <c r="AF30" s="61">
        <v>-1</v>
      </c>
      <c r="AG30" s="66" t="str">
        <f t="shared" si="6"/>
        <v/>
      </c>
      <c r="AH30" s="66" t="str">
        <f t="shared" si="7"/>
        <v/>
      </c>
      <c r="AI30" s="67">
        <f t="shared" si="8"/>
        <v>-96.899999999999991</v>
      </c>
      <c r="AJ30" s="61">
        <v>1</v>
      </c>
      <c r="AK30" s="66">
        <f t="shared" si="9"/>
        <v>96.899999999999991</v>
      </c>
      <c r="AL30" s="66" t="str">
        <f t="shared" si="10"/>
        <v/>
      </c>
      <c r="AM30" s="67" t="str">
        <f t="shared" si="11"/>
        <v/>
      </c>
      <c r="AN30" s="61">
        <v>1</v>
      </c>
      <c r="AO30" s="66">
        <f t="shared" si="12"/>
        <v>96.899999999999991</v>
      </c>
      <c r="AP30" s="66" t="str">
        <f t="shared" si="13"/>
        <v/>
      </c>
      <c r="AQ30" s="67" t="str">
        <f t="shared" si="14"/>
        <v/>
      </c>
      <c r="AR30" s="61">
        <v>-1</v>
      </c>
      <c r="AS30" s="66" t="str">
        <f t="shared" si="15"/>
        <v/>
      </c>
      <c r="AT30" s="66" t="str">
        <f t="shared" si="16"/>
        <v/>
      </c>
      <c r="AU30" s="67">
        <f t="shared" si="17"/>
        <v>-96.899999999999991</v>
      </c>
      <c r="AV30" s="61">
        <v>0</v>
      </c>
      <c r="AW30" s="66" t="str">
        <f t="shared" si="0"/>
        <v/>
      </c>
      <c r="AX30" s="66">
        <f t="shared" si="1"/>
        <v>0</v>
      </c>
      <c r="AY30" s="67" t="str">
        <f t="shared" si="2"/>
        <v/>
      </c>
      <c r="AZ30" s="61">
        <v>-1</v>
      </c>
      <c r="BA30" s="66" t="str">
        <f t="shared" si="3"/>
        <v/>
      </c>
      <c r="BB30" s="66" t="str">
        <f t="shared" si="4"/>
        <v/>
      </c>
      <c r="BC30" s="67">
        <f t="shared" si="5"/>
        <v>-96.899999999999991</v>
      </c>
    </row>
    <row r="31" spans="29:55">
      <c r="AD31" s="68" t="str">
        <v>23</v>
      </c>
      <c r="AE31" s="61">
        <v>99.1</v>
      </c>
      <c r="AF31" s="61">
        <v>-1</v>
      </c>
      <c r="AG31" s="66" t="str">
        <f t="shared" si="6"/>
        <v/>
      </c>
      <c r="AH31" s="66" t="str">
        <f t="shared" si="7"/>
        <v/>
      </c>
      <c r="AI31" s="67">
        <f t="shared" si="8"/>
        <v>-99.1</v>
      </c>
      <c r="AJ31" s="61">
        <v>1</v>
      </c>
      <c r="AK31" s="66">
        <f t="shared" si="9"/>
        <v>99.1</v>
      </c>
      <c r="AL31" s="66" t="str">
        <f t="shared" si="10"/>
        <v/>
      </c>
      <c r="AM31" s="67" t="str">
        <f t="shared" si="11"/>
        <v/>
      </c>
      <c r="AN31" s="61">
        <v>1</v>
      </c>
      <c r="AO31" s="66">
        <f t="shared" si="12"/>
        <v>99.1</v>
      </c>
      <c r="AP31" s="66" t="str">
        <f t="shared" si="13"/>
        <v/>
      </c>
      <c r="AQ31" s="67" t="str">
        <f t="shared" si="14"/>
        <v/>
      </c>
      <c r="AR31" s="61">
        <v>-1</v>
      </c>
      <c r="AS31" s="66" t="str">
        <f t="shared" si="15"/>
        <v/>
      </c>
      <c r="AT31" s="66" t="str">
        <f t="shared" si="16"/>
        <v/>
      </c>
      <c r="AU31" s="67">
        <f t="shared" si="17"/>
        <v>-99.1</v>
      </c>
      <c r="AV31" s="61">
        <v>1</v>
      </c>
      <c r="AW31" s="66">
        <f t="shared" si="0"/>
        <v>99.1</v>
      </c>
      <c r="AX31" s="66" t="str">
        <f t="shared" si="1"/>
        <v/>
      </c>
      <c r="AY31" s="67" t="str">
        <f t="shared" si="2"/>
        <v/>
      </c>
      <c r="AZ31" s="61">
        <v>-1</v>
      </c>
      <c r="BA31" s="66" t="str">
        <f t="shared" si="3"/>
        <v/>
      </c>
      <c r="BB31" s="66" t="str">
        <f t="shared" si="4"/>
        <v/>
      </c>
      <c r="BC31" s="67">
        <f t="shared" si="5"/>
        <v>-99.1</v>
      </c>
    </row>
    <row r="32" spans="29:55" ht="15.75" thickBot="1">
      <c r="AC32" s="476">
        <f>AD4</f>
        <v>44709</v>
      </c>
      <c r="AD32" s="69" t="s">
        <v>85</v>
      </c>
      <c r="AE32" s="70">
        <f>SUM(AE8:AE31)</f>
        <v>4095.7000000000003</v>
      </c>
      <c r="AF32" s="70"/>
      <c r="AG32" s="71">
        <f>ABS(SUM(AG8:AG31))</f>
        <v>2121.7000000000003</v>
      </c>
      <c r="AH32" s="70"/>
      <c r="AI32" s="72">
        <f>ABS(SUM(AI8:AI31))</f>
        <v>1974</v>
      </c>
      <c r="AJ32" s="70"/>
      <c r="AK32" s="71">
        <f>ABS(SUM(AK8:AK31))</f>
        <v>1812.5</v>
      </c>
      <c r="AL32" s="70"/>
      <c r="AM32" s="72">
        <f>ABS(SUM(AM8:AM31))</f>
        <v>2283.1999999999998</v>
      </c>
      <c r="AN32" s="70"/>
      <c r="AO32" s="71">
        <f>ABS(SUM(AO8:AO31))</f>
        <v>1722.3</v>
      </c>
      <c r="AP32" s="70"/>
      <c r="AQ32" s="72">
        <f>ABS(SUM(AQ8:AQ31))</f>
        <v>2373.4000000000005</v>
      </c>
      <c r="AR32" s="70"/>
      <c r="AS32" s="71">
        <f>ABS(SUM(AS8:AS31))</f>
        <v>2251.5</v>
      </c>
      <c r="AT32" s="70"/>
      <c r="AU32" s="72">
        <f>ABS(SUM(AU8:AU31))</f>
        <v>1844.2</v>
      </c>
      <c r="AV32" s="70"/>
      <c r="AW32" s="71">
        <f>ABS(SUM(AW8:AW31))</f>
        <v>1350.4999999999998</v>
      </c>
      <c r="AX32" s="70"/>
      <c r="AY32" s="72">
        <f>ABS(SUM(AY8:AY31))</f>
        <v>1380.3</v>
      </c>
      <c r="AZ32" s="70"/>
      <c r="BA32" s="71">
        <f>ABS(SUM(BA8:BA31))</f>
        <v>2063.8999999999996</v>
      </c>
      <c r="BB32" s="70"/>
      <c r="BC32" s="72">
        <f>ABS(SUM(BC8:BC31))</f>
        <v>2031.8000000000002</v>
      </c>
    </row>
    <row r="34" spans="30:55" ht="15" thickBot="1">
      <c r="AD34" s="476">
        <f>skemA1!B6</f>
        <v>44710</v>
      </c>
    </row>
    <row r="35" spans="30:55" ht="15" thickBot="1">
      <c r="AD35" s="677" t="s">
        <v>75</v>
      </c>
      <c r="AE35" s="60" t="s">
        <v>558</v>
      </c>
      <c r="AF35" s="672" t="s">
        <v>559</v>
      </c>
      <c r="AG35" s="672"/>
      <c r="AH35" s="672"/>
      <c r="AI35" s="673"/>
      <c r="AJ35" s="672" t="s">
        <v>562</v>
      </c>
      <c r="AK35" s="672"/>
      <c r="AL35" s="672"/>
      <c r="AM35" s="673"/>
      <c r="AN35" s="672" t="s">
        <v>563</v>
      </c>
      <c r="AO35" s="672"/>
      <c r="AP35" s="672"/>
      <c r="AQ35" s="673"/>
      <c r="AR35" s="672" t="s">
        <v>564</v>
      </c>
      <c r="AS35" s="672"/>
      <c r="AT35" s="672"/>
      <c r="AU35" s="673"/>
      <c r="AV35" s="672" t="s">
        <v>565</v>
      </c>
      <c r="AW35" s="672"/>
      <c r="AX35" s="672"/>
      <c r="AY35" s="673"/>
      <c r="AZ35" s="672" t="s">
        <v>566</v>
      </c>
      <c r="BA35" s="672"/>
      <c r="BB35" s="672"/>
      <c r="BC35" s="673"/>
    </row>
    <row r="36" spans="30:55" ht="15" thickBot="1">
      <c r="AD36" s="677"/>
      <c r="AE36" s="61"/>
      <c r="AF36" s="674" t="s">
        <v>561</v>
      </c>
      <c r="AG36" s="670" t="s">
        <v>560</v>
      </c>
      <c r="AH36" s="670"/>
      <c r="AI36" s="671"/>
      <c r="AJ36" s="674" t="s">
        <v>561</v>
      </c>
      <c r="AK36" s="670" t="s">
        <v>560</v>
      </c>
      <c r="AL36" s="670"/>
      <c r="AM36" s="671"/>
      <c r="AN36" s="674" t="s">
        <v>561</v>
      </c>
      <c r="AO36" s="670" t="s">
        <v>560</v>
      </c>
      <c r="AP36" s="670"/>
      <c r="AQ36" s="671"/>
      <c r="AR36" s="674" t="s">
        <v>561</v>
      </c>
      <c r="AS36" s="670" t="s">
        <v>560</v>
      </c>
      <c r="AT36" s="670"/>
      <c r="AU36" s="671"/>
      <c r="AV36" s="674" t="s">
        <v>561</v>
      </c>
      <c r="AW36" s="670" t="s">
        <v>560</v>
      </c>
      <c r="AX36" s="670"/>
      <c r="AY36" s="671"/>
      <c r="AZ36" s="674" t="s">
        <v>561</v>
      </c>
      <c r="BA36" s="670" t="s">
        <v>560</v>
      </c>
      <c r="BB36" s="670"/>
      <c r="BC36" s="671"/>
    </row>
    <row r="37" spans="30:55">
      <c r="AD37" s="677"/>
      <c r="AE37" s="62"/>
      <c r="AF37" s="674"/>
      <c r="AG37" s="63" t="s">
        <v>76</v>
      </c>
      <c r="AH37" s="63">
        <v>0</v>
      </c>
      <c r="AI37" s="64" t="s">
        <v>77</v>
      </c>
      <c r="AJ37" s="674"/>
      <c r="AK37" s="63" t="s">
        <v>76</v>
      </c>
      <c r="AL37" s="63">
        <v>0</v>
      </c>
      <c r="AM37" s="64" t="s">
        <v>77</v>
      </c>
      <c r="AN37" s="674"/>
      <c r="AO37" s="63" t="s">
        <v>76</v>
      </c>
      <c r="AP37" s="63">
        <v>0</v>
      </c>
      <c r="AQ37" s="64" t="s">
        <v>77</v>
      </c>
      <c r="AR37" s="674"/>
      <c r="AS37" s="63" t="s">
        <v>76</v>
      </c>
      <c r="AT37" s="63">
        <v>0</v>
      </c>
      <c r="AU37" s="64" t="s">
        <v>77</v>
      </c>
      <c r="AV37" s="674"/>
      <c r="AW37" s="63" t="s">
        <v>76</v>
      </c>
      <c r="AX37" s="63">
        <v>0</v>
      </c>
      <c r="AY37" s="64" t="s">
        <v>77</v>
      </c>
      <c r="AZ37" s="674"/>
      <c r="BA37" s="63" t="s">
        <v>76</v>
      </c>
      <c r="BB37" s="63">
        <v>0</v>
      </c>
      <c r="BC37" s="64" t="s">
        <v>77</v>
      </c>
    </row>
    <row r="38" spans="30:55">
      <c r="AD38" s="65" t="str">
        <f t="array" ref="AD38:AD61">TRANSPOSE($C$5:$Z$5)</f>
        <v>00</v>
      </c>
      <c r="AE38" s="66">
        <f t="array" ref="AE38:AE61">TRANSPOSE(skemA1!$C$6:$Z$6)</f>
        <v>113.79999999999998</v>
      </c>
      <c r="AF38" s="66">
        <f t="array" ref="AF38:AF61">TRANSPOSE($C$6:$Z$6)</f>
        <v>-1</v>
      </c>
      <c r="AG38" s="66" t="str">
        <f>IF(AF38&gt;0,AF38*$AE38,"")</f>
        <v/>
      </c>
      <c r="AH38" s="66" t="str">
        <f>IF(AF38=0,AF38*$AE38,"")</f>
        <v/>
      </c>
      <c r="AI38" s="67">
        <f>IF(AF38&lt;0,AF38*$AE38,"")</f>
        <v>-113.79999999999998</v>
      </c>
      <c r="AJ38" s="66">
        <f t="array" ref="AJ38:AJ61">TRANSPOSE($C$7:$Z$7)</f>
        <v>-1</v>
      </c>
      <c r="AK38" s="66" t="str">
        <f>IF(AJ38&gt;0,AJ38*$AE38,"")</f>
        <v/>
      </c>
      <c r="AL38" s="66" t="str">
        <f>IF(AJ38=0,AJ38*$AE38,"")</f>
        <v/>
      </c>
      <c r="AM38" s="67">
        <f>IF(AJ38&lt;0,AJ38*$AE38,"")</f>
        <v>-113.79999999999998</v>
      </c>
      <c r="AN38" s="66">
        <f t="array" ref="AN38:AN61">TRANSPOSE($C$8:$Z$8)</f>
        <v>1</v>
      </c>
      <c r="AO38" s="66">
        <f>IF(AN38&gt;0,AN38*$AE38,"")</f>
        <v>113.79999999999998</v>
      </c>
      <c r="AP38" s="66" t="str">
        <f>IF(AN38=0,AN38*$AE38,"")</f>
        <v/>
      </c>
      <c r="AQ38" s="67" t="str">
        <f>IF(AN38&lt;0,AN38*$AE38,"")</f>
        <v/>
      </c>
      <c r="AR38" s="66">
        <f t="array" ref="AR38:AR61">TRANSPOSE($C$9:$Z$9)</f>
        <v>1</v>
      </c>
      <c r="AS38" s="66">
        <f>IF(AR38&gt;0,AR38*$AE38,"")</f>
        <v>113.79999999999998</v>
      </c>
      <c r="AT38" s="66" t="str">
        <f>IF(AR38=0,AR38*$AE38,"")</f>
        <v/>
      </c>
      <c r="AU38" s="67" t="str">
        <f>IF(AR38&lt;0,AR38*$AE38,"")</f>
        <v/>
      </c>
      <c r="AV38" s="66">
        <f t="array" ref="AV38:AV61">TRANSPOSE($C$10:$Z$10)</f>
        <v>1</v>
      </c>
      <c r="AW38" s="66">
        <f t="shared" ref="AW38:AW61" si="18">IF(AV38&gt;0,AV38*$AE38,"")</f>
        <v>113.79999999999998</v>
      </c>
      <c r="AX38" s="66" t="str">
        <f t="shared" ref="AX38:AX61" si="19">IF(AV38=0,AV38*$AE38,"")</f>
        <v/>
      </c>
      <c r="AY38" s="67" t="str">
        <f t="shared" ref="AY38:AY61" si="20">IF(AV38&lt;0,AV38*$AE38,"")</f>
        <v/>
      </c>
      <c r="AZ38" s="66">
        <f t="array" ref="AZ38:AZ61">TRANSPOSE($C$11:$Z$11)</f>
        <v>1</v>
      </c>
      <c r="BA38" s="66">
        <f t="shared" ref="BA38:BA61" si="21">IF(AZ38&gt;0,AZ38*$AE38,"")</f>
        <v>113.79999999999998</v>
      </c>
      <c r="BB38" s="66" t="str">
        <f t="shared" ref="BB38:BB61" si="22">IF(AZ38=0,AZ38*$AE38,"")</f>
        <v/>
      </c>
      <c r="BC38" s="67" t="str">
        <f t="shared" ref="BC38:BC61" si="23">IF(AZ38&lt;0,AZ38*$AE38,"")</f>
        <v/>
      </c>
    </row>
    <row r="39" spans="30:55">
      <c r="AD39" s="68" t="str">
        <v>01</v>
      </c>
      <c r="AE39" s="61">
        <v>143.9</v>
      </c>
      <c r="AF39" s="61">
        <v>-1</v>
      </c>
      <c r="AG39" s="66" t="str">
        <f t="shared" ref="AG39:AG61" si="24">IF(AF39&gt;0,AF39*$AE39,"")</f>
        <v/>
      </c>
      <c r="AH39" s="66" t="str">
        <f t="shared" ref="AH39:AH61" si="25">IF(AF39=0,AF39*$AE39,"")</f>
        <v/>
      </c>
      <c r="AI39" s="67">
        <f t="shared" ref="AI39:AI61" si="26">IF(AF39&lt;0,AF39*$AE39,"")</f>
        <v>-143.9</v>
      </c>
      <c r="AJ39" s="61">
        <v>-1</v>
      </c>
      <c r="AK39" s="66" t="str">
        <f t="shared" ref="AK39:AK61" si="27">IF(AJ39&gt;0,AJ39*$AE39,"")</f>
        <v/>
      </c>
      <c r="AL39" s="66" t="str">
        <f t="shared" ref="AL39:AL61" si="28">IF(AJ39=0,AJ39*$AE39,"")</f>
        <v/>
      </c>
      <c r="AM39" s="67">
        <f t="shared" ref="AM39:AM61" si="29">IF(AJ39&lt;0,AJ39*$AE39,"")</f>
        <v>-143.9</v>
      </c>
      <c r="AN39" s="61">
        <v>1</v>
      </c>
      <c r="AO39" s="66">
        <f t="shared" ref="AO39:AO61" si="30">IF(AN39&gt;0,AN39*$AE39,"")</f>
        <v>143.9</v>
      </c>
      <c r="AP39" s="66" t="str">
        <f t="shared" ref="AP39:AP61" si="31">IF(AN39=0,AN39*$AE39,"")</f>
        <v/>
      </c>
      <c r="AQ39" s="67" t="str">
        <f t="shared" ref="AQ39:AQ61" si="32">IF(AN39&lt;0,AN39*$AE39,"")</f>
        <v/>
      </c>
      <c r="AR39" s="61">
        <v>1</v>
      </c>
      <c r="AS39" s="66">
        <f t="shared" ref="AS39:AS61" si="33">IF(AR39&gt;0,AR39*$AE39,"")</f>
        <v>143.9</v>
      </c>
      <c r="AT39" s="66" t="str">
        <f t="shared" ref="AT39:AT61" si="34">IF(AR39=0,AR39*$AE39,"")</f>
        <v/>
      </c>
      <c r="AU39" s="67" t="str">
        <f t="shared" ref="AU39:AU61" si="35">IF(AR39&lt;0,AR39*$AE39,"")</f>
        <v/>
      </c>
      <c r="AV39" s="61">
        <v>0</v>
      </c>
      <c r="AW39" s="66" t="str">
        <f t="shared" si="18"/>
        <v/>
      </c>
      <c r="AX39" s="66">
        <f t="shared" si="19"/>
        <v>0</v>
      </c>
      <c r="AY39" s="67" t="str">
        <f t="shared" si="20"/>
        <v/>
      </c>
      <c r="AZ39" s="61">
        <v>1</v>
      </c>
      <c r="BA39" s="66">
        <f t="shared" si="21"/>
        <v>143.9</v>
      </c>
      <c r="BB39" s="66" t="str">
        <f t="shared" si="22"/>
        <v/>
      </c>
      <c r="BC39" s="67" t="str">
        <f t="shared" si="23"/>
        <v/>
      </c>
    </row>
    <row r="40" spans="30:55">
      <c r="AD40" s="68" t="str">
        <v>02</v>
      </c>
      <c r="AE40" s="61">
        <v>184.7</v>
      </c>
      <c r="AF40" s="61">
        <v>-1</v>
      </c>
      <c r="AG40" s="66" t="str">
        <f t="shared" si="24"/>
        <v/>
      </c>
      <c r="AH40" s="66" t="str">
        <f t="shared" si="25"/>
        <v/>
      </c>
      <c r="AI40" s="67">
        <f t="shared" si="26"/>
        <v>-184.7</v>
      </c>
      <c r="AJ40" s="61">
        <v>-1</v>
      </c>
      <c r="AK40" s="66" t="str">
        <f t="shared" si="27"/>
        <v/>
      </c>
      <c r="AL40" s="66" t="str">
        <f t="shared" si="28"/>
        <v/>
      </c>
      <c r="AM40" s="67">
        <f t="shared" si="29"/>
        <v>-184.7</v>
      </c>
      <c r="AN40" s="61">
        <v>1</v>
      </c>
      <c r="AO40" s="66">
        <f t="shared" si="30"/>
        <v>184.7</v>
      </c>
      <c r="AP40" s="66" t="str">
        <f t="shared" si="31"/>
        <v/>
      </c>
      <c r="AQ40" s="67" t="str">
        <f t="shared" si="32"/>
        <v/>
      </c>
      <c r="AR40" s="61">
        <v>1</v>
      </c>
      <c r="AS40" s="66">
        <f t="shared" si="33"/>
        <v>184.7</v>
      </c>
      <c r="AT40" s="66" t="str">
        <f t="shared" si="34"/>
        <v/>
      </c>
      <c r="AU40" s="67" t="str">
        <f t="shared" si="35"/>
        <v/>
      </c>
      <c r="AV40" s="61">
        <v>-1</v>
      </c>
      <c r="AW40" s="66" t="str">
        <f t="shared" si="18"/>
        <v/>
      </c>
      <c r="AX40" s="66" t="str">
        <f t="shared" si="19"/>
        <v/>
      </c>
      <c r="AY40" s="67">
        <f t="shared" si="20"/>
        <v>-184.7</v>
      </c>
      <c r="AZ40" s="61">
        <v>1</v>
      </c>
      <c r="BA40" s="66">
        <f t="shared" si="21"/>
        <v>184.7</v>
      </c>
      <c r="BB40" s="66" t="str">
        <f t="shared" si="22"/>
        <v/>
      </c>
      <c r="BC40" s="67" t="str">
        <f t="shared" si="23"/>
        <v/>
      </c>
    </row>
    <row r="41" spans="30:55">
      <c r="AD41" s="68" t="str">
        <v>03</v>
      </c>
      <c r="AE41" s="61">
        <v>222.29999999999998</v>
      </c>
      <c r="AF41" s="61">
        <v>-1</v>
      </c>
      <c r="AG41" s="66" t="str">
        <f t="shared" si="24"/>
        <v/>
      </c>
      <c r="AH41" s="66" t="str">
        <f t="shared" si="25"/>
        <v/>
      </c>
      <c r="AI41" s="67">
        <f t="shared" si="26"/>
        <v>-222.29999999999998</v>
      </c>
      <c r="AJ41" s="61">
        <v>-1</v>
      </c>
      <c r="AK41" s="66" t="str">
        <f t="shared" si="27"/>
        <v/>
      </c>
      <c r="AL41" s="66" t="str">
        <f t="shared" si="28"/>
        <v/>
      </c>
      <c r="AM41" s="67">
        <f t="shared" si="29"/>
        <v>-222.29999999999998</v>
      </c>
      <c r="AN41" s="61">
        <v>-1</v>
      </c>
      <c r="AO41" s="66" t="str">
        <f t="shared" si="30"/>
        <v/>
      </c>
      <c r="AP41" s="66" t="str">
        <f t="shared" si="31"/>
        <v/>
      </c>
      <c r="AQ41" s="67">
        <f t="shared" si="32"/>
        <v>-222.29999999999998</v>
      </c>
      <c r="AR41" s="61">
        <v>1</v>
      </c>
      <c r="AS41" s="66">
        <f t="shared" si="33"/>
        <v>222.29999999999998</v>
      </c>
      <c r="AT41" s="66" t="str">
        <f t="shared" si="34"/>
        <v/>
      </c>
      <c r="AU41" s="67" t="str">
        <f t="shared" si="35"/>
        <v/>
      </c>
      <c r="AV41" s="61">
        <v>-1</v>
      </c>
      <c r="AW41" s="66" t="str">
        <f t="shared" si="18"/>
        <v/>
      </c>
      <c r="AX41" s="66" t="str">
        <f t="shared" si="19"/>
        <v/>
      </c>
      <c r="AY41" s="67">
        <f t="shared" si="20"/>
        <v>-222.29999999999998</v>
      </c>
      <c r="AZ41" s="61">
        <v>-1</v>
      </c>
      <c r="BA41" s="66" t="str">
        <f t="shared" si="21"/>
        <v/>
      </c>
      <c r="BB41" s="66" t="str">
        <f t="shared" si="22"/>
        <v/>
      </c>
      <c r="BC41" s="67">
        <f t="shared" si="23"/>
        <v>-222.29999999999998</v>
      </c>
    </row>
    <row r="42" spans="30:55">
      <c r="AD42" s="68" t="str">
        <v>04</v>
      </c>
      <c r="AE42" s="61">
        <v>249.10000000000002</v>
      </c>
      <c r="AF42" s="61">
        <v>-1</v>
      </c>
      <c r="AG42" s="66" t="str">
        <f t="shared" si="24"/>
        <v/>
      </c>
      <c r="AH42" s="66" t="str">
        <f t="shared" si="25"/>
        <v/>
      </c>
      <c r="AI42" s="67">
        <f t="shared" si="26"/>
        <v>-249.10000000000002</v>
      </c>
      <c r="AJ42" s="61">
        <v>-1</v>
      </c>
      <c r="AK42" s="66" t="str">
        <f t="shared" si="27"/>
        <v/>
      </c>
      <c r="AL42" s="66" t="str">
        <f t="shared" si="28"/>
        <v/>
      </c>
      <c r="AM42" s="67">
        <f t="shared" si="29"/>
        <v>-249.10000000000002</v>
      </c>
      <c r="AN42" s="61">
        <v>-1</v>
      </c>
      <c r="AO42" s="66" t="str">
        <f t="shared" si="30"/>
        <v/>
      </c>
      <c r="AP42" s="66" t="str">
        <f t="shared" si="31"/>
        <v/>
      </c>
      <c r="AQ42" s="67">
        <f t="shared" si="32"/>
        <v>-249.10000000000002</v>
      </c>
      <c r="AR42" s="61">
        <v>1</v>
      </c>
      <c r="AS42" s="66">
        <f t="shared" si="33"/>
        <v>249.10000000000002</v>
      </c>
      <c r="AT42" s="66" t="str">
        <f t="shared" si="34"/>
        <v/>
      </c>
      <c r="AU42" s="67" t="str">
        <f t="shared" si="35"/>
        <v/>
      </c>
      <c r="AV42" s="61">
        <v>0</v>
      </c>
      <c r="AW42" s="66" t="str">
        <f t="shared" si="18"/>
        <v/>
      </c>
      <c r="AX42" s="66">
        <f t="shared" si="19"/>
        <v>0</v>
      </c>
      <c r="AY42" s="67" t="str">
        <f t="shared" si="20"/>
        <v/>
      </c>
      <c r="AZ42" s="61">
        <v>-1</v>
      </c>
      <c r="BA42" s="66" t="str">
        <f t="shared" si="21"/>
        <v/>
      </c>
      <c r="BB42" s="66" t="str">
        <f t="shared" si="22"/>
        <v/>
      </c>
      <c r="BC42" s="67">
        <f t="shared" si="23"/>
        <v>-249.10000000000002</v>
      </c>
    </row>
    <row r="43" spans="30:55">
      <c r="AD43" s="68" t="str">
        <v>05</v>
      </c>
      <c r="AE43" s="61">
        <v>258.10000000000002</v>
      </c>
      <c r="AF43" s="61">
        <v>-1</v>
      </c>
      <c r="AG43" s="66" t="str">
        <f t="shared" si="24"/>
        <v/>
      </c>
      <c r="AH43" s="66" t="str">
        <f t="shared" si="25"/>
        <v/>
      </c>
      <c r="AI43" s="67">
        <f t="shared" si="26"/>
        <v>-258.10000000000002</v>
      </c>
      <c r="AJ43" s="61">
        <v>-1</v>
      </c>
      <c r="AK43" s="66" t="str">
        <f t="shared" si="27"/>
        <v/>
      </c>
      <c r="AL43" s="66" t="str">
        <f t="shared" si="28"/>
        <v/>
      </c>
      <c r="AM43" s="67">
        <f t="shared" si="29"/>
        <v>-258.10000000000002</v>
      </c>
      <c r="AN43" s="61">
        <v>-1</v>
      </c>
      <c r="AO43" s="66" t="str">
        <f t="shared" si="30"/>
        <v/>
      </c>
      <c r="AP43" s="66" t="str">
        <f t="shared" si="31"/>
        <v/>
      </c>
      <c r="AQ43" s="67">
        <f t="shared" si="32"/>
        <v>-258.10000000000002</v>
      </c>
      <c r="AR43" s="61">
        <v>1</v>
      </c>
      <c r="AS43" s="66">
        <f t="shared" si="33"/>
        <v>258.10000000000002</v>
      </c>
      <c r="AT43" s="66" t="str">
        <f t="shared" si="34"/>
        <v/>
      </c>
      <c r="AU43" s="67" t="str">
        <f t="shared" si="35"/>
        <v/>
      </c>
      <c r="AV43" s="61">
        <v>1</v>
      </c>
      <c r="AW43" s="66">
        <f t="shared" si="18"/>
        <v>258.10000000000002</v>
      </c>
      <c r="AX43" s="66" t="str">
        <f t="shared" si="19"/>
        <v/>
      </c>
      <c r="AY43" s="67" t="str">
        <f t="shared" si="20"/>
        <v/>
      </c>
      <c r="AZ43" s="61">
        <v>-1</v>
      </c>
      <c r="BA43" s="66" t="str">
        <f t="shared" si="21"/>
        <v/>
      </c>
      <c r="BB43" s="66" t="str">
        <f t="shared" si="22"/>
        <v/>
      </c>
      <c r="BC43" s="67">
        <f t="shared" si="23"/>
        <v>-258.10000000000002</v>
      </c>
    </row>
    <row r="44" spans="30:55">
      <c r="AD44" s="68" t="str">
        <v>06</v>
      </c>
      <c r="AE44" s="61">
        <v>251.9</v>
      </c>
      <c r="AF44" s="61">
        <v>1</v>
      </c>
      <c r="AG44" s="66">
        <f t="shared" si="24"/>
        <v>251.9</v>
      </c>
      <c r="AH44" s="66" t="str">
        <f t="shared" si="25"/>
        <v/>
      </c>
      <c r="AI44" s="67" t="str">
        <f t="shared" si="26"/>
        <v/>
      </c>
      <c r="AJ44" s="61">
        <v>-1</v>
      </c>
      <c r="AK44" s="66" t="str">
        <f t="shared" si="27"/>
        <v/>
      </c>
      <c r="AL44" s="66" t="str">
        <f t="shared" si="28"/>
        <v/>
      </c>
      <c r="AM44" s="67">
        <f t="shared" si="29"/>
        <v>-251.9</v>
      </c>
      <c r="AN44" s="61">
        <v>-1</v>
      </c>
      <c r="AO44" s="66" t="str">
        <f t="shared" si="30"/>
        <v/>
      </c>
      <c r="AP44" s="66" t="str">
        <f t="shared" si="31"/>
        <v/>
      </c>
      <c r="AQ44" s="67">
        <f t="shared" si="32"/>
        <v>-251.9</v>
      </c>
      <c r="AR44" s="61">
        <v>-1</v>
      </c>
      <c r="AS44" s="66" t="str">
        <f t="shared" si="33"/>
        <v/>
      </c>
      <c r="AT44" s="66" t="str">
        <f t="shared" si="34"/>
        <v/>
      </c>
      <c r="AU44" s="67">
        <f t="shared" si="35"/>
        <v>-251.9</v>
      </c>
      <c r="AV44" s="61">
        <v>1</v>
      </c>
      <c r="AW44" s="66">
        <f t="shared" si="18"/>
        <v>251.9</v>
      </c>
      <c r="AX44" s="66" t="str">
        <f t="shared" si="19"/>
        <v/>
      </c>
      <c r="AY44" s="67" t="str">
        <f t="shared" si="20"/>
        <v/>
      </c>
      <c r="AZ44" s="61">
        <v>1</v>
      </c>
      <c r="BA44" s="66">
        <f t="shared" si="21"/>
        <v>251.9</v>
      </c>
      <c r="BB44" s="66" t="str">
        <f t="shared" si="22"/>
        <v/>
      </c>
      <c r="BC44" s="67" t="str">
        <f t="shared" si="23"/>
        <v/>
      </c>
    </row>
    <row r="45" spans="30:55">
      <c r="AD45" s="68" t="str">
        <v>07</v>
      </c>
      <c r="AE45" s="61">
        <v>232.6</v>
      </c>
      <c r="AF45" s="61">
        <v>1</v>
      </c>
      <c r="AG45" s="66">
        <f t="shared" si="24"/>
        <v>232.6</v>
      </c>
      <c r="AH45" s="66" t="str">
        <f t="shared" si="25"/>
        <v/>
      </c>
      <c r="AI45" s="67" t="str">
        <f t="shared" si="26"/>
        <v/>
      </c>
      <c r="AJ45" s="61">
        <v>-1</v>
      </c>
      <c r="AK45" s="66" t="str">
        <f t="shared" si="27"/>
        <v/>
      </c>
      <c r="AL45" s="66" t="str">
        <f t="shared" si="28"/>
        <v/>
      </c>
      <c r="AM45" s="67">
        <f t="shared" si="29"/>
        <v>-232.6</v>
      </c>
      <c r="AN45" s="61">
        <v>-1</v>
      </c>
      <c r="AO45" s="66" t="str">
        <f t="shared" si="30"/>
        <v/>
      </c>
      <c r="AP45" s="66" t="str">
        <f t="shared" si="31"/>
        <v/>
      </c>
      <c r="AQ45" s="67">
        <f t="shared" si="32"/>
        <v>-232.6</v>
      </c>
      <c r="AR45" s="61">
        <v>-1</v>
      </c>
      <c r="AS45" s="66" t="str">
        <f t="shared" si="33"/>
        <v/>
      </c>
      <c r="AT45" s="66" t="str">
        <f t="shared" si="34"/>
        <v/>
      </c>
      <c r="AU45" s="67">
        <f t="shared" si="35"/>
        <v>-232.6</v>
      </c>
      <c r="AV45" s="61">
        <v>0</v>
      </c>
      <c r="AW45" s="66" t="str">
        <f t="shared" si="18"/>
        <v/>
      </c>
      <c r="AX45" s="66">
        <f t="shared" si="19"/>
        <v>0</v>
      </c>
      <c r="AY45" s="67" t="str">
        <f t="shared" si="20"/>
        <v/>
      </c>
      <c r="AZ45" s="61">
        <v>1</v>
      </c>
      <c r="BA45" s="66">
        <f t="shared" si="21"/>
        <v>232.6</v>
      </c>
      <c r="BB45" s="66" t="str">
        <f t="shared" si="22"/>
        <v/>
      </c>
      <c r="BC45" s="67" t="str">
        <f t="shared" si="23"/>
        <v/>
      </c>
    </row>
    <row r="46" spans="30:55">
      <c r="AD46" s="68" t="str">
        <v>08</v>
      </c>
      <c r="AE46" s="61">
        <v>202.4</v>
      </c>
      <c r="AF46" s="61">
        <v>1</v>
      </c>
      <c r="AG46" s="66">
        <f t="shared" si="24"/>
        <v>202.4</v>
      </c>
      <c r="AH46" s="66" t="str">
        <f t="shared" si="25"/>
        <v/>
      </c>
      <c r="AI46" s="67" t="str">
        <f t="shared" si="26"/>
        <v/>
      </c>
      <c r="AJ46" s="61">
        <v>-1</v>
      </c>
      <c r="AK46" s="66" t="str">
        <f t="shared" si="27"/>
        <v/>
      </c>
      <c r="AL46" s="66" t="str">
        <f t="shared" si="28"/>
        <v/>
      </c>
      <c r="AM46" s="67">
        <f t="shared" si="29"/>
        <v>-202.4</v>
      </c>
      <c r="AN46" s="61">
        <v>-1</v>
      </c>
      <c r="AO46" s="66" t="str">
        <f t="shared" si="30"/>
        <v/>
      </c>
      <c r="AP46" s="66" t="str">
        <f t="shared" si="31"/>
        <v/>
      </c>
      <c r="AQ46" s="67">
        <f t="shared" si="32"/>
        <v>-202.4</v>
      </c>
      <c r="AR46" s="61">
        <v>-1</v>
      </c>
      <c r="AS46" s="66" t="str">
        <f t="shared" si="33"/>
        <v/>
      </c>
      <c r="AT46" s="66" t="str">
        <f t="shared" si="34"/>
        <v/>
      </c>
      <c r="AU46" s="67">
        <f t="shared" si="35"/>
        <v>-202.4</v>
      </c>
      <c r="AV46" s="61">
        <v>-1</v>
      </c>
      <c r="AW46" s="66" t="str">
        <f t="shared" si="18"/>
        <v/>
      </c>
      <c r="AX46" s="66" t="str">
        <f t="shared" si="19"/>
        <v/>
      </c>
      <c r="AY46" s="67">
        <f t="shared" si="20"/>
        <v>-202.4</v>
      </c>
      <c r="AZ46" s="61">
        <v>1</v>
      </c>
      <c r="BA46" s="66">
        <f t="shared" si="21"/>
        <v>202.4</v>
      </c>
      <c r="BB46" s="66" t="str">
        <f t="shared" si="22"/>
        <v/>
      </c>
      <c r="BC46" s="67" t="str">
        <f t="shared" si="23"/>
        <v/>
      </c>
    </row>
    <row r="47" spans="30:55">
      <c r="AD47" s="68" t="str">
        <v>09</v>
      </c>
      <c r="AE47" s="61">
        <v>171.9</v>
      </c>
      <c r="AF47" s="61">
        <v>1</v>
      </c>
      <c r="AG47" s="66">
        <f t="shared" si="24"/>
        <v>171.9</v>
      </c>
      <c r="AH47" s="66" t="str">
        <f t="shared" si="25"/>
        <v/>
      </c>
      <c r="AI47" s="67" t="str">
        <f t="shared" si="26"/>
        <v/>
      </c>
      <c r="AJ47" s="61">
        <v>-1</v>
      </c>
      <c r="AK47" s="66" t="str">
        <f t="shared" si="27"/>
        <v/>
      </c>
      <c r="AL47" s="66" t="str">
        <f t="shared" si="28"/>
        <v/>
      </c>
      <c r="AM47" s="67">
        <f t="shared" si="29"/>
        <v>-171.9</v>
      </c>
      <c r="AN47" s="61">
        <v>1</v>
      </c>
      <c r="AO47" s="66">
        <f t="shared" si="30"/>
        <v>171.9</v>
      </c>
      <c r="AP47" s="66" t="str">
        <f t="shared" si="31"/>
        <v/>
      </c>
      <c r="AQ47" s="67" t="str">
        <f t="shared" si="32"/>
        <v/>
      </c>
      <c r="AR47" s="61">
        <v>-1</v>
      </c>
      <c r="AS47" s="66" t="str">
        <f t="shared" si="33"/>
        <v/>
      </c>
      <c r="AT47" s="66" t="str">
        <f t="shared" si="34"/>
        <v/>
      </c>
      <c r="AU47" s="67">
        <f t="shared" si="35"/>
        <v>-171.9</v>
      </c>
      <c r="AV47" s="61">
        <v>-1</v>
      </c>
      <c r="AW47" s="66" t="str">
        <f t="shared" si="18"/>
        <v/>
      </c>
      <c r="AX47" s="66" t="str">
        <f t="shared" si="19"/>
        <v/>
      </c>
      <c r="AY47" s="67">
        <f t="shared" si="20"/>
        <v>-171.9</v>
      </c>
      <c r="AZ47" s="61">
        <v>-1</v>
      </c>
      <c r="BA47" s="66" t="str">
        <f t="shared" si="21"/>
        <v/>
      </c>
      <c r="BB47" s="66" t="str">
        <f t="shared" si="22"/>
        <v/>
      </c>
      <c r="BC47" s="67">
        <f t="shared" si="23"/>
        <v>-171.9</v>
      </c>
    </row>
    <row r="48" spans="30:55">
      <c r="AD48" s="68" t="str">
        <v>10</v>
      </c>
      <c r="AE48" s="61">
        <v>144.1</v>
      </c>
      <c r="AF48" s="61">
        <v>1</v>
      </c>
      <c r="AG48" s="66">
        <f t="shared" si="24"/>
        <v>144.1</v>
      </c>
      <c r="AH48" s="66" t="str">
        <f t="shared" si="25"/>
        <v/>
      </c>
      <c r="AI48" s="67" t="str">
        <f t="shared" si="26"/>
        <v/>
      </c>
      <c r="AJ48" s="61">
        <v>-1</v>
      </c>
      <c r="AK48" s="66" t="str">
        <f t="shared" si="27"/>
        <v/>
      </c>
      <c r="AL48" s="66" t="str">
        <f t="shared" si="28"/>
        <v/>
      </c>
      <c r="AM48" s="67">
        <f t="shared" si="29"/>
        <v>-144.1</v>
      </c>
      <c r="AN48" s="61">
        <v>1</v>
      </c>
      <c r="AO48" s="66">
        <f t="shared" si="30"/>
        <v>144.1</v>
      </c>
      <c r="AP48" s="66" t="str">
        <f t="shared" si="31"/>
        <v/>
      </c>
      <c r="AQ48" s="67" t="str">
        <f t="shared" si="32"/>
        <v/>
      </c>
      <c r="AR48" s="61">
        <v>-1</v>
      </c>
      <c r="AS48" s="66" t="str">
        <f t="shared" si="33"/>
        <v/>
      </c>
      <c r="AT48" s="66" t="str">
        <f t="shared" si="34"/>
        <v/>
      </c>
      <c r="AU48" s="67">
        <f t="shared" si="35"/>
        <v>-144.1</v>
      </c>
      <c r="AV48" s="61">
        <v>0</v>
      </c>
      <c r="AW48" s="66" t="str">
        <f t="shared" si="18"/>
        <v/>
      </c>
      <c r="AX48" s="66">
        <f t="shared" si="19"/>
        <v>0</v>
      </c>
      <c r="AY48" s="67" t="str">
        <f t="shared" si="20"/>
        <v/>
      </c>
      <c r="AZ48" s="61">
        <v>-1</v>
      </c>
      <c r="BA48" s="66" t="str">
        <f t="shared" si="21"/>
        <v/>
      </c>
      <c r="BB48" s="66" t="str">
        <f t="shared" si="22"/>
        <v/>
      </c>
      <c r="BC48" s="67">
        <f t="shared" si="23"/>
        <v>-144.1</v>
      </c>
    </row>
    <row r="49" spans="29:55">
      <c r="AD49" s="68" t="str">
        <v>11</v>
      </c>
      <c r="AE49" s="61">
        <v>125.29999999999998</v>
      </c>
      <c r="AF49" s="61">
        <v>1</v>
      </c>
      <c r="AG49" s="66">
        <f t="shared" si="24"/>
        <v>125.29999999999998</v>
      </c>
      <c r="AH49" s="66" t="str">
        <f t="shared" si="25"/>
        <v/>
      </c>
      <c r="AI49" s="67" t="str">
        <f t="shared" si="26"/>
        <v/>
      </c>
      <c r="AJ49" s="61">
        <v>-1</v>
      </c>
      <c r="AK49" s="66" t="str">
        <f t="shared" si="27"/>
        <v/>
      </c>
      <c r="AL49" s="66" t="str">
        <f t="shared" si="28"/>
        <v/>
      </c>
      <c r="AM49" s="67">
        <f t="shared" si="29"/>
        <v>-125.29999999999998</v>
      </c>
      <c r="AN49" s="61">
        <v>1</v>
      </c>
      <c r="AO49" s="66">
        <f t="shared" si="30"/>
        <v>125.29999999999998</v>
      </c>
      <c r="AP49" s="66" t="str">
        <f t="shared" si="31"/>
        <v/>
      </c>
      <c r="AQ49" s="67" t="str">
        <f t="shared" si="32"/>
        <v/>
      </c>
      <c r="AR49" s="61">
        <v>-1</v>
      </c>
      <c r="AS49" s="66" t="str">
        <f t="shared" si="33"/>
        <v/>
      </c>
      <c r="AT49" s="66" t="str">
        <f t="shared" si="34"/>
        <v/>
      </c>
      <c r="AU49" s="67">
        <f t="shared" si="35"/>
        <v>-125.29999999999998</v>
      </c>
      <c r="AV49" s="61">
        <v>1</v>
      </c>
      <c r="AW49" s="66">
        <f t="shared" si="18"/>
        <v>125.29999999999998</v>
      </c>
      <c r="AX49" s="66" t="str">
        <f t="shared" si="19"/>
        <v/>
      </c>
      <c r="AY49" s="67" t="str">
        <f t="shared" si="20"/>
        <v/>
      </c>
      <c r="AZ49" s="61">
        <v>-1</v>
      </c>
      <c r="BA49" s="66" t="str">
        <f t="shared" si="21"/>
        <v/>
      </c>
      <c r="BB49" s="66" t="str">
        <f t="shared" si="22"/>
        <v/>
      </c>
      <c r="BC49" s="67">
        <f t="shared" si="23"/>
        <v>-125.29999999999998</v>
      </c>
    </row>
    <row r="50" spans="29:55">
      <c r="AD50" s="68" t="str">
        <v>12</v>
      </c>
      <c r="AE50" s="61">
        <v>123.2</v>
      </c>
      <c r="AF50" s="61">
        <v>1</v>
      </c>
      <c r="AG50" s="66">
        <f t="shared" si="24"/>
        <v>123.2</v>
      </c>
      <c r="AH50" s="66" t="str">
        <f t="shared" si="25"/>
        <v/>
      </c>
      <c r="AI50" s="67" t="str">
        <f t="shared" si="26"/>
        <v/>
      </c>
      <c r="AJ50" s="61">
        <v>1</v>
      </c>
      <c r="AK50" s="66">
        <f t="shared" si="27"/>
        <v>123.2</v>
      </c>
      <c r="AL50" s="66" t="str">
        <f t="shared" si="28"/>
        <v/>
      </c>
      <c r="AM50" s="67" t="str">
        <f t="shared" si="29"/>
        <v/>
      </c>
      <c r="AN50" s="61">
        <v>1</v>
      </c>
      <c r="AO50" s="66">
        <f t="shared" si="30"/>
        <v>123.2</v>
      </c>
      <c r="AP50" s="66" t="str">
        <f t="shared" si="31"/>
        <v/>
      </c>
      <c r="AQ50" s="67" t="str">
        <f t="shared" si="32"/>
        <v/>
      </c>
      <c r="AR50" s="61">
        <v>1</v>
      </c>
      <c r="AS50" s="66">
        <f t="shared" si="33"/>
        <v>123.2</v>
      </c>
      <c r="AT50" s="66" t="str">
        <f t="shared" si="34"/>
        <v/>
      </c>
      <c r="AU50" s="67" t="str">
        <f t="shared" si="35"/>
        <v/>
      </c>
      <c r="AV50" s="61">
        <v>1</v>
      </c>
      <c r="AW50" s="66">
        <f t="shared" si="18"/>
        <v>123.2</v>
      </c>
      <c r="AX50" s="66" t="str">
        <f t="shared" si="19"/>
        <v/>
      </c>
      <c r="AY50" s="67" t="str">
        <f t="shared" si="20"/>
        <v/>
      </c>
      <c r="AZ50" s="61">
        <v>1</v>
      </c>
      <c r="BA50" s="66">
        <f t="shared" si="21"/>
        <v>123.2</v>
      </c>
      <c r="BB50" s="66" t="str">
        <f t="shared" si="22"/>
        <v/>
      </c>
      <c r="BC50" s="67" t="str">
        <f t="shared" si="23"/>
        <v/>
      </c>
    </row>
    <row r="51" spans="29:55">
      <c r="AD51" s="68" t="str">
        <v>13</v>
      </c>
      <c r="AE51" s="61">
        <v>133.20000000000002</v>
      </c>
      <c r="AF51" s="61">
        <v>1</v>
      </c>
      <c r="AG51" s="66">
        <f t="shared" si="24"/>
        <v>133.20000000000002</v>
      </c>
      <c r="AH51" s="66" t="str">
        <f t="shared" si="25"/>
        <v/>
      </c>
      <c r="AI51" s="67" t="str">
        <f t="shared" si="26"/>
        <v/>
      </c>
      <c r="AJ51" s="61">
        <v>1</v>
      </c>
      <c r="AK51" s="66">
        <f t="shared" si="27"/>
        <v>133.20000000000002</v>
      </c>
      <c r="AL51" s="66" t="str">
        <f t="shared" si="28"/>
        <v/>
      </c>
      <c r="AM51" s="67" t="str">
        <f t="shared" si="29"/>
        <v/>
      </c>
      <c r="AN51" s="61">
        <v>1</v>
      </c>
      <c r="AO51" s="66">
        <f t="shared" si="30"/>
        <v>133.20000000000002</v>
      </c>
      <c r="AP51" s="66" t="str">
        <f t="shared" si="31"/>
        <v/>
      </c>
      <c r="AQ51" s="67" t="str">
        <f t="shared" si="32"/>
        <v/>
      </c>
      <c r="AR51" s="61">
        <v>1</v>
      </c>
      <c r="AS51" s="66">
        <f t="shared" si="33"/>
        <v>133.20000000000002</v>
      </c>
      <c r="AT51" s="66" t="str">
        <f t="shared" si="34"/>
        <v/>
      </c>
      <c r="AU51" s="67" t="str">
        <f t="shared" si="35"/>
        <v/>
      </c>
      <c r="AV51" s="61">
        <v>0</v>
      </c>
      <c r="AW51" s="66" t="str">
        <f t="shared" si="18"/>
        <v/>
      </c>
      <c r="AX51" s="66">
        <f t="shared" si="19"/>
        <v>0</v>
      </c>
      <c r="AY51" s="67" t="str">
        <f t="shared" si="20"/>
        <v/>
      </c>
      <c r="AZ51" s="61">
        <v>1</v>
      </c>
      <c r="BA51" s="66">
        <f t="shared" si="21"/>
        <v>133.20000000000002</v>
      </c>
      <c r="BB51" s="66" t="str">
        <f t="shared" si="22"/>
        <v/>
      </c>
      <c r="BC51" s="67" t="str">
        <f t="shared" si="23"/>
        <v/>
      </c>
    </row>
    <row r="52" spans="29:55">
      <c r="AD52" s="68" t="str">
        <v>14</v>
      </c>
      <c r="AE52" s="61">
        <v>150</v>
      </c>
      <c r="AF52" s="61">
        <v>1</v>
      </c>
      <c r="AG52" s="66">
        <f t="shared" si="24"/>
        <v>150</v>
      </c>
      <c r="AH52" s="66" t="str">
        <f t="shared" si="25"/>
        <v/>
      </c>
      <c r="AI52" s="67" t="str">
        <f t="shared" si="26"/>
        <v/>
      </c>
      <c r="AJ52" s="61">
        <v>1</v>
      </c>
      <c r="AK52" s="66">
        <f t="shared" si="27"/>
        <v>150</v>
      </c>
      <c r="AL52" s="66" t="str">
        <f t="shared" si="28"/>
        <v/>
      </c>
      <c r="AM52" s="67" t="str">
        <f t="shared" si="29"/>
        <v/>
      </c>
      <c r="AN52" s="61">
        <v>1</v>
      </c>
      <c r="AO52" s="66">
        <f t="shared" si="30"/>
        <v>150</v>
      </c>
      <c r="AP52" s="66" t="str">
        <f t="shared" si="31"/>
        <v/>
      </c>
      <c r="AQ52" s="67" t="str">
        <f t="shared" si="32"/>
        <v/>
      </c>
      <c r="AR52" s="61">
        <v>1</v>
      </c>
      <c r="AS52" s="66">
        <f t="shared" si="33"/>
        <v>150</v>
      </c>
      <c r="AT52" s="66" t="str">
        <f t="shared" si="34"/>
        <v/>
      </c>
      <c r="AU52" s="67" t="str">
        <f t="shared" si="35"/>
        <v/>
      </c>
      <c r="AV52" s="61">
        <v>-1</v>
      </c>
      <c r="AW52" s="66" t="str">
        <f t="shared" si="18"/>
        <v/>
      </c>
      <c r="AX52" s="66" t="str">
        <f t="shared" si="19"/>
        <v/>
      </c>
      <c r="AY52" s="67">
        <f t="shared" si="20"/>
        <v>-150</v>
      </c>
      <c r="AZ52" s="61">
        <v>1</v>
      </c>
      <c r="BA52" s="66">
        <f t="shared" si="21"/>
        <v>150</v>
      </c>
      <c r="BB52" s="66" t="str">
        <f t="shared" si="22"/>
        <v/>
      </c>
      <c r="BC52" s="67" t="str">
        <f t="shared" si="23"/>
        <v/>
      </c>
    </row>
    <row r="53" spans="29:55">
      <c r="AD53" s="68" t="str">
        <v>15</v>
      </c>
      <c r="AE53" s="61">
        <v>169.3</v>
      </c>
      <c r="AF53" s="61">
        <v>1</v>
      </c>
      <c r="AG53" s="66">
        <f t="shared" si="24"/>
        <v>169.3</v>
      </c>
      <c r="AH53" s="66" t="str">
        <f t="shared" si="25"/>
        <v/>
      </c>
      <c r="AI53" s="67" t="str">
        <f t="shared" si="26"/>
        <v/>
      </c>
      <c r="AJ53" s="61">
        <v>1</v>
      </c>
      <c r="AK53" s="66">
        <f t="shared" si="27"/>
        <v>169.3</v>
      </c>
      <c r="AL53" s="66" t="str">
        <f t="shared" si="28"/>
        <v/>
      </c>
      <c r="AM53" s="67" t="str">
        <f t="shared" si="29"/>
        <v/>
      </c>
      <c r="AN53" s="61">
        <v>-1</v>
      </c>
      <c r="AO53" s="66" t="str">
        <f t="shared" si="30"/>
        <v/>
      </c>
      <c r="AP53" s="66" t="str">
        <f t="shared" si="31"/>
        <v/>
      </c>
      <c r="AQ53" s="67">
        <f t="shared" si="32"/>
        <v>-169.3</v>
      </c>
      <c r="AR53" s="61">
        <v>1</v>
      </c>
      <c r="AS53" s="66">
        <f t="shared" si="33"/>
        <v>169.3</v>
      </c>
      <c r="AT53" s="66" t="str">
        <f t="shared" si="34"/>
        <v/>
      </c>
      <c r="AU53" s="67" t="str">
        <f t="shared" si="35"/>
        <v/>
      </c>
      <c r="AV53" s="61">
        <v>-1</v>
      </c>
      <c r="AW53" s="66" t="str">
        <f t="shared" si="18"/>
        <v/>
      </c>
      <c r="AX53" s="66" t="str">
        <f t="shared" si="19"/>
        <v/>
      </c>
      <c r="AY53" s="67">
        <f t="shared" si="20"/>
        <v>-169.3</v>
      </c>
      <c r="AZ53" s="61">
        <v>-1</v>
      </c>
      <c r="BA53" s="66" t="str">
        <f t="shared" si="21"/>
        <v/>
      </c>
      <c r="BB53" s="66" t="str">
        <f t="shared" si="22"/>
        <v/>
      </c>
      <c r="BC53" s="67">
        <f t="shared" si="23"/>
        <v>-169.3</v>
      </c>
    </row>
    <row r="54" spans="29:55">
      <c r="AD54" s="68" t="str">
        <v>16</v>
      </c>
      <c r="AE54" s="61">
        <v>183.29999999999998</v>
      </c>
      <c r="AF54" s="61">
        <v>1</v>
      </c>
      <c r="AG54" s="66">
        <f t="shared" si="24"/>
        <v>183.29999999999998</v>
      </c>
      <c r="AH54" s="66" t="str">
        <f t="shared" si="25"/>
        <v/>
      </c>
      <c r="AI54" s="67" t="str">
        <f t="shared" si="26"/>
        <v/>
      </c>
      <c r="AJ54" s="61">
        <v>1</v>
      </c>
      <c r="AK54" s="66">
        <f t="shared" si="27"/>
        <v>183.29999999999998</v>
      </c>
      <c r="AL54" s="66" t="str">
        <f t="shared" si="28"/>
        <v/>
      </c>
      <c r="AM54" s="67" t="str">
        <f t="shared" si="29"/>
        <v/>
      </c>
      <c r="AN54" s="61">
        <v>-1</v>
      </c>
      <c r="AO54" s="66" t="str">
        <f t="shared" si="30"/>
        <v/>
      </c>
      <c r="AP54" s="66" t="str">
        <f t="shared" si="31"/>
        <v/>
      </c>
      <c r="AQ54" s="67">
        <f t="shared" si="32"/>
        <v>-183.29999999999998</v>
      </c>
      <c r="AR54" s="61">
        <v>1</v>
      </c>
      <c r="AS54" s="66">
        <f t="shared" si="33"/>
        <v>183.29999999999998</v>
      </c>
      <c r="AT54" s="66" t="str">
        <f t="shared" si="34"/>
        <v/>
      </c>
      <c r="AU54" s="67" t="str">
        <f t="shared" si="35"/>
        <v/>
      </c>
      <c r="AV54" s="61">
        <v>0</v>
      </c>
      <c r="AW54" s="66" t="str">
        <f t="shared" si="18"/>
        <v/>
      </c>
      <c r="AX54" s="66">
        <f t="shared" si="19"/>
        <v>0</v>
      </c>
      <c r="AY54" s="67" t="str">
        <f t="shared" si="20"/>
        <v/>
      </c>
      <c r="AZ54" s="61">
        <v>-1</v>
      </c>
      <c r="BA54" s="66" t="str">
        <f t="shared" si="21"/>
        <v/>
      </c>
      <c r="BB54" s="66" t="str">
        <f t="shared" si="22"/>
        <v/>
      </c>
      <c r="BC54" s="67">
        <f t="shared" si="23"/>
        <v>-183.29999999999998</v>
      </c>
    </row>
    <row r="55" spans="29:55">
      <c r="AD55" s="68" t="str">
        <v>17</v>
      </c>
      <c r="AE55" s="61">
        <v>184</v>
      </c>
      <c r="AF55" s="61">
        <v>1</v>
      </c>
      <c r="AG55" s="66">
        <f t="shared" si="24"/>
        <v>184</v>
      </c>
      <c r="AH55" s="66" t="str">
        <f t="shared" si="25"/>
        <v/>
      </c>
      <c r="AI55" s="67" t="str">
        <f t="shared" si="26"/>
        <v/>
      </c>
      <c r="AJ55" s="61">
        <v>1</v>
      </c>
      <c r="AK55" s="66">
        <f t="shared" si="27"/>
        <v>184</v>
      </c>
      <c r="AL55" s="66" t="str">
        <f t="shared" si="28"/>
        <v/>
      </c>
      <c r="AM55" s="67" t="str">
        <f t="shared" si="29"/>
        <v/>
      </c>
      <c r="AN55" s="61">
        <v>-1</v>
      </c>
      <c r="AO55" s="66" t="str">
        <f t="shared" si="30"/>
        <v/>
      </c>
      <c r="AP55" s="66" t="str">
        <f t="shared" si="31"/>
        <v/>
      </c>
      <c r="AQ55" s="67">
        <f t="shared" si="32"/>
        <v>-184</v>
      </c>
      <c r="AR55" s="61">
        <v>1</v>
      </c>
      <c r="AS55" s="66">
        <f t="shared" si="33"/>
        <v>184</v>
      </c>
      <c r="AT55" s="66" t="str">
        <f t="shared" si="34"/>
        <v/>
      </c>
      <c r="AU55" s="67" t="str">
        <f t="shared" si="35"/>
        <v/>
      </c>
      <c r="AV55" s="61">
        <v>1</v>
      </c>
      <c r="AW55" s="66">
        <f t="shared" si="18"/>
        <v>184</v>
      </c>
      <c r="AX55" s="66" t="str">
        <f t="shared" si="19"/>
        <v/>
      </c>
      <c r="AY55" s="67" t="str">
        <f t="shared" si="20"/>
        <v/>
      </c>
      <c r="AZ55" s="61">
        <v>-1</v>
      </c>
      <c r="BA55" s="66" t="str">
        <f t="shared" si="21"/>
        <v/>
      </c>
      <c r="BB55" s="66" t="str">
        <f t="shared" si="22"/>
        <v/>
      </c>
      <c r="BC55" s="67">
        <f t="shared" si="23"/>
        <v>-184</v>
      </c>
    </row>
    <row r="56" spans="29:55">
      <c r="AD56" s="68" t="str">
        <v>18</v>
      </c>
      <c r="AE56" s="61">
        <v>174.2</v>
      </c>
      <c r="AF56" s="61">
        <v>-1</v>
      </c>
      <c r="AG56" s="66" t="str">
        <f t="shared" si="24"/>
        <v/>
      </c>
      <c r="AH56" s="66" t="str">
        <f t="shared" si="25"/>
        <v/>
      </c>
      <c r="AI56" s="67">
        <f t="shared" si="26"/>
        <v>-174.2</v>
      </c>
      <c r="AJ56" s="61">
        <v>1</v>
      </c>
      <c r="AK56" s="66">
        <f t="shared" si="27"/>
        <v>174.2</v>
      </c>
      <c r="AL56" s="66" t="str">
        <f t="shared" si="28"/>
        <v/>
      </c>
      <c r="AM56" s="67" t="str">
        <f t="shared" si="29"/>
        <v/>
      </c>
      <c r="AN56" s="61">
        <v>-1</v>
      </c>
      <c r="AO56" s="66" t="str">
        <f t="shared" si="30"/>
        <v/>
      </c>
      <c r="AP56" s="66" t="str">
        <f t="shared" si="31"/>
        <v/>
      </c>
      <c r="AQ56" s="67">
        <f t="shared" si="32"/>
        <v>-174.2</v>
      </c>
      <c r="AR56" s="61">
        <v>-1</v>
      </c>
      <c r="AS56" s="66" t="str">
        <f t="shared" si="33"/>
        <v/>
      </c>
      <c r="AT56" s="66" t="str">
        <f t="shared" si="34"/>
        <v/>
      </c>
      <c r="AU56" s="67">
        <f t="shared" si="35"/>
        <v>-174.2</v>
      </c>
      <c r="AV56" s="61">
        <v>1</v>
      </c>
      <c r="AW56" s="66">
        <f t="shared" si="18"/>
        <v>174.2</v>
      </c>
      <c r="AX56" s="66" t="str">
        <f t="shared" si="19"/>
        <v/>
      </c>
      <c r="AY56" s="67" t="str">
        <f t="shared" si="20"/>
        <v/>
      </c>
      <c r="AZ56" s="61">
        <v>1</v>
      </c>
      <c r="BA56" s="66">
        <f t="shared" si="21"/>
        <v>174.2</v>
      </c>
      <c r="BB56" s="66" t="str">
        <f t="shared" si="22"/>
        <v/>
      </c>
      <c r="BC56" s="67" t="str">
        <f t="shared" si="23"/>
        <v/>
      </c>
    </row>
    <row r="57" spans="29:55">
      <c r="AD57" s="68" t="str">
        <v>19</v>
      </c>
      <c r="AE57" s="61">
        <v>158.29999999999998</v>
      </c>
      <c r="AF57" s="61">
        <v>-1</v>
      </c>
      <c r="AG57" s="66" t="str">
        <f t="shared" si="24"/>
        <v/>
      </c>
      <c r="AH57" s="66" t="str">
        <f t="shared" si="25"/>
        <v/>
      </c>
      <c r="AI57" s="67">
        <f t="shared" si="26"/>
        <v>-158.29999999999998</v>
      </c>
      <c r="AJ57" s="61">
        <v>1</v>
      </c>
      <c r="AK57" s="66">
        <f t="shared" si="27"/>
        <v>158.29999999999998</v>
      </c>
      <c r="AL57" s="66" t="str">
        <f t="shared" si="28"/>
        <v/>
      </c>
      <c r="AM57" s="67" t="str">
        <f t="shared" si="29"/>
        <v/>
      </c>
      <c r="AN57" s="61">
        <v>-1</v>
      </c>
      <c r="AO57" s="66" t="str">
        <f t="shared" si="30"/>
        <v/>
      </c>
      <c r="AP57" s="66" t="str">
        <f t="shared" si="31"/>
        <v/>
      </c>
      <c r="AQ57" s="67">
        <f t="shared" si="32"/>
        <v>-158.29999999999998</v>
      </c>
      <c r="AR57" s="61">
        <v>-1</v>
      </c>
      <c r="AS57" s="66" t="str">
        <f t="shared" si="33"/>
        <v/>
      </c>
      <c r="AT57" s="66" t="str">
        <f t="shared" si="34"/>
        <v/>
      </c>
      <c r="AU57" s="67">
        <f t="shared" si="35"/>
        <v>-158.29999999999998</v>
      </c>
      <c r="AV57" s="61">
        <v>0</v>
      </c>
      <c r="AW57" s="66" t="str">
        <f t="shared" si="18"/>
        <v/>
      </c>
      <c r="AX57" s="66">
        <f t="shared" si="19"/>
        <v>0</v>
      </c>
      <c r="AY57" s="67" t="str">
        <f t="shared" si="20"/>
        <v/>
      </c>
      <c r="AZ57" s="61">
        <v>1</v>
      </c>
      <c r="BA57" s="66">
        <f t="shared" si="21"/>
        <v>158.29999999999998</v>
      </c>
      <c r="BB57" s="66" t="str">
        <f t="shared" si="22"/>
        <v/>
      </c>
      <c r="BC57" s="67" t="str">
        <f t="shared" si="23"/>
        <v/>
      </c>
    </row>
    <row r="58" spans="29:55">
      <c r="AD58" s="68" t="str">
        <v>20</v>
      </c>
      <c r="AE58" s="61">
        <v>133.20000000000002</v>
      </c>
      <c r="AF58" s="61">
        <v>-1</v>
      </c>
      <c r="AG58" s="66" t="str">
        <f t="shared" si="24"/>
        <v/>
      </c>
      <c r="AH58" s="66" t="str">
        <f t="shared" si="25"/>
        <v/>
      </c>
      <c r="AI58" s="67">
        <f t="shared" si="26"/>
        <v>-133.20000000000002</v>
      </c>
      <c r="AJ58" s="61">
        <v>1</v>
      </c>
      <c r="AK58" s="66">
        <f t="shared" si="27"/>
        <v>133.20000000000002</v>
      </c>
      <c r="AL58" s="66" t="str">
        <f t="shared" si="28"/>
        <v/>
      </c>
      <c r="AM58" s="67" t="str">
        <f t="shared" si="29"/>
        <v/>
      </c>
      <c r="AN58" s="61">
        <v>-1</v>
      </c>
      <c r="AO58" s="66" t="str">
        <f t="shared" si="30"/>
        <v/>
      </c>
      <c r="AP58" s="66" t="str">
        <f t="shared" si="31"/>
        <v/>
      </c>
      <c r="AQ58" s="67">
        <f t="shared" si="32"/>
        <v>-133.20000000000002</v>
      </c>
      <c r="AR58" s="61">
        <v>-1</v>
      </c>
      <c r="AS58" s="66" t="str">
        <f t="shared" si="33"/>
        <v/>
      </c>
      <c r="AT58" s="66" t="str">
        <f t="shared" si="34"/>
        <v/>
      </c>
      <c r="AU58" s="67">
        <f t="shared" si="35"/>
        <v>-133.20000000000002</v>
      </c>
      <c r="AV58" s="61">
        <v>-1</v>
      </c>
      <c r="AW58" s="66" t="str">
        <f t="shared" si="18"/>
        <v/>
      </c>
      <c r="AX58" s="66" t="str">
        <f t="shared" si="19"/>
        <v/>
      </c>
      <c r="AY58" s="67">
        <f t="shared" si="20"/>
        <v>-133.20000000000002</v>
      </c>
      <c r="AZ58" s="61">
        <v>1</v>
      </c>
      <c r="BA58" s="66">
        <f t="shared" si="21"/>
        <v>133.20000000000002</v>
      </c>
      <c r="BB58" s="66" t="str">
        <f t="shared" si="22"/>
        <v/>
      </c>
      <c r="BC58" s="67" t="str">
        <f t="shared" si="23"/>
        <v/>
      </c>
    </row>
    <row r="59" spans="29:55">
      <c r="AD59" s="68" t="str">
        <v>21</v>
      </c>
      <c r="AE59" s="61">
        <v>106.69999999999999</v>
      </c>
      <c r="AF59" s="61">
        <v>-1</v>
      </c>
      <c r="AG59" s="66" t="str">
        <f t="shared" si="24"/>
        <v/>
      </c>
      <c r="AH59" s="66" t="str">
        <f t="shared" si="25"/>
        <v/>
      </c>
      <c r="AI59" s="67">
        <f t="shared" si="26"/>
        <v>-106.69999999999999</v>
      </c>
      <c r="AJ59" s="61">
        <v>1</v>
      </c>
      <c r="AK59" s="66">
        <f t="shared" si="27"/>
        <v>106.69999999999999</v>
      </c>
      <c r="AL59" s="66" t="str">
        <f t="shared" si="28"/>
        <v/>
      </c>
      <c r="AM59" s="67" t="str">
        <f t="shared" si="29"/>
        <v/>
      </c>
      <c r="AN59" s="61">
        <v>1</v>
      </c>
      <c r="AO59" s="66">
        <f t="shared" si="30"/>
        <v>106.69999999999999</v>
      </c>
      <c r="AP59" s="66" t="str">
        <f t="shared" si="31"/>
        <v/>
      </c>
      <c r="AQ59" s="67" t="str">
        <f t="shared" si="32"/>
        <v/>
      </c>
      <c r="AR59" s="61">
        <v>-1</v>
      </c>
      <c r="AS59" s="66" t="str">
        <f t="shared" si="33"/>
        <v/>
      </c>
      <c r="AT59" s="66" t="str">
        <f t="shared" si="34"/>
        <v/>
      </c>
      <c r="AU59" s="67">
        <f t="shared" si="35"/>
        <v>-106.69999999999999</v>
      </c>
      <c r="AV59" s="61">
        <v>-1</v>
      </c>
      <c r="AW59" s="66" t="str">
        <f t="shared" si="18"/>
        <v/>
      </c>
      <c r="AX59" s="66" t="str">
        <f t="shared" si="19"/>
        <v/>
      </c>
      <c r="AY59" s="67">
        <f t="shared" si="20"/>
        <v>-106.69999999999999</v>
      </c>
      <c r="AZ59" s="61">
        <v>-1</v>
      </c>
      <c r="BA59" s="66" t="str">
        <f t="shared" si="21"/>
        <v/>
      </c>
      <c r="BB59" s="66" t="str">
        <f t="shared" si="22"/>
        <v/>
      </c>
      <c r="BC59" s="67">
        <f t="shared" si="23"/>
        <v>-106.69999999999999</v>
      </c>
    </row>
    <row r="60" spans="29:55">
      <c r="AD60" s="68" t="str">
        <v>22</v>
      </c>
      <c r="AE60" s="61">
        <v>81.3</v>
      </c>
      <c r="AF60" s="61">
        <v>-1</v>
      </c>
      <c r="AG60" s="66" t="str">
        <f t="shared" si="24"/>
        <v/>
      </c>
      <c r="AH60" s="66" t="str">
        <f t="shared" si="25"/>
        <v/>
      </c>
      <c r="AI60" s="67">
        <f t="shared" si="26"/>
        <v>-81.3</v>
      </c>
      <c r="AJ60" s="61">
        <v>1</v>
      </c>
      <c r="AK60" s="66">
        <f t="shared" si="27"/>
        <v>81.3</v>
      </c>
      <c r="AL60" s="66" t="str">
        <f t="shared" si="28"/>
        <v/>
      </c>
      <c r="AM60" s="67" t="str">
        <f t="shared" si="29"/>
        <v/>
      </c>
      <c r="AN60" s="61">
        <v>1</v>
      </c>
      <c r="AO60" s="66">
        <f t="shared" si="30"/>
        <v>81.3</v>
      </c>
      <c r="AP60" s="66" t="str">
        <f t="shared" si="31"/>
        <v/>
      </c>
      <c r="AQ60" s="67" t="str">
        <f t="shared" si="32"/>
        <v/>
      </c>
      <c r="AR60" s="61">
        <v>-1</v>
      </c>
      <c r="AS60" s="66" t="str">
        <f t="shared" si="33"/>
        <v/>
      </c>
      <c r="AT60" s="66" t="str">
        <f t="shared" si="34"/>
        <v/>
      </c>
      <c r="AU60" s="67">
        <f t="shared" si="35"/>
        <v>-81.3</v>
      </c>
      <c r="AV60" s="61">
        <v>0</v>
      </c>
      <c r="AW60" s="66" t="str">
        <f t="shared" si="18"/>
        <v/>
      </c>
      <c r="AX60" s="66">
        <f t="shared" si="19"/>
        <v>0</v>
      </c>
      <c r="AY60" s="67" t="str">
        <f t="shared" si="20"/>
        <v/>
      </c>
      <c r="AZ60" s="61">
        <v>-1</v>
      </c>
      <c r="BA60" s="66" t="str">
        <f t="shared" si="21"/>
        <v/>
      </c>
      <c r="BB60" s="66" t="str">
        <f t="shared" si="22"/>
        <v/>
      </c>
      <c r="BC60" s="67">
        <f t="shared" si="23"/>
        <v>-81.3</v>
      </c>
    </row>
    <row r="61" spans="29:55">
      <c r="AD61" s="68" t="str">
        <v>23</v>
      </c>
      <c r="AE61" s="61">
        <v>75.400000000000006</v>
      </c>
      <c r="AF61" s="61">
        <v>-1</v>
      </c>
      <c r="AG61" s="66" t="str">
        <f t="shared" si="24"/>
        <v/>
      </c>
      <c r="AH61" s="66" t="str">
        <f t="shared" si="25"/>
        <v/>
      </c>
      <c r="AI61" s="67">
        <f t="shared" si="26"/>
        <v>-75.400000000000006</v>
      </c>
      <c r="AJ61" s="61">
        <v>1</v>
      </c>
      <c r="AK61" s="66">
        <f t="shared" si="27"/>
        <v>75.400000000000006</v>
      </c>
      <c r="AL61" s="66" t="str">
        <f t="shared" si="28"/>
        <v/>
      </c>
      <c r="AM61" s="67" t="str">
        <f t="shared" si="29"/>
        <v/>
      </c>
      <c r="AN61" s="61">
        <v>1</v>
      </c>
      <c r="AO61" s="66">
        <f t="shared" si="30"/>
        <v>75.400000000000006</v>
      </c>
      <c r="AP61" s="66" t="str">
        <f t="shared" si="31"/>
        <v/>
      </c>
      <c r="AQ61" s="67" t="str">
        <f t="shared" si="32"/>
        <v/>
      </c>
      <c r="AR61" s="61">
        <v>-1</v>
      </c>
      <c r="AS61" s="66" t="str">
        <f t="shared" si="33"/>
        <v/>
      </c>
      <c r="AT61" s="66" t="str">
        <f t="shared" si="34"/>
        <v/>
      </c>
      <c r="AU61" s="67">
        <f t="shared" si="35"/>
        <v>-75.400000000000006</v>
      </c>
      <c r="AV61" s="61">
        <v>1</v>
      </c>
      <c r="AW61" s="66">
        <f t="shared" si="18"/>
        <v>75.400000000000006</v>
      </c>
      <c r="AX61" s="66" t="str">
        <f t="shared" si="19"/>
        <v/>
      </c>
      <c r="AY61" s="67" t="str">
        <f t="shared" si="20"/>
        <v/>
      </c>
      <c r="AZ61" s="61">
        <v>-1</v>
      </c>
      <c r="BA61" s="66" t="str">
        <f t="shared" si="21"/>
        <v/>
      </c>
      <c r="BB61" s="66" t="str">
        <f t="shared" si="22"/>
        <v/>
      </c>
      <c r="BC61" s="67">
        <f t="shared" si="23"/>
        <v>-75.400000000000006</v>
      </c>
    </row>
    <row r="62" spans="29:55" ht="15.75" thickBot="1">
      <c r="AC62" s="476">
        <f>AD34</f>
        <v>44710</v>
      </c>
      <c r="AD62" s="69" t="s">
        <v>85</v>
      </c>
      <c r="AE62" s="70">
        <f>SUM(AE38:AE61)</f>
        <v>3972.2000000000003</v>
      </c>
      <c r="AF62" s="70"/>
      <c r="AG62" s="71">
        <f>ABS(SUM(AG38:AG61))</f>
        <v>2071.1999999999998</v>
      </c>
      <c r="AH62" s="70"/>
      <c r="AI62" s="72">
        <f>ABS(SUM(AI38:AI61))</f>
        <v>1901.0000000000002</v>
      </c>
      <c r="AJ62" s="70"/>
      <c r="AK62" s="71">
        <f>ABS(SUM(AK38:AK61))</f>
        <v>1672.1000000000001</v>
      </c>
      <c r="AL62" s="70"/>
      <c r="AM62" s="72">
        <f>ABS(SUM(AM38:AM61))</f>
        <v>2300.1000000000004</v>
      </c>
      <c r="AN62" s="70"/>
      <c r="AO62" s="71">
        <f>ABS(SUM(AO38:AO61))</f>
        <v>1553.5</v>
      </c>
      <c r="AP62" s="70"/>
      <c r="AQ62" s="72">
        <f>ABS(SUM(AQ38:AQ61))</f>
        <v>2418.6999999999998</v>
      </c>
      <c r="AR62" s="70"/>
      <c r="AS62" s="71">
        <f>ABS(SUM(AS38:AS61))</f>
        <v>2114.9</v>
      </c>
      <c r="AT62" s="70"/>
      <c r="AU62" s="72">
        <f>ABS(SUM(AU38:AU61))</f>
        <v>1857.3000000000002</v>
      </c>
      <c r="AV62" s="70"/>
      <c r="AW62" s="71">
        <f>ABS(SUM(AW38:AW61))</f>
        <v>1305.9000000000001</v>
      </c>
      <c r="AX62" s="70"/>
      <c r="AY62" s="72">
        <f>ABS(SUM(AY38:AY61))</f>
        <v>1340.5</v>
      </c>
      <c r="AZ62" s="70"/>
      <c r="BA62" s="71">
        <f>ABS(SUM(BA38:BA61))</f>
        <v>2001.4</v>
      </c>
      <c r="BB62" s="70"/>
      <c r="BC62" s="72">
        <f>ABS(SUM(BC38:BC61))</f>
        <v>1970.8</v>
      </c>
    </row>
    <row r="64" spans="29:55" ht="15" thickBot="1">
      <c r="AD64" s="476">
        <f>skemA1!B7</f>
        <v>44711</v>
      </c>
    </row>
    <row r="65" spans="30:55" ht="15" thickBot="1">
      <c r="AD65" s="677" t="s">
        <v>75</v>
      </c>
      <c r="AE65" s="60" t="s">
        <v>558</v>
      </c>
      <c r="AF65" s="672" t="s">
        <v>559</v>
      </c>
      <c r="AG65" s="672"/>
      <c r="AH65" s="672"/>
      <c r="AI65" s="673"/>
      <c r="AJ65" s="672" t="s">
        <v>562</v>
      </c>
      <c r="AK65" s="672"/>
      <c r="AL65" s="672"/>
      <c r="AM65" s="673"/>
      <c r="AN65" s="672" t="s">
        <v>563</v>
      </c>
      <c r="AO65" s="672"/>
      <c r="AP65" s="672"/>
      <c r="AQ65" s="673"/>
      <c r="AR65" s="672" t="s">
        <v>564</v>
      </c>
      <c r="AS65" s="672"/>
      <c r="AT65" s="672"/>
      <c r="AU65" s="673"/>
      <c r="AV65" s="672" t="s">
        <v>565</v>
      </c>
      <c r="AW65" s="672"/>
      <c r="AX65" s="672"/>
      <c r="AY65" s="673"/>
      <c r="AZ65" s="672" t="s">
        <v>566</v>
      </c>
      <c r="BA65" s="672"/>
      <c r="BB65" s="672"/>
      <c r="BC65" s="673"/>
    </row>
    <row r="66" spans="30:55" ht="15" thickBot="1">
      <c r="AD66" s="677"/>
      <c r="AE66" s="61"/>
      <c r="AF66" s="674" t="s">
        <v>561</v>
      </c>
      <c r="AG66" s="670" t="s">
        <v>560</v>
      </c>
      <c r="AH66" s="670"/>
      <c r="AI66" s="671"/>
      <c r="AJ66" s="674" t="s">
        <v>561</v>
      </c>
      <c r="AK66" s="670" t="s">
        <v>560</v>
      </c>
      <c r="AL66" s="670"/>
      <c r="AM66" s="671"/>
      <c r="AN66" s="674" t="s">
        <v>561</v>
      </c>
      <c r="AO66" s="670" t="s">
        <v>560</v>
      </c>
      <c r="AP66" s="670"/>
      <c r="AQ66" s="671"/>
      <c r="AR66" s="674" t="s">
        <v>561</v>
      </c>
      <c r="AS66" s="670" t="s">
        <v>560</v>
      </c>
      <c r="AT66" s="670"/>
      <c r="AU66" s="671"/>
      <c r="AV66" s="674" t="s">
        <v>561</v>
      </c>
      <c r="AW66" s="670" t="s">
        <v>560</v>
      </c>
      <c r="AX66" s="670"/>
      <c r="AY66" s="671"/>
      <c r="AZ66" s="674" t="s">
        <v>561</v>
      </c>
      <c r="BA66" s="670" t="s">
        <v>560</v>
      </c>
      <c r="BB66" s="670"/>
      <c r="BC66" s="671"/>
    </row>
    <row r="67" spans="30:55">
      <c r="AD67" s="677"/>
      <c r="AE67" s="62"/>
      <c r="AF67" s="674"/>
      <c r="AG67" s="63" t="s">
        <v>76</v>
      </c>
      <c r="AH67" s="63">
        <v>0</v>
      </c>
      <c r="AI67" s="64" t="s">
        <v>77</v>
      </c>
      <c r="AJ67" s="674"/>
      <c r="AK67" s="63" t="s">
        <v>76</v>
      </c>
      <c r="AL67" s="63">
        <v>0</v>
      </c>
      <c r="AM67" s="64" t="s">
        <v>77</v>
      </c>
      <c r="AN67" s="674"/>
      <c r="AO67" s="63" t="s">
        <v>76</v>
      </c>
      <c r="AP67" s="63">
        <v>0</v>
      </c>
      <c r="AQ67" s="64" t="s">
        <v>77</v>
      </c>
      <c r="AR67" s="674"/>
      <c r="AS67" s="63" t="s">
        <v>76</v>
      </c>
      <c r="AT67" s="63">
        <v>0</v>
      </c>
      <c r="AU67" s="64" t="s">
        <v>77</v>
      </c>
      <c r="AV67" s="674"/>
      <c r="AW67" s="63" t="s">
        <v>76</v>
      </c>
      <c r="AX67" s="63">
        <v>0</v>
      </c>
      <c r="AY67" s="64" t="s">
        <v>77</v>
      </c>
      <c r="AZ67" s="674"/>
      <c r="BA67" s="63" t="s">
        <v>76</v>
      </c>
      <c r="BB67" s="63">
        <v>0</v>
      </c>
      <c r="BC67" s="64" t="s">
        <v>77</v>
      </c>
    </row>
    <row r="68" spans="30:55">
      <c r="AD68" s="65" t="str">
        <f t="array" ref="AD68:AD91">TRANSPOSE($C$5:$Z$5)</f>
        <v>00</v>
      </c>
      <c r="AE68" s="66">
        <f t="array" ref="AE68:AE91">TRANSPOSE(skemA1!$C$7:$Z$7)</f>
        <v>90.600000000000009</v>
      </c>
      <c r="AF68" s="66">
        <f t="array" ref="AF68:AF91">TRANSPOSE($C$6:$Z$6)</f>
        <v>-1</v>
      </c>
      <c r="AG68" s="66" t="str">
        <f>IF(AF68&gt;0,AF68*$AE68,"")</f>
        <v/>
      </c>
      <c r="AH68" s="66" t="str">
        <f>IF(AF68=0,AF68*$AE68,"")</f>
        <v/>
      </c>
      <c r="AI68" s="67">
        <f>IF(AF68&lt;0,AF68*$AE68,"")</f>
        <v>-90.600000000000009</v>
      </c>
      <c r="AJ68" s="66">
        <f t="array" ref="AJ68:AJ91">TRANSPOSE($C$7:$Z$7)</f>
        <v>-1</v>
      </c>
      <c r="AK68" s="66" t="str">
        <f>IF(AJ68&gt;0,AJ68*$AE68,"")</f>
        <v/>
      </c>
      <c r="AL68" s="66" t="str">
        <f>IF(AJ68=0,AJ68*$AE68,"")</f>
        <v/>
      </c>
      <c r="AM68" s="67">
        <f>IF(AJ68&lt;0,AJ68*$AE68,"")</f>
        <v>-90.600000000000009</v>
      </c>
      <c r="AN68" s="66">
        <f t="array" ref="AN68:AN91">TRANSPOSE($C$8:$Z$8)</f>
        <v>1</v>
      </c>
      <c r="AO68" s="66">
        <f>IF(AN68&gt;0,AN68*$AE68,"")</f>
        <v>90.600000000000009</v>
      </c>
      <c r="AP68" s="66" t="str">
        <f>IF(AN68=0,AN68*$AE68,"")</f>
        <v/>
      </c>
      <c r="AQ68" s="67" t="str">
        <f>IF(AN68&lt;0,AN68*$AE68,"")</f>
        <v/>
      </c>
      <c r="AR68" s="66">
        <f t="array" ref="AR68:AR91">TRANSPOSE($C$9:$Z$9)</f>
        <v>1</v>
      </c>
      <c r="AS68" s="66">
        <f>IF(AR68&gt;0,AR68*$AE68,"")</f>
        <v>90.600000000000009</v>
      </c>
      <c r="AT68" s="66" t="str">
        <f>IF(AR68=0,AR68*$AE68,"")</f>
        <v/>
      </c>
      <c r="AU68" s="67" t="str">
        <f>IF(AR68&lt;0,AR68*$AE68,"")</f>
        <v/>
      </c>
      <c r="AV68" s="66">
        <f t="array" ref="AV68:AV91">TRANSPOSE($C$10:$Z$10)</f>
        <v>1</v>
      </c>
      <c r="AW68" s="66">
        <f t="shared" ref="AW68:AW91" si="36">IF(AV68&gt;0,AV68*$AE68,"")</f>
        <v>90.600000000000009</v>
      </c>
      <c r="AX68" s="66" t="str">
        <f t="shared" ref="AX68:AX91" si="37">IF(AV68=0,AV68*$AE68,"")</f>
        <v/>
      </c>
      <c r="AY68" s="67" t="str">
        <f t="shared" ref="AY68:AY91" si="38">IF(AV68&lt;0,AV68*$AE68,"")</f>
        <v/>
      </c>
      <c r="AZ68" s="66">
        <f t="array" ref="AZ68:AZ91">TRANSPOSE($C$11:$Z$11)</f>
        <v>1</v>
      </c>
      <c r="BA68" s="66">
        <f t="shared" ref="BA68:BA91" si="39">IF(AZ68&gt;0,AZ68*$AE68,"")</f>
        <v>90.600000000000009</v>
      </c>
      <c r="BB68" s="66" t="str">
        <f t="shared" ref="BB68:BB91" si="40">IF(AZ68=0,AZ68*$AE68,"")</f>
        <v/>
      </c>
      <c r="BC68" s="67" t="str">
        <f t="shared" ref="BC68:BC91" si="41">IF(AZ68&lt;0,AZ68*$AE68,"")</f>
        <v/>
      </c>
    </row>
    <row r="69" spans="30:55">
      <c r="AD69" s="68" t="str">
        <v>01</v>
      </c>
      <c r="AE69" s="61">
        <v>123.10000000000001</v>
      </c>
      <c r="AF69" s="61">
        <v>-1</v>
      </c>
      <c r="AG69" s="66" t="str">
        <f t="shared" ref="AG69:AG91" si="42">IF(AF69&gt;0,AF69*$AE69,"")</f>
        <v/>
      </c>
      <c r="AH69" s="66" t="str">
        <f t="shared" ref="AH69:AH91" si="43">IF(AF69=0,AF69*$AE69,"")</f>
        <v/>
      </c>
      <c r="AI69" s="67">
        <f t="shared" ref="AI69:AI91" si="44">IF(AF69&lt;0,AF69*$AE69,"")</f>
        <v>-123.10000000000001</v>
      </c>
      <c r="AJ69" s="61">
        <v>-1</v>
      </c>
      <c r="AK69" s="66" t="str">
        <f t="shared" ref="AK69:AK91" si="45">IF(AJ69&gt;0,AJ69*$AE69,"")</f>
        <v/>
      </c>
      <c r="AL69" s="66" t="str">
        <f t="shared" ref="AL69:AL91" si="46">IF(AJ69=0,AJ69*$AE69,"")</f>
        <v/>
      </c>
      <c r="AM69" s="67">
        <f t="shared" ref="AM69:AM91" si="47">IF(AJ69&lt;0,AJ69*$AE69,"")</f>
        <v>-123.10000000000001</v>
      </c>
      <c r="AN69" s="61">
        <v>1</v>
      </c>
      <c r="AO69" s="66">
        <f t="shared" ref="AO69:AO91" si="48">IF(AN69&gt;0,AN69*$AE69,"")</f>
        <v>123.10000000000001</v>
      </c>
      <c r="AP69" s="66" t="str">
        <f t="shared" ref="AP69:AP91" si="49">IF(AN69=0,AN69*$AE69,"")</f>
        <v/>
      </c>
      <c r="AQ69" s="67" t="str">
        <f t="shared" ref="AQ69:AQ91" si="50">IF(AN69&lt;0,AN69*$AE69,"")</f>
        <v/>
      </c>
      <c r="AR69" s="61">
        <v>1</v>
      </c>
      <c r="AS69" s="66">
        <f t="shared" ref="AS69:AS91" si="51">IF(AR69&gt;0,AR69*$AE69,"")</f>
        <v>123.10000000000001</v>
      </c>
      <c r="AT69" s="66" t="str">
        <f t="shared" ref="AT69:AT91" si="52">IF(AR69=0,AR69*$AE69,"")</f>
        <v/>
      </c>
      <c r="AU69" s="67" t="str">
        <f t="shared" ref="AU69:AU91" si="53">IF(AR69&lt;0,AR69*$AE69,"")</f>
        <v/>
      </c>
      <c r="AV69" s="61">
        <v>0</v>
      </c>
      <c r="AW69" s="66" t="str">
        <f t="shared" si="36"/>
        <v/>
      </c>
      <c r="AX69" s="66">
        <f t="shared" si="37"/>
        <v>0</v>
      </c>
      <c r="AY69" s="67" t="str">
        <f t="shared" si="38"/>
        <v/>
      </c>
      <c r="AZ69" s="61">
        <v>1</v>
      </c>
      <c r="BA69" s="66">
        <f t="shared" si="39"/>
        <v>123.10000000000001</v>
      </c>
      <c r="BB69" s="66" t="str">
        <f t="shared" si="40"/>
        <v/>
      </c>
      <c r="BC69" s="67" t="str">
        <f t="shared" si="41"/>
        <v/>
      </c>
    </row>
    <row r="70" spans="30:55">
      <c r="AD70" s="68" t="str">
        <v>02</v>
      </c>
      <c r="AE70" s="61">
        <v>162.69999999999999</v>
      </c>
      <c r="AF70" s="61">
        <v>-1</v>
      </c>
      <c r="AG70" s="66" t="str">
        <f t="shared" si="42"/>
        <v/>
      </c>
      <c r="AH70" s="66" t="str">
        <f t="shared" si="43"/>
        <v/>
      </c>
      <c r="AI70" s="67">
        <f t="shared" si="44"/>
        <v>-162.69999999999999</v>
      </c>
      <c r="AJ70" s="61">
        <v>-1</v>
      </c>
      <c r="AK70" s="66" t="str">
        <f t="shared" si="45"/>
        <v/>
      </c>
      <c r="AL70" s="66" t="str">
        <f t="shared" si="46"/>
        <v/>
      </c>
      <c r="AM70" s="67">
        <f t="shared" si="47"/>
        <v>-162.69999999999999</v>
      </c>
      <c r="AN70" s="61">
        <v>1</v>
      </c>
      <c r="AO70" s="66">
        <f t="shared" si="48"/>
        <v>162.69999999999999</v>
      </c>
      <c r="AP70" s="66" t="str">
        <f t="shared" si="49"/>
        <v/>
      </c>
      <c r="AQ70" s="67" t="str">
        <f t="shared" si="50"/>
        <v/>
      </c>
      <c r="AR70" s="61">
        <v>1</v>
      </c>
      <c r="AS70" s="66">
        <f t="shared" si="51"/>
        <v>162.69999999999999</v>
      </c>
      <c r="AT70" s="66" t="str">
        <f t="shared" si="52"/>
        <v/>
      </c>
      <c r="AU70" s="67" t="str">
        <f t="shared" si="53"/>
        <v/>
      </c>
      <c r="AV70" s="61">
        <v>-1</v>
      </c>
      <c r="AW70" s="66" t="str">
        <f t="shared" si="36"/>
        <v/>
      </c>
      <c r="AX70" s="66" t="str">
        <f t="shared" si="37"/>
        <v/>
      </c>
      <c r="AY70" s="67">
        <f t="shared" si="38"/>
        <v>-162.69999999999999</v>
      </c>
      <c r="AZ70" s="61">
        <v>1</v>
      </c>
      <c r="BA70" s="66">
        <f t="shared" si="39"/>
        <v>162.69999999999999</v>
      </c>
      <c r="BB70" s="66" t="str">
        <f t="shared" si="40"/>
        <v/>
      </c>
      <c r="BC70" s="67" t="str">
        <f t="shared" si="41"/>
        <v/>
      </c>
    </row>
    <row r="71" spans="30:55">
      <c r="AD71" s="68" t="str">
        <v>03</v>
      </c>
      <c r="AE71" s="61">
        <v>205.50000000000003</v>
      </c>
      <c r="AF71" s="61">
        <v>-1</v>
      </c>
      <c r="AG71" s="66" t="str">
        <f t="shared" si="42"/>
        <v/>
      </c>
      <c r="AH71" s="66" t="str">
        <f t="shared" si="43"/>
        <v/>
      </c>
      <c r="AI71" s="67">
        <f t="shared" si="44"/>
        <v>-205.50000000000003</v>
      </c>
      <c r="AJ71" s="61">
        <v>-1</v>
      </c>
      <c r="AK71" s="66" t="str">
        <f t="shared" si="45"/>
        <v/>
      </c>
      <c r="AL71" s="66" t="str">
        <f t="shared" si="46"/>
        <v/>
      </c>
      <c r="AM71" s="67">
        <f t="shared" si="47"/>
        <v>-205.50000000000003</v>
      </c>
      <c r="AN71" s="61">
        <v>-1</v>
      </c>
      <c r="AO71" s="66" t="str">
        <f t="shared" si="48"/>
        <v/>
      </c>
      <c r="AP71" s="66" t="str">
        <f t="shared" si="49"/>
        <v/>
      </c>
      <c r="AQ71" s="67">
        <f t="shared" si="50"/>
        <v>-205.50000000000003</v>
      </c>
      <c r="AR71" s="61">
        <v>1</v>
      </c>
      <c r="AS71" s="66">
        <f t="shared" si="51"/>
        <v>205.50000000000003</v>
      </c>
      <c r="AT71" s="66" t="str">
        <f t="shared" si="52"/>
        <v/>
      </c>
      <c r="AU71" s="67" t="str">
        <f t="shared" si="53"/>
        <v/>
      </c>
      <c r="AV71" s="61">
        <v>-1</v>
      </c>
      <c r="AW71" s="66" t="str">
        <f t="shared" si="36"/>
        <v/>
      </c>
      <c r="AX71" s="66" t="str">
        <f t="shared" si="37"/>
        <v/>
      </c>
      <c r="AY71" s="67">
        <f t="shared" si="38"/>
        <v>-205.50000000000003</v>
      </c>
      <c r="AZ71" s="61">
        <v>-1</v>
      </c>
      <c r="BA71" s="66" t="str">
        <f t="shared" si="39"/>
        <v/>
      </c>
      <c r="BB71" s="66" t="str">
        <f t="shared" si="40"/>
        <v/>
      </c>
      <c r="BC71" s="67">
        <f t="shared" si="41"/>
        <v>-205.50000000000003</v>
      </c>
    </row>
    <row r="72" spans="30:55">
      <c r="AD72" s="68" t="str">
        <v>04</v>
      </c>
      <c r="AE72" s="61">
        <v>245.6</v>
      </c>
      <c r="AF72" s="61">
        <v>-1</v>
      </c>
      <c r="AG72" s="66" t="str">
        <f t="shared" si="42"/>
        <v/>
      </c>
      <c r="AH72" s="66" t="str">
        <f t="shared" si="43"/>
        <v/>
      </c>
      <c r="AI72" s="67">
        <f t="shared" si="44"/>
        <v>-245.6</v>
      </c>
      <c r="AJ72" s="61">
        <v>-1</v>
      </c>
      <c r="AK72" s="66" t="str">
        <f t="shared" si="45"/>
        <v/>
      </c>
      <c r="AL72" s="66" t="str">
        <f t="shared" si="46"/>
        <v/>
      </c>
      <c r="AM72" s="67">
        <f t="shared" si="47"/>
        <v>-245.6</v>
      </c>
      <c r="AN72" s="61">
        <v>-1</v>
      </c>
      <c r="AO72" s="66" t="str">
        <f t="shared" si="48"/>
        <v/>
      </c>
      <c r="AP72" s="66" t="str">
        <f t="shared" si="49"/>
        <v/>
      </c>
      <c r="AQ72" s="67">
        <f t="shared" si="50"/>
        <v>-245.6</v>
      </c>
      <c r="AR72" s="61">
        <v>1</v>
      </c>
      <c r="AS72" s="66">
        <f t="shared" si="51"/>
        <v>245.6</v>
      </c>
      <c r="AT72" s="66" t="str">
        <f t="shared" si="52"/>
        <v/>
      </c>
      <c r="AU72" s="67" t="str">
        <f t="shared" si="53"/>
        <v/>
      </c>
      <c r="AV72" s="61">
        <v>0</v>
      </c>
      <c r="AW72" s="66" t="str">
        <f t="shared" si="36"/>
        <v/>
      </c>
      <c r="AX72" s="66">
        <f t="shared" si="37"/>
        <v>0</v>
      </c>
      <c r="AY72" s="67" t="str">
        <f t="shared" si="38"/>
        <v/>
      </c>
      <c r="AZ72" s="61">
        <v>-1</v>
      </c>
      <c r="BA72" s="66" t="str">
        <f t="shared" si="39"/>
        <v/>
      </c>
      <c r="BB72" s="66" t="str">
        <f t="shared" si="40"/>
        <v/>
      </c>
      <c r="BC72" s="67">
        <f t="shared" si="41"/>
        <v>-245.6</v>
      </c>
    </row>
    <row r="73" spans="30:55">
      <c r="AD73" s="68" t="str">
        <v>05</v>
      </c>
      <c r="AE73" s="61">
        <v>271.39999999999998</v>
      </c>
      <c r="AF73" s="61">
        <v>-1</v>
      </c>
      <c r="AG73" s="66" t="str">
        <f t="shared" si="42"/>
        <v/>
      </c>
      <c r="AH73" s="66" t="str">
        <f t="shared" si="43"/>
        <v/>
      </c>
      <c r="AI73" s="67">
        <f t="shared" si="44"/>
        <v>-271.39999999999998</v>
      </c>
      <c r="AJ73" s="61">
        <v>-1</v>
      </c>
      <c r="AK73" s="66" t="str">
        <f t="shared" si="45"/>
        <v/>
      </c>
      <c r="AL73" s="66" t="str">
        <f t="shared" si="46"/>
        <v/>
      </c>
      <c r="AM73" s="67">
        <f t="shared" si="47"/>
        <v>-271.39999999999998</v>
      </c>
      <c r="AN73" s="61">
        <v>-1</v>
      </c>
      <c r="AO73" s="66" t="str">
        <f t="shared" si="48"/>
        <v/>
      </c>
      <c r="AP73" s="66" t="str">
        <f t="shared" si="49"/>
        <v/>
      </c>
      <c r="AQ73" s="67">
        <f t="shared" si="50"/>
        <v>-271.39999999999998</v>
      </c>
      <c r="AR73" s="61">
        <v>1</v>
      </c>
      <c r="AS73" s="66">
        <f t="shared" si="51"/>
        <v>271.39999999999998</v>
      </c>
      <c r="AT73" s="66" t="str">
        <f t="shared" si="52"/>
        <v/>
      </c>
      <c r="AU73" s="67" t="str">
        <f t="shared" si="53"/>
        <v/>
      </c>
      <c r="AV73" s="61">
        <v>1</v>
      </c>
      <c r="AW73" s="66">
        <f t="shared" si="36"/>
        <v>271.39999999999998</v>
      </c>
      <c r="AX73" s="66" t="str">
        <f t="shared" si="37"/>
        <v/>
      </c>
      <c r="AY73" s="67" t="str">
        <f t="shared" si="38"/>
        <v/>
      </c>
      <c r="AZ73" s="61">
        <v>-1</v>
      </c>
      <c r="BA73" s="66" t="str">
        <f t="shared" si="39"/>
        <v/>
      </c>
      <c r="BB73" s="66" t="str">
        <f t="shared" si="40"/>
        <v/>
      </c>
      <c r="BC73" s="67">
        <f t="shared" si="41"/>
        <v>-271.39999999999998</v>
      </c>
    </row>
    <row r="74" spans="30:55">
      <c r="AD74" s="68" t="str">
        <v>06</v>
      </c>
      <c r="AE74" s="61">
        <v>272.8</v>
      </c>
      <c r="AF74" s="61">
        <v>1</v>
      </c>
      <c r="AG74" s="66">
        <f t="shared" si="42"/>
        <v>272.8</v>
      </c>
      <c r="AH74" s="66" t="str">
        <f t="shared" si="43"/>
        <v/>
      </c>
      <c r="AI74" s="67" t="str">
        <f t="shared" si="44"/>
        <v/>
      </c>
      <c r="AJ74" s="61">
        <v>-1</v>
      </c>
      <c r="AK74" s="66" t="str">
        <f t="shared" si="45"/>
        <v/>
      </c>
      <c r="AL74" s="66" t="str">
        <f t="shared" si="46"/>
        <v/>
      </c>
      <c r="AM74" s="67">
        <f t="shared" si="47"/>
        <v>-272.8</v>
      </c>
      <c r="AN74" s="61">
        <v>-1</v>
      </c>
      <c r="AO74" s="66" t="str">
        <f t="shared" si="48"/>
        <v/>
      </c>
      <c r="AP74" s="66" t="str">
        <f t="shared" si="49"/>
        <v/>
      </c>
      <c r="AQ74" s="67">
        <f t="shared" si="50"/>
        <v>-272.8</v>
      </c>
      <c r="AR74" s="61">
        <v>-1</v>
      </c>
      <c r="AS74" s="66" t="str">
        <f t="shared" si="51"/>
        <v/>
      </c>
      <c r="AT74" s="66" t="str">
        <f t="shared" si="52"/>
        <v/>
      </c>
      <c r="AU74" s="67">
        <f t="shared" si="53"/>
        <v>-272.8</v>
      </c>
      <c r="AV74" s="61">
        <v>1</v>
      </c>
      <c r="AW74" s="66">
        <f t="shared" si="36"/>
        <v>272.8</v>
      </c>
      <c r="AX74" s="66" t="str">
        <f t="shared" si="37"/>
        <v/>
      </c>
      <c r="AY74" s="67" t="str">
        <f t="shared" si="38"/>
        <v/>
      </c>
      <c r="AZ74" s="61">
        <v>1</v>
      </c>
      <c r="BA74" s="66">
        <f t="shared" si="39"/>
        <v>272.8</v>
      </c>
      <c r="BB74" s="66" t="str">
        <f t="shared" si="40"/>
        <v/>
      </c>
      <c r="BC74" s="67" t="str">
        <f t="shared" si="41"/>
        <v/>
      </c>
    </row>
    <row r="75" spans="30:55">
      <c r="AD75" s="68" t="str">
        <v>07</v>
      </c>
      <c r="AE75" s="61">
        <v>255.20000000000002</v>
      </c>
      <c r="AF75" s="61">
        <v>1</v>
      </c>
      <c r="AG75" s="66">
        <f t="shared" si="42"/>
        <v>255.20000000000002</v>
      </c>
      <c r="AH75" s="66" t="str">
        <f t="shared" si="43"/>
        <v/>
      </c>
      <c r="AI75" s="67" t="str">
        <f t="shared" si="44"/>
        <v/>
      </c>
      <c r="AJ75" s="61">
        <v>-1</v>
      </c>
      <c r="AK75" s="66" t="str">
        <f t="shared" si="45"/>
        <v/>
      </c>
      <c r="AL75" s="66" t="str">
        <f t="shared" si="46"/>
        <v/>
      </c>
      <c r="AM75" s="67">
        <f t="shared" si="47"/>
        <v>-255.20000000000002</v>
      </c>
      <c r="AN75" s="61">
        <v>-1</v>
      </c>
      <c r="AO75" s="66" t="str">
        <f t="shared" si="48"/>
        <v/>
      </c>
      <c r="AP75" s="66" t="str">
        <f t="shared" si="49"/>
        <v/>
      </c>
      <c r="AQ75" s="67">
        <f t="shared" si="50"/>
        <v>-255.20000000000002</v>
      </c>
      <c r="AR75" s="61">
        <v>-1</v>
      </c>
      <c r="AS75" s="66" t="str">
        <f t="shared" si="51"/>
        <v/>
      </c>
      <c r="AT75" s="66" t="str">
        <f t="shared" si="52"/>
        <v/>
      </c>
      <c r="AU75" s="67">
        <f t="shared" si="53"/>
        <v>-255.20000000000002</v>
      </c>
      <c r="AV75" s="61">
        <v>0</v>
      </c>
      <c r="AW75" s="66" t="str">
        <f t="shared" si="36"/>
        <v/>
      </c>
      <c r="AX75" s="66">
        <f t="shared" si="37"/>
        <v>0</v>
      </c>
      <c r="AY75" s="67" t="str">
        <f t="shared" si="38"/>
        <v/>
      </c>
      <c r="AZ75" s="61">
        <v>1</v>
      </c>
      <c r="BA75" s="66">
        <f t="shared" si="39"/>
        <v>255.20000000000002</v>
      </c>
      <c r="BB75" s="66" t="str">
        <f t="shared" si="40"/>
        <v/>
      </c>
      <c r="BC75" s="67" t="str">
        <f t="shared" si="41"/>
        <v/>
      </c>
    </row>
    <row r="76" spans="30:55">
      <c r="AD76" s="68" t="str">
        <v>08</v>
      </c>
      <c r="AE76" s="61">
        <v>222.8</v>
      </c>
      <c r="AF76" s="61">
        <v>1</v>
      </c>
      <c r="AG76" s="66">
        <f t="shared" si="42"/>
        <v>222.8</v>
      </c>
      <c r="AH76" s="66" t="str">
        <f t="shared" si="43"/>
        <v/>
      </c>
      <c r="AI76" s="67" t="str">
        <f t="shared" si="44"/>
        <v/>
      </c>
      <c r="AJ76" s="61">
        <v>-1</v>
      </c>
      <c r="AK76" s="66" t="str">
        <f t="shared" si="45"/>
        <v/>
      </c>
      <c r="AL76" s="66" t="str">
        <f t="shared" si="46"/>
        <v/>
      </c>
      <c r="AM76" s="67">
        <f t="shared" si="47"/>
        <v>-222.8</v>
      </c>
      <c r="AN76" s="61">
        <v>-1</v>
      </c>
      <c r="AO76" s="66" t="str">
        <f t="shared" si="48"/>
        <v/>
      </c>
      <c r="AP76" s="66" t="str">
        <f t="shared" si="49"/>
        <v/>
      </c>
      <c r="AQ76" s="67">
        <f t="shared" si="50"/>
        <v>-222.8</v>
      </c>
      <c r="AR76" s="61">
        <v>-1</v>
      </c>
      <c r="AS76" s="66" t="str">
        <f t="shared" si="51"/>
        <v/>
      </c>
      <c r="AT76" s="66" t="str">
        <f t="shared" si="52"/>
        <v/>
      </c>
      <c r="AU76" s="67">
        <f t="shared" si="53"/>
        <v>-222.8</v>
      </c>
      <c r="AV76" s="61">
        <v>-1</v>
      </c>
      <c r="AW76" s="66" t="str">
        <f t="shared" si="36"/>
        <v/>
      </c>
      <c r="AX76" s="66" t="str">
        <f t="shared" si="37"/>
        <v/>
      </c>
      <c r="AY76" s="67">
        <f t="shared" si="38"/>
        <v>-222.8</v>
      </c>
      <c r="AZ76" s="61">
        <v>1</v>
      </c>
      <c r="BA76" s="66">
        <f t="shared" si="39"/>
        <v>222.8</v>
      </c>
      <c r="BB76" s="66" t="str">
        <f t="shared" si="40"/>
        <v/>
      </c>
      <c r="BC76" s="67" t="str">
        <f t="shared" si="41"/>
        <v/>
      </c>
    </row>
    <row r="77" spans="30:55">
      <c r="AD77" s="68" t="str">
        <v>09</v>
      </c>
      <c r="AE77" s="61">
        <v>182.8</v>
      </c>
      <c r="AF77" s="61">
        <v>1</v>
      </c>
      <c r="AG77" s="66">
        <f t="shared" si="42"/>
        <v>182.8</v>
      </c>
      <c r="AH77" s="66" t="str">
        <f t="shared" si="43"/>
        <v/>
      </c>
      <c r="AI77" s="67" t="str">
        <f t="shared" si="44"/>
        <v/>
      </c>
      <c r="AJ77" s="61">
        <v>-1</v>
      </c>
      <c r="AK77" s="66" t="str">
        <f t="shared" si="45"/>
        <v/>
      </c>
      <c r="AL77" s="66" t="str">
        <f t="shared" si="46"/>
        <v/>
      </c>
      <c r="AM77" s="67">
        <f t="shared" si="47"/>
        <v>-182.8</v>
      </c>
      <c r="AN77" s="61">
        <v>1</v>
      </c>
      <c r="AO77" s="66">
        <f t="shared" si="48"/>
        <v>182.8</v>
      </c>
      <c r="AP77" s="66" t="str">
        <f t="shared" si="49"/>
        <v/>
      </c>
      <c r="AQ77" s="67" t="str">
        <f t="shared" si="50"/>
        <v/>
      </c>
      <c r="AR77" s="61">
        <v>-1</v>
      </c>
      <c r="AS77" s="66" t="str">
        <f t="shared" si="51"/>
        <v/>
      </c>
      <c r="AT77" s="66" t="str">
        <f t="shared" si="52"/>
        <v/>
      </c>
      <c r="AU77" s="67">
        <f t="shared" si="53"/>
        <v>-182.8</v>
      </c>
      <c r="AV77" s="61">
        <v>-1</v>
      </c>
      <c r="AW77" s="66" t="str">
        <f t="shared" si="36"/>
        <v/>
      </c>
      <c r="AX77" s="66" t="str">
        <f t="shared" si="37"/>
        <v/>
      </c>
      <c r="AY77" s="67">
        <f t="shared" si="38"/>
        <v>-182.8</v>
      </c>
      <c r="AZ77" s="61">
        <v>-1</v>
      </c>
      <c r="BA77" s="66" t="str">
        <f t="shared" si="39"/>
        <v/>
      </c>
      <c r="BB77" s="66" t="str">
        <f t="shared" si="40"/>
        <v/>
      </c>
      <c r="BC77" s="67">
        <f t="shared" si="41"/>
        <v>-182.8</v>
      </c>
    </row>
    <row r="78" spans="30:55">
      <c r="AD78" s="68" t="str">
        <v>10</v>
      </c>
      <c r="AE78" s="61">
        <v>148.5</v>
      </c>
      <c r="AF78" s="61">
        <v>1</v>
      </c>
      <c r="AG78" s="66">
        <f t="shared" si="42"/>
        <v>148.5</v>
      </c>
      <c r="AH78" s="66" t="str">
        <f t="shared" si="43"/>
        <v/>
      </c>
      <c r="AI78" s="67" t="str">
        <f t="shared" si="44"/>
        <v/>
      </c>
      <c r="AJ78" s="61">
        <v>-1</v>
      </c>
      <c r="AK78" s="66" t="str">
        <f t="shared" si="45"/>
        <v/>
      </c>
      <c r="AL78" s="66" t="str">
        <f t="shared" si="46"/>
        <v/>
      </c>
      <c r="AM78" s="67">
        <f t="shared" si="47"/>
        <v>-148.5</v>
      </c>
      <c r="AN78" s="61">
        <v>1</v>
      </c>
      <c r="AO78" s="66">
        <f t="shared" si="48"/>
        <v>148.5</v>
      </c>
      <c r="AP78" s="66" t="str">
        <f t="shared" si="49"/>
        <v/>
      </c>
      <c r="AQ78" s="67" t="str">
        <f t="shared" si="50"/>
        <v/>
      </c>
      <c r="AR78" s="61">
        <v>-1</v>
      </c>
      <c r="AS78" s="66" t="str">
        <f t="shared" si="51"/>
        <v/>
      </c>
      <c r="AT78" s="66" t="str">
        <f t="shared" si="52"/>
        <v/>
      </c>
      <c r="AU78" s="67">
        <f t="shared" si="53"/>
        <v>-148.5</v>
      </c>
      <c r="AV78" s="61">
        <v>0</v>
      </c>
      <c r="AW78" s="66" t="str">
        <f t="shared" si="36"/>
        <v/>
      </c>
      <c r="AX78" s="66">
        <f t="shared" si="37"/>
        <v>0</v>
      </c>
      <c r="AY78" s="67" t="str">
        <f t="shared" si="38"/>
        <v/>
      </c>
      <c r="AZ78" s="61">
        <v>-1</v>
      </c>
      <c r="BA78" s="66" t="str">
        <f t="shared" si="39"/>
        <v/>
      </c>
      <c r="BB78" s="66" t="str">
        <f t="shared" si="40"/>
        <v/>
      </c>
      <c r="BC78" s="67">
        <f t="shared" si="41"/>
        <v>-148.5</v>
      </c>
    </row>
    <row r="79" spans="30:55">
      <c r="AD79" s="68" t="str">
        <v>11</v>
      </c>
      <c r="AE79" s="61">
        <v>122</v>
      </c>
      <c r="AF79" s="61">
        <v>1</v>
      </c>
      <c r="AG79" s="66">
        <f t="shared" si="42"/>
        <v>122</v>
      </c>
      <c r="AH79" s="66" t="str">
        <f t="shared" si="43"/>
        <v/>
      </c>
      <c r="AI79" s="67" t="str">
        <f t="shared" si="44"/>
        <v/>
      </c>
      <c r="AJ79" s="61">
        <v>-1</v>
      </c>
      <c r="AK79" s="66" t="str">
        <f t="shared" si="45"/>
        <v/>
      </c>
      <c r="AL79" s="66" t="str">
        <f t="shared" si="46"/>
        <v/>
      </c>
      <c r="AM79" s="67">
        <f t="shared" si="47"/>
        <v>-122</v>
      </c>
      <c r="AN79" s="61">
        <v>1</v>
      </c>
      <c r="AO79" s="66">
        <f t="shared" si="48"/>
        <v>122</v>
      </c>
      <c r="AP79" s="66" t="str">
        <f t="shared" si="49"/>
        <v/>
      </c>
      <c r="AQ79" s="67" t="str">
        <f t="shared" si="50"/>
        <v/>
      </c>
      <c r="AR79" s="61">
        <v>-1</v>
      </c>
      <c r="AS79" s="66" t="str">
        <f t="shared" si="51"/>
        <v/>
      </c>
      <c r="AT79" s="66" t="str">
        <f t="shared" si="52"/>
        <v/>
      </c>
      <c r="AU79" s="67">
        <f t="shared" si="53"/>
        <v>-122</v>
      </c>
      <c r="AV79" s="61">
        <v>1</v>
      </c>
      <c r="AW79" s="66">
        <f t="shared" si="36"/>
        <v>122</v>
      </c>
      <c r="AX79" s="66" t="str">
        <f t="shared" si="37"/>
        <v/>
      </c>
      <c r="AY79" s="67" t="str">
        <f t="shared" si="38"/>
        <v/>
      </c>
      <c r="AZ79" s="61">
        <v>-1</v>
      </c>
      <c r="BA79" s="66" t="str">
        <f t="shared" si="39"/>
        <v/>
      </c>
      <c r="BB79" s="66" t="str">
        <f t="shared" si="40"/>
        <v/>
      </c>
      <c r="BC79" s="67">
        <f t="shared" si="41"/>
        <v>-122</v>
      </c>
    </row>
    <row r="80" spans="30:55">
      <c r="AD80" s="68" t="str">
        <v>12</v>
      </c>
      <c r="AE80" s="61">
        <v>113.6</v>
      </c>
      <c r="AF80" s="61">
        <v>1</v>
      </c>
      <c r="AG80" s="66">
        <f t="shared" si="42"/>
        <v>113.6</v>
      </c>
      <c r="AH80" s="66" t="str">
        <f t="shared" si="43"/>
        <v/>
      </c>
      <c r="AI80" s="67" t="str">
        <f t="shared" si="44"/>
        <v/>
      </c>
      <c r="AJ80" s="61">
        <v>1</v>
      </c>
      <c r="AK80" s="66">
        <f t="shared" si="45"/>
        <v>113.6</v>
      </c>
      <c r="AL80" s="66" t="str">
        <f t="shared" si="46"/>
        <v/>
      </c>
      <c r="AM80" s="67" t="str">
        <f t="shared" si="47"/>
        <v/>
      </c>
      <c r="AN80" s="61">
        <v>1</v>
      </c>
      <c r="AO80" s="66">
        <f t="shared" si="48"/>
        <v>113.6</v>
      </c>
      <c r="AP80" s="66" t="str">
        <f t="shared" si="49"/>
        <v/>
      </c>
      <c r="AQ80" s="67" t="str">
        <f t="shared" si="50"/>
        <v/>
      </c>
      <c r="AR80" s="61">
        <v>1</v>
      </c>
      <c r="AS80" s="66">
        <f t="shared" si="51"/>
        <v>113.6</v>
      </c>
      <c r="AT80" s="66" t="str">
        <f t="shared" si="52"/>
        <v/>
      </c>
      <c r="AU80" s="67" t="str">
        <f t="shared" si="53"/>
        <v/>
      </c>
      <c r="AV80" s="61">
        <v>1</v>
      </c>
      <c r="AW80" s="66">
        <f t="shared" si="36"/>
        <v>113.6</v>
      </c>
      <c r="AX80" s="66" t="str">
        <f t="shared" si="37"/>
        <v/>
      </c>
      <c r="AY80" s="67" t="str">
        <f t="shared" si="38"/>
        <v/>
      </c>
      <c r="AZ80" s="61">
        <v>1</v>
      </c>
      <c r="BA80" s="66">
        <f t="shared" si="39"/>
        <v>113.6</v>
      </c>
      <c r="BB80" s="66" t="str">
        <f t="shared" si="40"/>
        <v/>
      </c>
      <c r="BC80" s="67" t="str">
        <f t="shared" si="41"/>
        <v/>
      </c>
    </row>
    <row r="81" spans="29:55">
      <c r="AD81" s="68" t="str">
        <v>13</v>
      </c>
      <c r="AE81" s="61">
        <v>123.4</v>
      </c>
      <c r="AF81" s="61">
        <v>1</v>
      </c>
      <c r="AG81" s="66">
        <f t="shared" si="42"/>
        <v>123.4</v>
      </c>
      <c r="AH81" s="66" t="str">
        <f t="shared" si="43"/>
        <v/>
      </c>
      <c r="AI81" s="67" t="str">
        <f t="shared" si="44"/>
        <v/>
      </c>
      <c r="AJ81" s="61">
        <v>1</v>
      </c>
      <c r="AK81" s="66">
        <f t="shared" si="45"/>
        <v>123.4</v>
      </c>
      <c r="AL81" s="66" t="str">
        <f t="shared" si="46"/>
        <v/>
      </c>
      <c r="AM81" s="67" t="str">
        <f t="shared" si="47"/>
        <v/>
      </c>
      <c r="AN81" s="61">
        <v>1</v>
      </c>
      <c r="AO81" s="66">
        <f t="shared" si="48"/>
        <v>123.4</v>
      </c>
      <c r="AP81" s="66" t="str">
        <f t="shared" si="49"/>
        <v/>
      </c>
      <c r="AQ81" s="67" t="str">
        <f t="shared" si="50"/>
        <v/>
      </c>
      <c r="AR81" s="61">
        <v>1</v>
      </c>
      <c r="AS81" s="66">
        <f t="shared" si="51"/>
        <v>123.4</v>
      </c>
      <c r="AT81" s="66" t="str">
        <f t="shared" si="52"/>
        <v/>
      </c>
      <c r="AU81" s="67" t="str">
        <f t="shared" si="53"/>
        <v/>
      </c>
      <c r="AV81" s="61">
        <v>0</v>
      </c>
      <c r="AW81" s="66" t="str">
        <f t="shared" si="36"/>
        <v/>
      </c>
      <c r="AX81" s="66">
        <f t="shared" si="37"/>
        <v>0</v>
      </c>
      <c r="AY81" s="67" t="str">
        <f t="shared" si="38"/>
        <v/>
      </c>
      <c r="AZ81" s="61">
        <v>1</v>
      </c>
      <c r="BA81" s="66">
        <f t="shared" si="39"/>
        <v>123.4</v>
      </c>
      <c r="BB81" s="66" t="str">
        <f t="shared" si="40"/>
        <v/>
      </c>
      <c r="BC81" s="67" t="str">
        <f t="shared" si="41"/>
        <v/>
      </c>
    </row>
    <row r="82" spans="29:55">
      <c r="AD82" s="68" t="str">
        <v>14</v>
      </c>
      <c r="AE82" s="61">
        <v>143.4</v>
      </c>
      <c r="AF82" s="61">
        <v>1</v>
      </c>
      <c r="AG82" s="66">
        <f t="shared" si="42"/>
        <v>143.4</v>
      </c>
      <c r="AH82" s="66" t="str">
        <f t="shared" si="43"/>
        <v/>
      </c>
      <c r="AI82" s="67" t="str">
        <f t="shared" si="44"/>
        <v/>
      </c>
      <c r="AJ82" s="61">
        <v>1</v>
      </c>
      <c r="AK82" s="66">
        <f t="shared" si="45"/>
        <v>143.4</v>
      </c>
      <c r="AL82" s="66" t="str">
        <f t="shared" si="46"/>
        <v/>
      </c>
      <c r="AM82" s="67" t="str">
        <f t="shared" si="47"/>
        <v/>
      </c>
      <c r="AN82" s="61">
        <v>1</v>
      </c>
      <c r="AO82" s="66">
        <f t="shared" si="48"/>
        <v>143.4</v>
      </c>
      <c r="AP82" s="66" t="str">
        <f t="shared" si="49"/>
        <v/>
      </c>
      <c r="AQ82" s="67" t="str">
        <f t="shared" si="50"/>
        <v/>
      </c>
      <c r="AR82" s="61">
        <v>1</v>
      </c>
      <c r="AS82" s="66">
        <f t="shared" si="51"/>
        <v>143.4</v>
      </c>
      <c r="AT82" s="66" t="str">
        <f t="shared" si="52"/>
        <v/>
      </c>
      <c r="AU82" s="67" t="str">
        <f t="shared" si="53"/>
        <v/>
      </c>
      <c r="AV82" s="61">
        <v>-1</v>
      </c>
      <c r="AW82" s="66" t="str">
        <f t="shared" si="36"/>
        <v/>
      </c>
      <c r="AX82" s="66" t="str">
        <f t="shared" si="37"/>
        <v/>
      </c>
      <c r="AY82" s="67">
        <f t="shared" si="38"/>
        <v>-143.4</v>
      </c>
      <c r="AZ82" s="61">
        <v>1</v>
      </c>
      <c r="BA82" s="66">
        <f t="shared" si="39"/>
        <v>143.4</v>
      </c>
      <c r="BB82" s="66" t="str">
        <f t="shared" si="40"/>
        <v/>
      </c>
      <c r="BC82" s="67" t="str">
        <f t="shared" si="41"/>
        <v/>
      </c>
    </row>
    <row r="83" spans="29:55">
      <c r="AD83" s="68" t="str">
        <v>15</v>
      </c>
      <c r="AE83" s="61">
        <v>164.1</v>
      </c>
      <c r="AF83" s="61">
        <v>1</v>
      </c>
      <c r="AG83" s="66">
        <f t="shared" si="42"/>
        <v>164.1</v>
      </c>
      <c r="AH83" s="66" t="str">
        <f t="shared" si="43"/>
        <v/>
      </c>
      <c r="AI83" s="67" t="str">
        <f t="shared" si="44"/>
        <v/>
      </c>
      <c r="AJ83" s="61">
        <v>1</v>
      </c>
      <c r="AK83" s="66">
        <f t="shared" si="45"/>
        <v>164.1</v>
      </c>
      <c r="AL83" s="66" t="str">
        <f t="shared" si="46"/>
        <v/>
      </c>
      <c r="AM83" s="67" t="str">
        <f t="shared" si="47"/>
        <v/>
      </c>
      <c r="AN83" s="61">
        <v>-1</v>
      </c>
      <c r="AO83" s="66" t="str">
        <f t="shared" si="48"/>
        <v/>
      </c>
      <c r="AP83" s="66" t="str">
        <f t="shared" si="49"/>
        <v/>
      </c>
      <c r="AQ83" s="67">
        <f t="shared" si="50"/>
        <v>-164.1</v>
      </c>
      <c r="AR83" s="61">
        <v>1</v>
      </c>
      <c r="AS83" s="66">
        <f t="shared" si="51"/>
        <v>164.1</v>
      </c>
      <c r="AT83" s="66" t="str">
        <f t="shared" si="52"/>
        <v/>
      </c>
      <c r="AU83" s="67" t="str">
        <f t="shared" si="53"/>
        <v/>
      </c>
      <c r="AV83" s="61">
        <v>-1</v>
      </c>
      <c r="AW83" s="66" t="str">
        <f t="shared" si="36"/>
        <v/>
      </c>
      <c r="AX83" s="66" t="str">
        <f t="shared" si="37"/>
        <v/>
      </c>
      <c r="AY83" s="67">
        <f t="shared" si="38"/>
        <v>-164.1</v>
      </c>
      <c r="AZ83" s="61">
        <v>-1</v>
      </c>
      <c r="BA83" s="66" t="str">
        <f t="shared" si="39"/>
        <v/>
      </c>
      <c r="BB83" s="66" t="str">
        <f t="shared" si="40"/>
        <v/>
      </c>
      <c r="BC83" s="67">
        <f t="shared" si="41"/>
        <v>-164.1</v>
      </c>
    </row>
    <row r="84" spans="29:55">
      <c r="AD84" s="68" t="str">
        <v>16</v>
      </c>
      <c r="AE84" s="61">
        <v>177.8</v>
      </c>
      <c r="AF84" s="61">
        <v>1</v>
      </c>
      <c r="AG84" s="66">
        <f t="shared" si="42"/>
        <v>177.8</v>
      </c>
      <c r="AH84" s="66" t="str">
        <f t="shared" si="43"/>
        <v/>
      </c>
      <c r="AI84" s="67" t="str">
        <f t="shared" si="44"/>
        <v/>
      </c>
      <c r="AJ84" s="61">
        <v>1</v>
      </c>
      <c r="AK84" s="66">
        <f t="shared" si="45"/>
        <v>177.8</v>
      </c>
      <c r="AL84" s="66" t="str">
        <f t="shared" si="46"/>
        <v/>
      </c>
      <c r="AM84" s="67" t="str">
        <f t="shared" si="47"/>
        <v/>
      </c>
      <c r="AN84" s="61">
        <v>-1</v>
      </c>
      <c r="AO84" s="66" t="str">
        <f t="shared" si="48"/>
        <v/>
      </c>
      <c r="AP84" s="66" t="str">
        <f t="shared" si="49"/>
        <v/>
      </c>
      <c r="AQ84" s="67">
        <f t="shared" si="50"/>
        <v>-177.8</v>
      </c>
      <c r="AR84" s="61">
        <v>1</v>
      </c>
      <c r="AS84" s="66">
        <f t="shared" si="51"/>
        <v>177.8</v>
      </c>
      <c r="AT84" s="66" t="str">
        <f t="shared" si="52"/>
        <v/>
      </c>
      <c r="AU84" s="67" t="str">
        <f t="shared" si="53"/>
        <v/>
      </c>
      <c r="AV84" s="61">
        <v>0</v>
      </c>
      <c r="AW84" s="66" t="str">
        <f t="shared" si="36"/>
        <v/>
      </c>
      <c r="AX84" s="66">
        <f t="shared" si="37"/>
        <v>0</v>
      </c>
      <c r="AY84" s="67" t="str">
        <f t="shared" si="38"/>
        <v/>
      </c>
      <c r="AZ84" s="61">
        <v>-1</v>
      </c>
      <c r="BA84" s="66" t="str">
        <f t="shared" si="39"/>
        <v/>
      </c>
      <c r="BB84" s="66" t="str">
        <f t="shared" si="40"/>
        <v/>
      </c>
      <c r="BC84" s="67">
        <f t="shared" si="41"/>
        <v>-177.8</v>
      </c>
    </row>
    <row r="85" spans="29:55">
      <c r="AD85" s="68" t="str">
        <v>17</v>
      </c>
      <c r="AE85" s="61">
        <v>182.1</v>
      </c>
      <c r="AF85" s="61">
        <v>1</v>
      </c>
      <c r="AG85" s="66">
        <f t="shared" si="42"/>
        <v>182.1</v>
      </c>
      <c r="AH85" s="66" t="str">
        <f t="shared" si="43"/>
        <v/>
      </c>
      <c r="AI85" s="67" t="str">
        <f t="shared" si="44"/>
        <v/>
      </c>
      <c r="AJ85" s="61">
        <v>1</v>
      </c>
      <c r="AK85" s="66">
        <f t="shared" si="45"/>
        <v>182.1</v>
      </c>
      <c r="AL85" s="66" t="str">
        <f t="shared" si="46"/>
        <v/>
      </c>
      <c r="AM85" s="67" t="str">
        <f t="shared" si="47"/>
        <v/>
      </c>
      <c r="AN85" s="61">
        <v>-1</v>
      </c>
      <c r="AO85" s="66" t="str">
        <f t="shared" si="48"/>
        <v/>
      </c>
      <c r="AP85" s="66" t="str">
        <f t="shared" si="49"/>
        <v/>
      </c>
      <c r="AQ85" s="67">
        <f t="shared" si="50"/>
        <v>-182.1</v>
      </c>
      <c r="AR85" s="61">
        <v>1</v>
      </c>
      <c r="AS85" s="66">
        <f t="shared" si="51"/>
        <v>182.1</v>
      </c>
      <c r="AT85" s="66" t="str">
        <f t="shared" si="52"/>
        <v/>
      </c>
      <c r="AU85" s="67" t="str">
        <f t="shared" si="53"/>
        <v/>
      </c>
      <c r="AV85" s="61">
        <v>1</v>
      </c>
      <c r="AW85" s="66">
        <f t="shared" si="36"/>
        <v>182.1</v>
      </c>
      <c r="AX85" s="66" t="str">
        <f t="shared" si="37"/>
        <v/>
      </c>
      <c r="AY85" s="67" t="str">
        <f t="shared" si="38"/>
        <v/>
      </c>
      <c r="AZ85" s="61">
        <v>-1</v>
      </c>
      <c r="BA85" s="66" t="str">
        <f t="shared" si="39"/>
        <v/>
      </c>
      <c r="BB85" s="66" t="str">
        <f t="shared" si="40"/>
        <v/>
      </c>
      <c r="BC85" s="67">
        <f t="shared" si="41"/>
        <v>-182.1</v>
      </c>
    </row>
    <row r="86" spans="29:55">
      <c r="AD86" s="68" t="str">
        <v>18</v>
      </c>
      <c r="AE86" s="61">
        <v>178.7</v>
      </c>
      <c r="AF86" s="61">
        <v>-1</v>
      </c>
      <c r="AG86" s="66" t="str">
        <f t="shared" si="42"/>
        <v/>
      </c>
      <c r="AH86" s="66" t="str">
        <f t="shared" si="43"/>
        <v/>
      </c>
      <c r="AI86" s="67">
        <f t="shared" si="44"/>
        <v>-178.7</v>
      </c>
      <c r="AJ86" s="61">
        <v>1</v>
      </c>
      <c r="AK86" s="66">
        <f t="shared" si="45"/>
        <v>178.7</v>
      </c>
      <c r="AL86" s="66" t="str">
        <f t="shared" si="46"/>
        <v/>
      </c>
      <c r="AM86" s="67" t="str">
        <f t="shared" si="47"/>
        <v/>
      </c>
      <c r="AN86" s="61">
        <v>-1</v>
      </c>
      <c r="AO86" s="66" t="str">
        <f t="shared" si="48"/>
        <v/>
      </c>
      <c r="AP86" s="66" t="str">
        <f t="shared" si="49"/>
        <v/>
      </c>
      <c r="AQ86" s="67">
        <f t="shared" si="50"/>
        <v>-178.7</v>
      </c>
      <c r="AR86" s="61">
        <v>-1</v>
      </c>
      <c r="AS86" s="66" t="str">
        <f t="shared" si="51"/>
        <v/>
      </c>
      <c r="AT86" s="66" t="str">
        <f t="shared" si="52"/>
        <v/>
      </c>
      <c r="AU86" s="67">
        <f t="shared" si="53"/>
        <v>-178.7</v>
      </c>
      <c r="AV86" s="61">
        <v>1</v>
      </c>
      <c r="AW86" s="66">
        <f t="shared" si="36"/>
        <v>178.7</v>
      </c>
      <c r="AX86" s="66" t="str">
        <f t="shared" si="37"/>
        <v/>
      </c>
      <c r="AY86" s="67" t="str">
        <f t="shared" si="38"/>
        <v/>
      </c>
      <c r="AZ86" s="61">
        <v>1</v>
      </c>
      <c r="BA86" s="66">
        <f t="shared" si="39"/>
        <v>178.7</v>
      </c>
      <c r="BB86" s="66" t="str">
        <f t="shared" si="40"/>
        <v/>
      </c>
      <c r="BC86" s="67" t="str">
        <f t="shared" si="41"/>
        <v/>
      </c>
    </row>
    <row r="87" spans="29:55">
      <c r="AD87" s="68" t="str">
        <v>19</v>
      </c>
      <c r="AE87" s="61">
        <v>162.60000000000002</v>
      </c>
      <c r="AF87" s="61">
        <v>-1</v>
      </c>
      <c r="AG87" s="66" t="str">
        <f t="shared" si="42"/>
        <v/>
      </c>
      <c r="AH87" s="66" t="str">
        <f t="shared" si="43"/>
        <v/>
      </c>
      <c r="AI87" s="67">
        <f t="shared" si="44"/>
        <v>-162.60000000000002</v>
      </c>
      <c r="AJ87" s="61">
        <v>1</v>
      </c>
      <c r="AK87" s="66">
        <f t="shared" si="45"/>
        <v>162.60000000000002</v>
      </c>
      <c r="AL87" s="66" t="str">
        <f t="shared" si="46"/>
        <v/>
      </c>
      <c r="AM87" s="67" t="str">
        <f t="shared" si="47"/>
        <v/>
      </c>
      <c r="AN87" s="61">
        <v>-1</v>
      </c>
      <c r="AO87" s="66" t="str">
        <f t="shared" si="48"/>
        <v/>
      </c>
      <c r="AP87" s="66" t="str">
        <f t="shared" si="49"/>
        <v/>
      </c>
      <c r="AQ87" s="67">
        <f t="shared" si="50"/>
        <v>-162.60000000000002</v>
      </c>
      <c r="AR87" s="61">
        <v>-1</v>
      </c>
      <c r="AS87" s="66" t="str">
        <f t="shared" si="51"/>
        <v/>
      </c>
      <c r="AT87" s="66" t="str">
        <f t="shared" si="52"/>
        <v/>
      </c>
      <c r="AU87" s="67">
        <f t="shared" si="53"/>
        <v>-162.60000000000002</v>
      </c>
      <c r="AV87" s="61">
        <v>0</v>
      </c>
      <c r="AW87" s="66" t="str">
        <f t="shared" si="36"/>
        <v/>
      </c>
      <c r="AX87" s="66">
        <f t="shared" si="37"/>
        <v>0</v>
      </c>
      <c r="AY87" s="67" t="str">
        <f t="shared" si="38"/>
        <v/>
      </c>
      <c r="AZ87" s="61">
        <v>1</v>
      </c>
      <c r="BA87" s="66">
        <f t="shared" si="39"/>
        <v>162.60000000000002</v>
      </c>
      <c r="BB87" s="66" t="str">
        <f t="shared" si="40"/>
        <v/>
      </c>
      <c r="BC87" s="67" t="str">
        <f t="shared" si="41"/>
        <v/>
      </c>
    </row>
    <row r="88" spans="29:55">
      <c r="AD88" s="68" t="str">
        <v>20</v>
      </c>
      <c r="AE88" s="61">
        <v>139.9</v>
      </c>
      <c r="AF88" s="61">
        <v>-1</v>
      </c>
      <c r="AG88" s="66" t="str">
        <f t="shared" si="42"/>
        <v/>
      </c>
      <c r="AH88" s="66" t="str">
        <f t="shared" si="43"/>
        <v/>
      </c>
      <c r="AI88" s="67">
        <f t="shared" si="44"/>
        <v>-139.9</v>
      </c>
      <c r="AJ88" s="61">
        <v>1</v>
      </c>
      <c r="AK88" s="66">
        <f t="shared" si="45"/>
        <v>139.9</v>
      </c>
      <c r="AL88" s="66" t="str">
        <f t="shared" si="46"/>
        <v/>
      </c>
      <c r="AM88" s="67" t="str">
        <f t="shared" si="47"/>
        <v/>
      </c>
      <c r="AN88" s="61">
        <v>-1</v>
      </c>
      <c r="AO88" s="66" t="str">
        <f t="shared" si="48"/>
        <v/>
      </c>
      <c r="AP88" s="66" t="str">
        <f t="shared" si="49"/>
        <v/>
      </c>
      <c r="AQ88" s="67">
        <f t="shared" si="50"/>
        <v>-139.9</v>
      </c>
      <c r="AR88" s="61">
        <v>-1</v>
      </c>
      <c r="AS88" s="66" t="str">
        <f t="shared" si="51"/>
        <v/>
      </c>
      <c r="AT88" s="66" t="str">
        <f t="shared" si="52"/>
        <v/>
      </c>
      <c r="AU88" s="67">
        <f t="shared" si="53"/>
        <v>-139.9</v>
      </c>
      <c r="AV88" s="61">
        <v>-1</v>
      </c>
      <c r="AW88" s="66" t="str">
        <f t="shared" si="36"/>
        <v/>
      </c>
      <c r="AX88" s="66" t="str">
        <f t="shared" si="37"/>
        <v/>
      </c>
      <c r="AY88" s="67">
        <f t="shared" si="38"/>
        <v>-139.9</v>
      </c>
      <c r="AZ88" s="61">
        <v>1</v>
      </c>
      <c r="BA88" s="66">
        <f t="shared" si="39"/>
        <v>139.9</v>
      </c>
      <c r="BB88" s="66" t="str">
        <f t="shared" si="40"/>
        <v/>
      </c>
      <c r="BC88" s="67" t="str">
        <f t="shared" si="41"/>
        <v/>
      </c>
    </row>
    <row r="89" spans="29:55">
      <c r="AD89" s="68" t="str">
        <v>21</v>
      </c>
      <c r="AE89" s="61">
        <v>114.6</v>
      </c>
      <c r="AF89" s="61">
        <v>-1</v>
      </c>
      <c r="AG89" s="66" t="str">
        <f t="shared" si="42"/>
        <v/>
      </c>
      <c r="AH89" s="66" t="str">
        <f t="shared" si="43"/>
        <v/>
      </c>
      <c r="AI89" s="67">
        <f t="shared" si="44"/>
        <v>-114.6</v>
      </c>
      <c r="AJ89" s="61">
        <v>1</v>
      </c>
      <c r="AK89" s="66">
        <f t="shared" si="45"/>
        <v>114.6</v>
      </c>
      <c r="AL89" s="66" t="str">
        <f t="shared" si="46"/>
        <v/>
      </c>
      <c r="AM89" s="67" t="str">
        <f t="shared" si="47"/>
        <v/>
      </c>
      <c r="AN89" s="61">
        <v>1</v>
      </c>
      <c r="AO89" s="66">
        <f t="shared" si="48"/>
        <v>114.6</v>
      </c>
      <c r="AP89" s="66" t="str">
        <f t="shared" si="49"/>
        <v/>
      </c>
      <c r="AQ89" s="67" t="str">
        <f t="shared" si="50"/>
        <v/>
      </c>
      <c r="AR89" s="61">
        <v>-1</v>
      </c>
      <c r="AS89" s="66" t="str">
        <f t="shared" si="51"/>
        <v/>
      </c>
      <c r="AT89" s="66" t="str">
        <f t="shared" si="52"/>
        <v/>
      </c>
      <c r="AU89" s="67">
        <f t="shared" si="53"/>
        <v>-114.6</v>
      </c>
      <c r="AV89" s="61">
        <v>-1</v>
      </c>
      <c r="AW89" s="66" t="str">
        <f t="shared" si="36"/>
        <v/>
      </c>
      <c r="AX89" s="66" t="str">
        <f t="shared" si="37"/>
        <v/>
      </c>
      <c r="AY89" s="67">
        <f t="shared" si="38"/>
        <v>-114.6</v>
      </c>
      <c r="AZ89" s="61">
        <v>-1</v>
      </c>
      <c r="BA89" s="66" t="str">
        <f t="shared" si="39"/>
        <v/>
      </c>
      <c r="BB89" s="66" t="str">
        <f t="shared" si="40"/>
        <v/>
      </c>
      <c r="BC89" s="67">
        <f t="shared" si="41"/>
        <v>-114.6</v>
      </c>
    </row>
    <row r="90" spans="29:55">
      <c r="AD90" s="68" t="str">
        <v>22</v>
      </c>
      <c r="AE90" s="61">
        <v>88.5</v>
      </c>
      <c r="AF90" s="61">
        <v>-1</v>
      </c>
      <c r="AG90" s="66" t="str">
        <f t="shared" si="42"/>
        <v/>
      </c>
      <c r="AH90" s="66" t="str">
        <f t="shared" si="43"/>
        <v/>
      </c>
      <c r="AI90" s="67">
        <f t="shared" si="44"/>
        <v>-88.5</v>
      </c>
      <c r="AJ90" s="61">
        <v>1</v>
      </c>
      <c r="AK90" s="66">
        <f t="shared" si="45"/>
        <v>88.5</v>
      </c>
      <c r="AL90" s="66" t="str">
        <f t="shared" si="46"/>
        <v/>
      </c>
      <c r="AM90" s="67" t="str">
        <f t="shared" si="47"/>
        <v/>
      </c>
      <c r="AN90" s="61">
        <v>1</v>
      </c>
      <c r="AO90" s="66">
        <f t="shared" si="48"/>
        <v>88.5</v>
      </c>
      <c r="AP90" s="66" t="str">
        <f t="shared" si="49"/>
        <v/>
      </c>
      <c r="AQ90" s="67" t="str">
        <f t="shared" si="50"/>
        <v/>
      </c>
      <c r="AR90" s="61">
        <v>-1</v>
      </c>
      <c r="AS90" s="66" t="str">
        <f t="shared" si="51"/>
        <v/>
      </c>
      <c r="AT90" s="66" t="str">
        <f t="shared" si="52"/>
        <v/>
      </c>
      <c r="AU90" s="67">
        <f t="shared" si="53"/>
        <v>-88.5</v>
      </c>
      <c r="AV90" s="61">
        <v>0</v>
      </c>
      <c r="AW90" s="66" t="str">
        <f t="shared" si="36"/>
        <v/>
      </c>
      <c r="AX90" s="66">
        <f t="shared" si="37"/>
        <v>0</v>
      </c>
      <c r="AY90" s="67" t="str">
        <f t="shared" si="38"/>
        <v/>
      </c>
      <c r="AZ90" s="61">
        <v>-1</v>
      </c>
      <c r="BA90" s="66" t="str">
        <f t="shared" si="39"/>
        <v/>
      </c>
      <c r="BB90" s="66" t="str">
        <f t="shared" si="40"/>
        <v/>
      </c>
      <c r="BC90" s="67">
        <f t="shared" si="41"/>
        <v>-88.5</v>
      </c>
    </row>
    <row r="91" spans="29:55">
      <c r="AD91" s="68" t="str">
        <v>23</v>
      </c>
      <c r="AE91" s="61">
        <v>70.199999999999989</v>
      </c>
      <c r="AF91" s="61">
        <v>-1</v>
      </c>
      <c r="AG91" s="66" t="str">
        <f t="shared" si="42"/>
        <v/>
      </c>
      <c r="AH91" s="66" t="str">
        <f t="shared" si="43"/>
        <v/>
      </c>
      <c r="AI91" s="67">
        <f t="shared" si="44"/>
        <v>-70.199999999999989</v>
      </c>
      <c r="AJ91" s="61">
        <v>1</v>
      </c>
      <c r="AK91" s="66">
        <f t="shared" si="45"/>
        <v>70.199999999999989</v>
      </c>
      <c r="AL91" s="66" t="str">
        <f t="shared" si="46"/>
        <v/>
      </c>
      <c r="AM91" s="67" t="str">
        <f t="shared" si="47"/>
        <v/>
      </c>
      <c r="AN91" s="61">
        <v>1</v>
      </c>
      <c r="AO91" s="66">
        <f t="shared" si="48"/>
        <v>70.199999999999989</v>
      </c>
      <c r="AP91" s="66" t="str">
        <f t="shared" si="49"/>
        <v/>
      </c>
      <c r="AQ91" s="67" t="str">
        <f t="shared" si="50"/>
        <v/>
      </c>
      <c r="AR91" s="61">
        <v>-1</v>
      </c>
      <c r="AS91" s="66" t="str">
        <f t="shared" si="51"/>
        <v/>
      </c>
      <c r="AT91" s="66" t="str">
        <f t="shared" si="52"/>
        <v/>
      </c>
      <c r="AU91" s="67">
        <f t="shared" si="53"/>
        <v>-70.199999999999989</v>
      </c>
      <c r="AV91" s="61">
        <v>1</v>
      </c>
      <c r="AW91" s="66">
        <f t="shared" si="36"/>
        <v>70.199999999999989</v>
      </c>
      <c r="AX91" s="66" t="str">
        <f t="shared" si="37"/>
        <v/>
      </c>
      <c r="AY91" s="67" t="str">
        <f t="shared" si="38"/>
        <v/>
      </c>
      <c r="AZ91" s="61">
        <v>-1</v>
      </c>
      <c r="BA91" s="66" t="str">
        <f t="shared" si="39"/>
        <v/>
      </c>
      <c r="BB91" s="66" t="str">
        <f t="shared" si="40"/>
        <v/>
      </c>
      <c r="BC91" s="67">
        <f t="shared" si="41"/>
        <v>-70.199999999999989</v>
      </c>
    </row>
    <row r="92" spans="29:55" ht="15.75" thickBot="1">
      <c r="AC92" s="476">
        <f>AD64</f>
        <v>44711</v>
      </c>
      <c r="AD92" s="69" t="s">
        <v>85</v>
      </c>
      <c r="AE92" s="70">
        <f>SUM(AE68:AE91)</f>
        <v>3961.8999999999996</v>
      </c>
      <c r="AF92" s="70"/>
      <c r="AG92" s="71">
        <f>ABS(SUM(AG68:AG91))</f>
        <v>2108.5</v>
      </c>
      <c r="AH92" s="70"/>
      <c r="AI92" s="72">
        <f>ABS(SUM(AI68:AI91))</f>
        <v>1853.4000000000003</v>
      </c>
      <c r="AJ92" s="70"/>
      <c r="AK92" s="71">
        <f>ABS(SUM(AK68:AK91))</f>
        <v>1658.8999999999999</v>
      </c>
      <c r="AL92" s="70"/>
      <c r="AM92" s="72">
        <f>ABS(SUM(AM68:AM91))</f>
        <v>2303</v>
      </c>
      <c r="AN92" s="70"/>
      <c r="AO92" s="71">
        <f>ABS(SUM(AO68:AO91))</f>
        <v>1483.4</v>
      </c>
      <c r="AP92" s="70"/>
      <c r="AQ92" s="72">
        <f>ABS(SUM(AQ68:AQ91))</f>
        <v>2478.4999999999995</v>
      </c>
      <c r="AR92" s="70"/>
      <c r="AS92" s="71">
        <f>ABS(SUM(AS68:AS91))</f>
        <v>2003.3</v>
      </c>
      <c r="AT92" s="70"/>
      <c r="AU92" s="72">
        <f>ABS(SUM(AU68:AU91))</f>
        <v>1958.6000000000001</v>
      </c>
      <c r="AV92" s="70"/>
      <c r="AW92" s="71">
        <f>ABS(SUM(AW68:AW91))</f>
        <v>1301.4000000000001</v>
      </c>
      <c r="AX92" s="70"/>
      <c r="AY92" s="72">
        <f>ABS(SUM(AY68:AY91))</f>
        <v>1335.8</v>
      </c>
      <c r="AZ92" s="70"/>
      <c r="BA92" s="71">
        <f>ABS(SUM(BA68:BA91))</f>
        <v>1988.8000000000002</v>
      </c>
      <c r="BB92" s="70"/>
      <c r="BC92" s="72">
        <f>ABS(SUM(BC68:BC91))</f>
        <v>1973.0999999999997</v>
      </c>
    </row>
    <row r="94" spans="29:55" ht="15" thickBot="1">
      <c r="AD94" s="476">
        <f>skemA1!B8</f>
        <v>44712</v>
      </c>
    </row>
    <row r="95" spans="29:55" ht="15" thickBot="1">
      <c r="AD95" s="677" t="s">
        <v>75</v>
      </c>
      <c r="AE95" s="60" t="s">
        <v>558</v>
      </c>
      <c r="AF95" s="672" t="s">
        <v>559</v>
      </c>
      <c r="AG95" s="672"/>
      <c r="AH95" s="672"/>
      <c r="AI95" s="673"/>
      <c r="AJ95" s="672" t="s">
        <v>562</v>
      </c>
      <c r="AK95" s="672"/>
      <c r="AL95" s="672"/>
      <c r="AM95" s="673"/>
      <c r="AN95" s="672" t="s">
        <v>563</v>
      </c>
      <c r="AO95" s="672"/>
      <c r="AP95" s="672"/>
      <c r="AQ95" s="673"/>
      <c r="AR95" s="672" t="s">
        <v>564</v>
      </c>
      <c r="AS95" s="672"/>
      <c r="AT95" s="672"/>
      <c r="AU95" s="673"/>
      <c r="AV95" s="672" t="s">
        <v>565</v>
      </c>
      <c r="AW95" s="672"/>
      <c r="AX95" s="672"/>
      <c r="AY95" s="673"/>
      <c r="AZ95" s="672" t="s">
        <v>566</v>
      </c>
      <c r="BA95" s="672"/>
      <c r="BB95" s="672"/>
      <c r="BC95" s="673"/>
    </row>
    <row r="96" spans="29:55" ht="15" thickBot="1">
      <c r="AD96" s="677"/>
      <c r="AE96" s="61"/>
      <c r="AF96" s="674" t="s">
        <v>561</v>
      </c>
      <c r="AG96" s="670" t="s">
        <v>560</v>
      </c>
      <c r="AH96" s="670"/>
      <c r="AI96" s="671"/>
      <c r="AJ96" s="674" t="s">
        <v>561</v>
      </c>
      <c r="AK96" s="670" t="s">
        <v>560</v>
      </c>
      <c r="AL96" s="670"/>
      <c r="AM96" s="671"/>
      <c r="AN96" s="674" t="s">
        <v>561</v>
      </c>
      <c r="AO96" s="670" t="s">
        <v>560</v>
      </c>
      <c r="AP96" s="670"/>
      <c r="AQ96" s="671"/>
      <c r="AR96" s="674" t="s">
        <v>561</v>
      </c>
      <c r="AS96" s="670" t="s">
        <v>560</v>
      </c>
      <c r="AT96" s="670"/>
      <c r="AU96" s="671"/>
      <c r="AV96" s="674" t="s">
        <v>561</v>
      </c>
      <c r="AW96" s="670" t="s">
        <v>560</v>
      </c>
      <c r="AX96" s="670"/>
      <c r="AY96" s="671"/>
      <c r="AZ96" s="674" t="s">
        <v>561</v>
      </c>
      <c r="BA96" s="670" t="s">
        <v>560</v>
      </c>
      <c r="BB96" s="670"/>
      <c r="BC96" s="671"/>
    </row>
    <row r="97" spans="30:55">
      <c r="AD97" s="677"/>
      <c r="AE97" s="62"/>
      <c r="AF97" s="674"/>
      <c r="AG97" s="63" t="s">
        <v>76</v>
      </c>
      <c r="AH97" s="63">
        <v>0</v>
      </c>
      <c r="AI97" s="64" t="s">
        <v>77</v>
      </c>
      <c r="AJ97" s="674"/>
      <c r="AK97" s="63" t="s">
        <v>76</v>
      </c>
      <c r="AL97" s="63">
        <v>0</v>
      </c>
      <c r="AM97" s="64" t="s">
        <v>77</v>
      </c>
      <c r="AN97" s="674"/>
      <c r="AO97" s="63" t="s">
        <v>76</v>
      </c>
      <c r="AP97" s="63">
        <v>0</v>
      </c>
      <c r="AQ97" s="64" t="s">
        <v>77</v>
      </c>
      <c r="AR97" s="674"/>
      <c r="AS97" s="63" t="s">
        <v>76</v>
      </c>
      <c r="AT97" s="63">
        <v>0</v>
      </c>
      <c r="AU97" s="64" t="s">
        <v>77</v>
      </c>
      <c r="AV97" s="674"/>
      <c r="AW97" s="63" t="s">
        <v>76</v>
      </c>
      <c r="AX97" s="63">
        <v>0</v>
      </c>
      <c r="AY97" s="64" t="s">
        <v>77</v>
      </c>
      <c r="AZ97" s="674"/>
      <c r="BA97" s="63" t="s">
        <v>76</v>
      </c>
      <c r="BB97" s="63">
        <v>0</v>
      </c>
      <c r="BC97" s="64" t="s">
        <v>77</v>
      </c>
    </row>
    <row r="98" spans="30:55">
      <c r="AD98" s="65" t="str">
        <f t="array" ref="AD98:AD121">TRANSPOSE($C$5:$Z$5)</f>
        <v>00</v>
      </c>
      <c r="AE98" s="66">
        <f t="array" ref="AE98:AE121">TRANSPOSE(skemA1!$C$8:$Z$8)</f>
        <v>74.3</v>
      </c>
      <c r="AF98" s="66">
        <f t="array" ref="AF98:AF121">TRANSPOSE($C$6:$Z$6)</f>
        <v>-1</v>
      </c>
      <c r="AG98" s="66" t="str">
        <f>IF(AF98&gt;0,AF98*$AE98,"")</f>
        <v/>
      </c>
      <c r="AH98" s="66" t="str">
        <f>IF(AF98=0,AF98*$AE98,"")</f>
        <v/>
      </c>
      <c r="AI98" s="67">
        <f>IF(AF98&lt;0,AF98*$AE98,"")</f>
        <v>-74.3</v>
      </c>
      <c r="AJ98" s="66">
        <f t="array" ref="AJ98:AJ121">TRANSPOSE($C$7:$Z$7)</f>
        <v>-1</v>
      </c>
      <c r="AK98" s="66" t="str">
        <f>IF(AJ98&gt;0,AJ98*$AE98,"")</f>
        <v/>
      </c>
      <c r="AL98" s="66" t="str">
        <f>IF(AJ98=0,AJ98*$AE98,"")</f>
        <v/>
      </c>
      <c r="AM98" s="67">
        <f>IF(AJ98&lt;0,AJ98*$AE98,"")</f>
        <v>-74.3</v>
      </c>
      <c r="AN98" s="66">
        <f t="array" ref="AN98:AN121">TRANSPOSE($C$8:$Z$8)</f>
        <v>1</v>
      </c>
      <c r="AO98" s="66">
        <f>IF(AN98&gt;0,AN98*$AE98,"")</f>
        <v>74.3</v>
      </c>
      <c r="AP98" s="66" t="str">
        <f>IF(AN98=0,AN98*$AE98,"")</f>
        <v/>
      </c>
      <c r="AQ98" s="67" t="str">
        <f>IF(AN98&lt;0,AN98*$AE98,"")</f>
        <v/>
      </c>
      <c r="AR98" s="66">
        <f t="array" ref="AR98:AR121">TRANSPOSE($C$9:$Z$9)</f>
        <v>1</v>
      </c>
      <c r="AS98" s="66">
        <f>IF(AR98&gt;0,AR98*$AE98,"")</f>
        <v>74.3</v>
      </c>
      <c r="AT98" s="66" t="str">
        <f>IF(AR98=0,AR98*$AE98,"")</f>
        <v/>
      </c>
      <c r="AU98" s="67" t="str">
        <f>IF(AR98&lt;0,AR98*$AE98,"")</f>
        <v/>
      </c>
      <c r="AV98" s="66">
        <f t="array" ref="AV98:AV121">TRANSPOSE($C$10:$Z$10)</f>
        <v>1</v>
      </c>
      <c r="AW98" s="66">
        <f t="shared" ref="AW98:AW121" si="54">IF(AV98&gt;0,AV98*$AE98,"")</f>
        <v>74.3</v>
      </c>
      <c r="AX98" s="66" t="str">
        <f t="shared" ref="AX98:AX121" si="55">IF(AV98=0,AV98*$AE98,"")</f>
        <v/>
      </c>
      <c r="AY98" s="67" t="str">
        <f t="shared" ref="AY98:AY121" si="56">IF(AV98&lt;0,AV98*$AE98,"")</f>
        <v/>
      </c>
      <c r="AZ98" s="66">
        <f t="array" ref="AZ98:AZ121">TRANSPOSE($C$11:$Z$11)</f>
        <v>1</v>
      </c>
      <c r="BA98" s="66">
        <f t="shared" ref="BA98:BA121" si="57">IF(AZ98&gt;0,AZ98*$AE98,"")</f>
        <v>74.3</v>
      </c>
      <c r="BB98" s="66" t="str">
        <f t="shared" ref="BB98:BB121" si="58">IF(AZ98=0,AZ98*$AE98,"")</f>
        <v/>
      </c>
      <c r="BC98" s="67" t="str">
        <f t="shared" ref="BC98:BC121" si="59">IF(AZ98&lt;0,AZ98*$AE98,"")</f>
        <v/>
      </c>
    </row>
    <row r="99" spans="30:55">
      <c r="AD99" s="68" t="str">
        <v>01</v>
      </c>
      <c r="AE99" s="61">
        <v>100.89999999999999</v>
      </c>
      <c r="AF99" s="61">
        <v>-1</v>
      </c>
      <c r="AG99" s="66" t="str">
        <f t="shared" ref="AG99:AG121" si="60">IF(AF99&gt;0,AF99*$AE99,"")</f>
        <v/>
      </c>
      <c r="AH99" s="66" t="str">
        <f t="shared" ref="AH99:AH121" si="61">IF(AF99=0,AF99*$AE99,"")</f>
        <v/>
      </c>
      <c r="AI99" s="67">
        <f t="shared" ref="AI99:AI121" si="62">IF(AF99&lt;0,AF99*$AE99,"")</f>
        <v>-100.89999999999999</v>
      </c>
      <c r="AJ99" s="61">
        <v>-1</v>
      </c>
      <c r="AK99" s="66" t="str">
        <f t="shared" ref="AK99:AK121" si="63">IF(AJ99&gt;0,AJ99*$AE99,"")</f>
        <v/>
      </c>
      <c r="AL99" s="66" t="str">
        <f t="shared" ref="AL99:AL121" si="64">IF(AJ99=0,AJ99*$AE99,"")</f>
        <v/>
      </c>
      <c r="AM99" s="67">
        <f t="shared" ref="AM99:AM121" si="65">IF(AJ99&lt;0,AJ99*$AE99,"")</f>
        <v>-100.89999999999999</v>
      </c>
      <c r="AN99" s="61">
        <v>1</v>
      </c>
      <c r="AO99" s="66">
        <f t="shared" ref="AO99:AO121" si="66">IF(AN99&gt;0,AN99*$AE99,"")</f>
        <v>100.89999999999999</v>
      </c>
      <c r="AP99" s="66" t="str">
        <f t="shared" ref="AP99:AP121" si="67">IF(AN99=0,AN99*$AE99,"")</f>
        <v/>
      </c>
      <c r="AQ99" s="67" t="str">
        <f t="shared" ref="AQ99:AQ121" si="68">IF(AN99&lt;0,AN99*$AE99,"")</f>
        <v/>
      </c>
      <c r="AR99" s="61">
        <v>1</v>
      </c>
      <c r="AS99" s="66">
        <f t="shared" ref="AS99:AS121" si="69">IF(AR99&gt;0,AR99*$AE99,"")</f>
        <v>100.89999999999999</v>
      </c>
      <c r="AT99" s="66" t="str">
        <f t="shared" ref="AT99:AT121" si="70">IF(AR99=0,AR99*$AE99,"")</f>
        <v/>
      </c>
      <c r="AU99" s="67" t="str">
        <f t="shared" ref="AU99:AU121" si="71">IF(AR99&lt;0,AR99*$AE99,"")</f>
        <v/>
      </c>
      <c r="AV99" s="61">
        <v>0</v>
      </c>
      <c r="AW99" s="66" t="str">
        <f t="shared" si="54"/>
        <v/>
      </c>
      <c r="AX99" s="66">
        <f t="shared" si="55"/>
        <v>0</v>
      </c>
      <c r="AY99" s="67" t="str">
        <f t="shared" si="56"/>
        <v/>
      </c>
      <c r="AZ99" s="61">
        <v>1</v>
      </c>
      <c r="BA99" s="66">
        <f t="shared" si="57"/>
        <v>100.89999999999999</v>
      </c>
      <c r="BB99" s="66" t="str">
        <f t="shared" si="58"/>
        <v/>
      </c>
      <c r="BC99" s="67" t="str">
        <f t="shared" si="59"/>
        <v/>
      </c>
    </row>
    <row r="100" spans="30:55">
      <c r="AD100" s="68" t="str">
        <v>02</v>
      </c>
      <c r="AE100" s="61">
        <v>139.5</v>
      </c>
      <c r="AF100" s="61">
        <v>-1</v>
      </c>
      <c r="AG100" s="66" t="str">
        <f t="shared" si="60"/>
        <v/>
      </c>
      <c r="AH100" s="66" t="str">
        <f t="shared" si="61"/>
        <v/>
      </c>
      <c r="AI100" s="67">
        <f t="shared" si="62"/>
        <v>-139.5</v>
      </c>
      <c r="AJ100" s="61">
        <v>-1</v>
      </c>
      <c r="AK100" s="66" t="str">
        <f t="shared" si="63"/>
        <v/>
      </c>
      <c r="AL100" s="66" t="str">
        <f t="shared" si="64"/>
        <v/>
      </c>
      <c r="AM100" s="67">
        <f t="shared" si="65"/>
        <v>-139.5</v>
      </c>
      <c r="AN100" s="61">
        <v>1</v>
      </c>
      <c r="AO100" s="66">
        <f t="shared" si="66"/>
        <v>139.5</v>
      </c>
      <c r="AP100" s="66" t="str">
        <f t="shared" si="67"/>
        <v/>
      </c>
      <c r="AQ100" s="67" t="str">
        <f t="shared" si="68"/>
        <v/>
      </c>
      <c r="AR100" s="61">
        <v>1</v>
      </c>
      <c r="AS100" s="66">
        <f t="shared" si="69"/>
        <v>139.5</v>
      </c>
      <c r="AT100" s="66" t="str">
        <f t="shared" si="70"/>
        <v/>
      </c>
      <c r="AU100" s="67" t="str">
        <f t="shared" si="71"/>
        <v/>
      </c>
      <c r="AV100" s="61">
        <v>-1</v>
      </c>
      <c r="AW100" s="66" t="str">
        <f t="shared" si="54"/>
        <v/>
      </c>
      <c r="AX100" s="66" t="str">
        <f t="shared" si="55"/>
        <v/>
      </c>
      <c r="AY100" s="67">
        <f t="shared" si="56"/>
        <v>-139.5</v>
      </c>
      <c r="AZ100" s="61">
        <v>1</v>
      </c>
      <c r="BA100" s="66">
        <f t="shared" si="57"/>
        <v>139.5</v>
      </c>
      <c r="BB100" s="66" t="str">
        <f t="shared" si="58"/>
        <v/>
      </c>
      <c r="BC100" s="67" t="str">
        <f t="shared" si="59"/>
        <v/>
      </c>
    </row>
    <row r="101" spans="30:55">
      <c r="AD101" s="68" t="str">
        <v>03</v>
      </c>
      <c r="AE101" s="61">
        <v>188.39999999999998</v>
      </c>
      <c r="AF101" s="61">
        <v>-1</v>
      </c>
      <c r="AG101" s="66" t="str">
        <f t="shared" si="60"/>
        <v/>
      </c>
      <c r="AH101" s="66" t="str">
        <f t="shared" si="61"/>
        <v/>
      </c>
      <c r="AI101" s="67">
        <f t="shared" si="62"/>
        <v>-188.39999999999998</v>
      </c>
      <c r="AJ101" s="61">
        <v>-1</v>
      </c>
      <c r="AK101" s="66" t="str">
        <f t="shared" si="63"/>
        <v/>
      </c>
      <c r="AL101" s="66" t="str">
        <f t="shared" si="64"/>
        <v/>
      </c>
      <c r="AM101" s="67">
        <f t="shared" si="65"/>
        <v>-188.39999999999998</v>
      </c>
      <c r="AN101" s="61">
        <v>-1</v>
      </c>
      <c r="AO101" s="66" t="str">
        <f t="shared" si="66"/>
        <v/>
      </c>
      <c r="AP101" s="66" t="str">
        <f t="shared" si="67"/>
        <v/>
      </c>
      <c r="AQ101" s="67">
        <f t="shared" si="68"/>
        <v>-188.39999999999998</v>
      </c>
      <c r="AR101" s="61">
        <v>1</v>
      </c>
      <c r="AS101" s="66">
        <f t="shared" si="69"/>
        <v>188.39999999999998</v>
      </c>
      <c r="AT101" s="66" t="str">
        <f t="shared" si="70"/>
        <v/>
      </c>
      <c r="AU101" s="67" t="str">
        <f t="shared" si="71"/>
        <v/>
      </c>
      <c r="AV101" s="61">
        <v>-1</v>
      </c>
      <c r="AW101" s="66" t="str">
        <f t="shared" si="54"/>
        <v/>
      </c>
      <c r="AX101" s="66" t="str">
        <f t="shared" si="55"/>
        <v/>
      </c>
      <c r="AY101" s="67">
        <f t="shared" si="56"/>
        <v>-188.39999999999998</v>
      </c>
      <c r="AZ101" s="61">
        <v>-1</v>
      </c>
      <c r="BA101" s="66" t="str">
        <f t="shared" si="57"/>
        <v/>
      </c>
      <c r="BB101" s="66" t="str">
        <f t="shared" si="58"/>
        <v/>
      </c>
      <c r="BC101" s="67">
        <f t="shared" si="59"/>
        <v>-188.39999999999998</v>
      </c>
    </row>
    <row r="102" spans="30:55">
      <c r="AD102" s="68" t="str">
        <v>04</v>
      </c>
      <c r="AE102" s="61">
        <v>235.2</v>
      </c>
      <c r="AF102" s="61">
        <v>-1</v>
      </c>
      <c r="AG102" s="66" t="str">
        <f t="shared" si="60"/>
        <v/>
      </c>
      <c r="AH102" s="66" t="str">
        <f t="shared" si="61"/>
        <v/>
      </c>
      <c r="AI102" s="67">
        <f t="shared" si="62"/>
        <v>-235.2</v>
      </c>
      <c r="AJ102" s="61">
        <v>-1</v>
      </c>
      <c r="AK102" s="66" t="str">
        <f t="shared" si="63"/>
        <v/>
      </c>
      <c r="AL102" s="66" t="str">
        <f t="shared" si="64"/>
        <v/>
      </c>
      <c r="AM102" s="67">
        <f t="shared" si="65"/>
        <v>-235.2</v>
      </c>
      <c r="AN102" s="61">
        <v>-1</v>
      </c>
      <c r="AO102" s="66" t="str">
        <f t="shared" si="66"/>
        <v/>
      </c>
      <c r="AP102" s="66" t="str">
        <f t="shared" si="67"/>
        <v/>
      </c>
      <c r="AQ102" s="67">
        <f t="shared" si="68"/>
        <v>-235.2</v>
      </c>
      <c r="AR102" s="61">
        <v>1</v>
      </c>
      <c r="AS102" s="66">
        <f t="shared" si="69"/>
        <v>235.2</v>
      </c>
      <c r="AT102" s="66" t="str">
        <f t="shared" si="70"/>
        <v/>
      </c>
      <c r="AU102" s="67" t="str">
        <f t="shared" si="71"/>
        <v/>
      </c>
      <c r="AV102" s="61">
        <v>0</v>
      </c>
      <c r="AW102" s="66" t="str">
        <f t="shared" si="54"/>
        <v/>
      </c>
      <c r="AX102" s="66">
        <f t="shared" si="55"/>
        <v>0</v>
      </c>
      <c r="AY102" s="67" t="str">
        <f t="shared" si="56"/>
        <v/>
      </c>
      <c r="AZ102" s="61">
        <v>-1</v>
      </c>
      <c r="BA102" s="66" t="str">
        <f t="shared" si="57"/>
        <v/>
      </c>
      <c r="BB102" s="66" t="str">
        <f t="shared" si="58"/>
        <v/>
      </c>
      <c r="BC102" s="67">
        <f t="shared" si="59"/>
        <v>-235.2</v>
      </c>
    </row>
    <row r="103" spans="30:55">
      <c r="AD103" s="68" t="str">
        <v>05</v>
      </c>
      <c r="AE103" s="61">
        <v>269.60000000000002</v>
      </c>
      <c r="AF103" s="61">
        <v>-1</v>
      </c>
      <c r="AG103" s="66" t="str">
        <f t="shared" si="60"/>
        <v/>
      </c>
      <c r="AH103" s="66" t="str">
        <f t="shared" si="61"/>
        <v/>
      </c>
      <c r="AI103" s="67">
        <f t="shared" si="62"/>
        <v>-269.60000000000002</v>
      </c>
      <c r="AJ103" s="61">
        <v>-1</v>
      </c>
      <c r="AK103" s="66" t="str">
        <f t="shared" si="63"/>
        <v/>
      </c>
      <c r="AL103" s="66" t="str">
        <f t="shared" si="64"/>
        <v/>
      </c>
      <c r="AM103" s="67">
        <f t="shared" si="65"/>
        <v>-269.60000000000002</v>
      </c>
      <c r="AN103" s="61">
        <v>-1</v>
      </c>
      <c r="AO103" s="66" t="str">
        <f t="shared" si="66"/>
        <v/>
      </c>
      <c r="AP103" s="66" t="str">
        <f t="shared" si="67"/>
        <v/>
      </c>
      <c r="AQ103" s="67">
        <f t="shared" si="68"/>
        <v>-269.60000000000002</v>
      </c>
      <c r="AR103" s="61">
        <v>1</v>
      </c>
      <c r="AS103" s="66">
        <f t="shared" si="69"/>
        <v>269.60000000000002</v>
      </c>
      <c r="AT103" s="66" t="str">
        <f t="shared" si="70"/>
        <v/>
      </c>
      <c r="AU103" s="67" t="str">
        <f t="shared" si="71"/>
        <v/>
      </c>
      <c r="AV103" s="61">
        <v>1</v>
      </c>
      <c r="AW103" s="66">
        <f t="shared" si="54"/>
        <v>269.60000000000002</v>
      </c>
      <c r="AX103" s="66" t="str">
        <f t="shared" si="55"/>
        <v/>
      </c>
      <c r="AY103" s="67" t="str">
        <f t="shared" si="56"/>
        <v/>
      </c>
      <c r="AZ103" s="61">
        <v>-1</v>
      </c>
      <c r="BA103" s="66" t="str">
        <f t="shared" si="57"/>
        <v/>
      </c>
      <c r="BB103" s="66" t="str">
        <f t="shared" si="58"/>
        <v/>
      </c>
      <c r="BC103" s="67">
        <f t="shared" si="59"/>
        <v>-269.60000000000002</v>
      </c>
    </row>
    <row r="104" spans="30:55">
      <c r="AD104" s="68" t="str">
        <v>06</v>
      </c>
      <c r="AE104" s="61">
        <v>281.5</v>
      </c>
      <c r="AF104" s="61">
        <v>1</v>
      </c>
      <c r="AG104" s="66">
        <f t="shared" si="60"/>
        <v>281.5</v>
      </c>
      <c r="AH104" s="66" t="str">
        <f t="shared" si="61"/>
        <v/>
      </c>
      <c r="AI104" s="67" t="str">
        <f t="shared" si="62"/>
        <v/>
      </c>
      <c r="AJ104" s="61">
        <v>-1</v>
      </c>
      <c r="AK104" s="66" t="str">
        <f t="shared" si="63"/>
        <v/>
      </c>
      <c r="AL104" s="66" t="str">
        <f t="shared" si="64"/>
        <v/>
      </c>
      <c r="AM104" s="67">
        <f t="shared" si="65"/>
        <v>-281.5</v>
      </c>
      <c r="AN104" s="61">
        <v>-1</v>
      </c>
      <c r="AO104" s="66" t="str">
        <f t="shared" si="66"/>
        <v/>
      </c>
      <c r="AP104" s="66" t="str">
        <f t="shared" si="67"/>
        <v/>
      </c>
      <c r="AQ104" s="67">
        <f t="shared" si="68"/>
        <v>-281.5</v>
      </c>
      <c r="AR104" s="61">
        <v>-1</v>
      </c>
      <c r="AS104" s="66" t="str">
        <f t="shared" si="69"/>
        <v/>
      </c>
      <c r="AT104" s="66" t="str">
        <f t="shared" si="70"/>
        <v/>
      </c>
      <c r="AU104" s="67">
        <f t="shared" si="71"/>
        <v>-281.5</v>
      </c>
      <c r="AV104" s="61">
        <v>1</v>
      </c>
      <c r="AW104" s="66">
        <f t="shared" si="54"/>
        <v>281.5</v>
      </c>
      <c r="AX104" s="66" t="str">
        <f t="shared" si="55"/>
        <v/>
      </c>
      <c r="AY104" s="67" t="str">
        <f t="shared" si="56"/>
        <v/>
      </c>
      <c r="AZ104" s="61">
        <v>1</v>
      </c>
      <c r="BA104" s="66">
        <f t="shared" si="57"/>
        <v>281.5</v>
      </c>
      <c r="BB104" s="66" t="str">
        <f t="shared" si="58"/>
        <v/>
      </c>
      <c r="BC104" s="67" t="str">
        <f t="shared" si="59"/>
        <v/>
      </c>
    </row>
    <row r="105" spans="30:55">
      <c r="AD105" s="68" t="str">
        <v>07</v>
      </c>
      <c r="AE105" s="61">
        <v>273.8</v>
      </c>
      <c r="AF105" s="61">
        <v>1</v>
      </c>
      <c r="AG105" s="66">
        <f t="shared" si="60"/>
        <v>273.8</v>
      </c>
      <c r="AH105" s="66" t="str">
        <f t="shared" si="61"/>
        <v/>
      </c>
      <c r="AI105" s="67" t="str">
        <f t="shared" si="62"/>
        <v/>
      </c>
      <c r="AJ105" s="61">
        <v>-1</v>
      </c>
      <c r="AK105" s="66" t="str">
        <f t="shared" si="63"/>
        <v/>
      </c>
      <c r="AL105" s="66" t="str">
        <f t="shared" si="64"/>
        <v/>
      </c>
      <c r="AM105" s="67">
        <f t="shared" si="65"/>
        <v>-273.8</v>
      </c>
      <c r="AN105" s="61">
        <v>-1</v>
      </c>
      <c r="AO105" s="66" t="str">
        <f t="shared" si="66"/>
        <v/>
      </c>
      <c r="AP105" s="66" t="str">
        <f t="shared" si="67"/>
        <v/>
      </c>
      <c r="AQ105" s="67">
        <f t="shared" si="68"/>
        <v>-273.8</v>
      </c>
      <c r="AR105" s="61">
        <v>-1</v>
      </c>
      <c r="AS105" s="66" t="str">
        <f t="shared" si="69"/>
        <v/>
      </c>
      <c r="AT105" s="66" t="str">
        <f t="shared" si="70"/>
        <v/>
      </c>
      <c r="AU105" s="67">
        <f t="shared" si="71"/>
        <v>-273.8</v>
      </c>
      <c r="AV105" s="61">
        <v>0</v>
      </c>
      <c r="AW105" s="66" t="str">
        <f t="shared" si="54"/>
        <v/>
      </c>
      <c r="AX105" s="66">
        <f t="shared" si="55"/>
        <v>0</v>
      </c>
      <c r="AY105" s="67" t="str">
        <f t="shared" si="56"/>
        <v/>
      </c>
      <c r="AZ105" s="61">
        <v>1</v>
      </c>
      <c r="BA105" s="66">
        <f t="shared" si="57"/>
        <v>273.8</v>
      </c>
      <c r="BB105" s="66" t="str">
        <f t="shared" si="58"/>
        <v/>
      </c>
      <c r="BC105" s="67" t="str">
        <f t="shared" si="59"/>
        <v/>
      </c>
    </row>
    <row r="106" spans="30:55">
      <c r="AD106" s="68" t="str">
        <v>08</v>
      </c>
      <c r="AE106" s="61">
        <v>246</v>
      </c>
      <c r="AF106" s="61">
        <v>1</v>
      </c>
      <c r="AG106" s="66">
        <f t="shared" si="60"/>
        <v>246</v>
      </c>
      <c r="AH106" s="66" t="str">
        <f t="shared" si="61"/>
        <v/>
      </c>
      <c r="AI106" s="67" t="str">
        <f t="shared" si="62"/>
        <v/>
      </c>
      <c r="AJ106" s="61">
        <v>-1</v>
      </c>
      <c r="AK106" s="66" t="str">
        <f t="shared" si="63"/>
        <v/>
      </c>
      <c r="AL106" s="66" t="str">
        <f t="shared" si="64"/>
        <v/>
      </c>
      <c r="AM106" s="67">
        <f t="shared" si="65"/>
        <v>-246</v>
      </c>
      <c r="AN106" s="61">
        <v>-1</v>
      </c>
      <c r="AO106" s="66" t="str">
        <f t="shared" si="66"/>
        <v/>
      </c>
      <c r="AP106" s="66" t="str">
        <f t="shared" si="67"/>
        <v/>
      </c>
      <c r="AQ106" s="67">
        <f t="shared" si="68"/>
        <v>-246</v>
      </c>
      <c r="AR106" s="61">
        <v>-1</v>
      </c>
      <c r="AS106" s="66" t="str">
        <f t="shared" si="69"/>
        <v/>
      </c>
      <c r="AT106" s="66" t="str">
        <f t="shared" si="70"/>
        <v/>
      </c>
      <c r="AU106" s="67">
        <f t="shared" si="71"/>
        <v>-246</v>
      </c>
      <c r="AV106" s="61">
        <v>-1</v>
      </c>
      <c r="AW106" s="66" t="str">
        <f t="shared" si="54"/>
        <v/>
      </c>
      <c r="AX106" s="66" t="str">
        <f t="shared" si="55"/>
        <v/>
      </c>
      <c r="AY106" s="67">
        <f t="shared" si="56"/>
        <v>-246</v>
      </c>
      <c r="AZ106" s="61">
        <v>1</v>
      </c>
      <c r="BA106" s="66">
        <f t="shared" si="57"/>
        <v>246</v>
      </c>
      <c r="BB106" s="66" t="str">
        <f t="shared" si="58"/>
        <v/>
      </c>
      <c r="BC106" s="67" t="str">
        <f t="shared" si="59"/>
        <v/>
      </c>
    </row>
    <row r="107" spans="30:55">
      <c r="AD107" s="68" t="str">
        <v>09</v>
      </c>
      <c r="AE107" s="61">
        <v>202.8</v>
      </c>
      <c r="AF107" s="61">
        <v>1</v>
      </c>
      <c r="AG107" s="66">
        <f t="shared" si="60"/>
        <v>202.8</v>
      </c>
      <c r="AH107" s="66" t="str">
        <f t="shared" si="61"/>
        <v/>
      </c>
      <c r="AI107" s="67" t="str">
        <f t="shared" si="62"/>
        <v/>
      </c>
      <c r="AJ107" s="61">
        <v>-1</v>
      </c>
      <c r="AK107" s="66" t="str">
        <f t="shared" si="63"/>
        <v/>
      </c>
      <c r="AL107" s="66" t="str">
        <f t="shared" si="64"/>
        <v/>
      </c>
      <c r="AM107" s="67">
        <f t="shared" si="65"/>
        <v>-202.8</v>
      </c>
      <c r="AN107" s="61">
        <v>1</v>
      </c>
      <c r="AO107" s="66">
        <f t="shared" si="66"/>
        <v>202.8</v>
      </c>
      <c r="AP107" s="66" t="str">
        <f t="shared" si="67"/>
        <v/>
      </c>
      <c r="AQ107" s="67" t="str">
        <f t="shared" si="68"/>
        <v/>
      </c>
      <c r="AR107" s="61">
        <v>-1</v>
      </c>
      <c r="AS107" s="66" t="str">
        <f t="shared" si="69"/>
        <v/>
      </c>
      <c r="AT107" s="66" t="str">
        <f t="shared" si="70"/>
        <v/>
      </c>
      <c r="AU107" s="67">
        <f t="shared" si="71"/>
        <v>-202.8</v>
      </c>
      <c r="AV107" s="61">
        <v>-1</v>
      </c>
      <c r="AW107" s="66" t="str">
        <f t="shared" si="54"/>
        <v/>
      </c>
      <c r="AX107" s="66" t="str">
        <f t="shared" si="55"/>
        <v/>
      </c>
      <c r="AY107" s="67">
        <f t="shared" si="56"/>
        <v>-202.8</v>
      </c>
      <c r="AZ107" s="61">
        <v>-1</v>
      </c>
      <c r="BA107" s="66" t="str">
        <f t="shared" si="57"/>
        <v/>
      </c>
      <c r="BB107" s="66" t="str">
        <f t="shared" si="58"/>
        <v/>
      </c>
      <c r="BC107" s="67">
        <f t="shared" si="59"/>
        <v>-202.8</v>
      </c>
    </row>
    <row r="108" spans="30:55">
      <c r="AD108" s="68" t="str">
        <v>10</v>
      </c>
      <c r="AE108" s="61">
        <v>165.3</v>
      </c>
      <c r="AF108" s="61">
        <v>1</v>
      </c>
      <c r="AG108" s="66">
        <f t="shared" si="60"/>
        <v>165.3</v>
      </c>
      <c r="AH108" s="66" t="str">
        <f t="shared" si="61"/>
        <v/>
      </c>
      <c r="AI108" s="67" t="str">
        <f t="shared" si="62"/>
        <v/>
      </c>
      <c r="AJ108" s="61">
        <v>-1</v>
      </c>
      <c r="AK108" s="66" t="str">
        <f t="shared" si="63"/>
        <v/>
      </c>
      <c r="AL108" s="66" t="str">
        <f t="shared" si="64"/>
        <v/>
      </c>
      <c r="AM108" s="67">
        <f t="shared" si="65"/>
        <v>-165.3</v>
      </c>
      <c r="AN108" s="61">
        <v>1</v>
      </c>
      <c r="AO108" s="66">
        <f t="shared" si="66"/>
        <v>165.3</v>
      </c>
      <c r="AP108" s="66" t="str">
        <f t="shared" si="67"/>
        <v/>
      </c>
      <c r="AQ108" s="67" t="str">
        <f t="shared" si="68"/>
        <v/>
      </c>
      <c r="AR108" s="61">
        <v>-1</v>
      </c>
      <c r="AS108" s="66" t="str">
        <f t="shared" si="69"/>
        <v/>
      </c>
      <c r="AT108" s="66" t="str">
        <f t="shared" si="70"/>
        <v/>
      </c>
      <c r="AU108" s="67">
        <f t="shared" si="71"/>
        <v>-165.3</v>
      </c>
      <c r="AV108" s="61">
        <v>0</v>
      </c>
      <c r="AW108" s="66" t="str">
        <f t="shared" si="54"/>
        <v/>
      </c>
      <c r="AX108" s="66">
        <f t="shared" si="55"/>
        <v>0</v>
      </c>
      <c r="AY108" s="67" t="str">
        <f t="shared" si="56"/>
        <v/>
      </c>
      <c r="AZ108" s="61">
        <v>-1</v>
      </c>
      <c r="BA108" s="66" t="str">
        <f t="shared" si="57"/>
        <v/>
      </c>
      <c r="BB108" s="66" t="str">
        <f t="shared" si="58"/>
        <v/>
      </c>
      <c r="BC108" s="67">
        <f t="shared" si="59"/>
        <v>-165.3</v>
      </c>
    </row>
    <row r="109" spans="30:55">
      <c r="AD109" s="68" t="str">
        <v>11</v>
      </c>
      <c r="AE109" s="61">
        <v>134.5</v>
      </c>
      <c r="AF109" s="61">
        <v>1</v>
      </c>
      <c r="AG109" s="66">
        <f t="shared" si="60"/>
        <v>134.5</v>
      </c>
      <c r="AH109" s="66" t="str">
        <f t="shared" si="61"/>
        <v/>
      </c>
      <c r="AI109" s="67" t="str">
        <f t="shared" si="62"/>
        <v/>
      </c>
      <c r="AJ109" s="61">
        <v>-1</v>
      </c>
      <c r="AK109" s="66" t="str">
        <f t="shared" si="63"/>
        <v/>
      </c>
      <c r="AL109" s="66" t="str">
        <f t="shared" si="64"/>
        <v/>
      </c>
      <c r="AM109" s="67">
        <f t="shared" si="65"/>
        <v>-134.5</v>
      </c>
      <c r="AN109" s="61">
        <v>1</v>
      </c>
      <c r="AO109" s="66">
        <f t="shared" si="66"/>
        <v>134.5</v>
      </c>
      <c r="AP109" s="66" t="str">
        <f t="shared" si="67"/>
        <v/>
      </c>
      <c r="AQ109" s="67" t="str">
        <f t="shared" si="68"/>
        <v/>
      </c>
      <c r="AR109" s="61">
        <v>-1</v>
      </c>
      <c r="AS109" s="66" t="str">
        <f t="shared" si="69"/>
        <v/>
      </c>
      <c r="AT109" s="66" t="str">
        <f t="shared" si="70"/>
        <v/>
      </c>
      <c r="AU109" s="67">
        <f t="shared" si="71"/>
        <v>-134.5</v>
      </c>
      <c r="AV109" s="61">
        <v>1</v>
      </c>
      <c r="AW109" s="66">
        <f t="shared" si="54"/>
        <v>134.5</v>
      </c>
      <c r="AX109" s="66" t="str">
        <f t="shared" si="55"/>
        <v/>
      </c>
      <c r="AY109" s="67" t="str">
        <f t="shared" si="56"/>
        <v/>
      </c>
      <c r="AZ109" s="61">
        <v>-1</v>
      </c>
      <c r="BA109" s="66" t="str">
        <f t="shared" si="57"/>
        <v/>
      </c>
      <c r="BB109" s="66" t="str">
        <f t="shared" si="58"/>
        <v/>
      </c>
      <c r="BC109" s="67">
        <f t="shared" si="59"/>
        <v>-134.5</v>
      </c>
    </row>
    <row r="110" spans="30:55">
      <c r="AD110" s="68" t="str">
        <v>12</v>
      </c>
      <c r="AE110" s="61">
        <v>118</v>
      </c>
      <c r="AF110" s="61">
        <v>1</v>
      </c>
      <c r="AG110" s="66">
        <f t="shared" si="60"/>
        <v>118</v>
      </c>
      <c r="AH110" s="66" t="str">
        <f t="shared" si="61"/>
        <v/>
      </c>
      <c r="AI110" s="67" t="str">
        <f t="shared" si="62"/>
        <v/>
      </c>
      <c r="AJ110" s="61">
        <v>1</v>
      </c>
      <c r="AK110" s="66">
        <f t="shared" si="63"/>
        <v>118</v>
      </c>
      <c r="AL110" s="66" t="str">
        <f t="shared" si="64"/>
        <v/>
      </c>
      <c r="AM110" s="67" t="str">
        <f t="shared" si="65"/>
        <v/>
      </c>
      <c r="AN110" s="61">
        <v>1</v>
      </c>
      <c r="AO110" s="66">
        <f t="shared" si="66"/>
        <v>118</v>
      </c>
      <c r="AP110" s="66" t="str">
        <f t="shared" si="67"/>
        <v/>
      </c>
      <c r="AQ110" s="67" t="str">
        <f t="shared" si="68"/>
        <v/>
      </c>
      <c r="AR110" s="61">
        <v>1</v>
      </c>
      <c r="AS110" s="66">
        <f t="shared" si="69"/>
        <v>118</v>
      </c>
      <c r="AT110" s="66" t="str">
        <f t="shared" si="70"/>
        <v/>
      </c>
      <c r="AU110" s="67" t="str">
        <f t="shared" si="71"/>
        <v/>
      </c>
      <c r="AV110" s="61">
        <v>1</v>
      </c>
      <c r="AW110" s="66">
        <f t="shared" si="54"/>
        <v>118</v>
      </c>
      <c r="AX110" s="66" t="str">
        <f t="shared" si="55"/>
        <v/>
      </c>
      <c r="AY110" s="67" t="str">
        <f t="shared" si="56"/>
        <v/>
      </c>
      <c r="AZ110" s="61">
        <v>1</v>
      </c>
      <c r="BA110" s="66">
        <f t="shared" si="57"/>
        <v>118</v>
      </c>
      <c r="BB110" s="66" t="str">
        <f t="shared" si="58"/>
        <v/>
      </c>
      <c r="BC110" s="67" t="str">
        <f t="shared" si="59"/>
        <v/>
      </c>
    </row>
    <row r="111" spans="30:55">
      <c r="AD111" s="68" t="str">
        <v>13</v>
      </c>
      <c r="AE111" s="61">
        <v>115.19999999999999</v>
      </c>
      <c r="AF111" s="61">
        <v>1</v>
      </c>
      <c r="AG111" s="66">
        <f t="shared" si="60"/>
        <v>115.19999999999999</v>
      </c>
      <c r="AH111" s="66" t="str">
        <f t="shared" si="61"/>
        <v/>
      </c>
      <c r="AI111" s="67" t="str">
        <f t="shared" si="62"/>
        <v/>
      </c>
      <c r="AJ111" s="61">
        <v>1</v>
      </c>
      <c r="AK111" s="66">
        <f t="shared" si="63"/>
        <v>115.19999999999999</v>
      </c>
      <c r="AL111" s="66" t="str">
        <f t="shared" si="64"/>
        <v/>
      </c>
      <c r="AM111" s="67" t="str">
        <f t="shared" si="65"/>
        <v/>
      </c>
      <c r="AN111" s="61">
        <v>1</v>
      </c>
      <c r="AO111" s="66">
        <f t="shared" si="66"/>
        <v>115.19999999999999</v>
      </c>
      <c r="AP111" s="66" t="str">
        <f t="shared" si="67"/>
        <v/>
      </c>
      <c r="AQ111" s="67" t="str">
        <f t="shared" si="68"/>
        <v/>
      </c>
      <c r="AR111" s="61">
        <v>1</v>
      </c>
      <c r="AS111" s="66">
        <f t="shared" si="69"/>
        <v>115.19999999999999</v>
      </c>
      <c r="AT111" s="66" t="str">
        <f t="shared" si="70"/>
        <v/>
      </c>
      <c r="AU111" s="67" t="str">
        <f t="shared" si="71"/>
        <v/>
      </c>
      <c r="AV111" s="61">
        <v>0</v>
      </c>
      <c r="AW111" s="66" t="str">
        <f t="shared" si="54"/>
        <v/>
      </c>
      <c r="AX111" s="66">
        <f t="shared" si="55"/>
        <v>0</v>
      </c>
      <c r="AY111" s="67" t="str">
        <f t="shared" si="56"/>
        <v/>
      </c>
      <c r="AZ111" s="61">
        <v>1</v>
      </c>
      <c r="BA111" s="66">
        <f t="shared" si="57"/>
        <v>115.19999999999999</v>
      </c>
      <c r="BB111" s="66" t="str">
        <f t="shared" si="58"/>
        <v/>
      </c>
      <c r="BC111" s="67" t="str">
        <f t="shared" si="59"/>
        <v/>
      </c>
    </row>
    <row r="112" spans="30:55">
      <c r="AD112" s="68" t="str">
        <v>14</v>
      </c>
      <c r="AE112" s="61">
        <v>126.1</v>
      </c>
      <c r="AF112" s="61">
        <v>1</v>
      </c>
      <c r="AG112" s="66">
        <f t="shared" si="60"/>
        <v>126.1</v>
      </c>
      <c r="AH112" s="66" t="str">
        <f t="shared" si="61"/>
        <v/>
      </c>
      <c r="AI112" s="67" t="str">
        <f t="shared" si="62"/>
        <v/>
      </c>
      <c r="AJ112" s="61">
        <v>1</v>
      </c>
      <c r="AK112" s="66">
        <f t="shared" si="63"/>
        <v>126.1</v>
      </c>
      <c r="AL112" s="66" t="str">
        <f t="shared" si="64"/>
        <v/>
      </c>
      <c r="AM112" s="67" t="str">
        <f t="shared" si="65"/>
        <v/>
      </c>
      <c r="AN112" s="61">
        <v>1</v>
      </c>
      <c r="AO112" s="66">
        <f t="shared" si="66"/>
        <v>126.1</v>
      </c>
      <c r="AP112" s="66" t="str">
        <f t="shared" si="67"/>
        <v/>
      </c>
      <c r="AQ112" s="67" t="str">
        <f t="shared" si="68"/>
        <v/>
      </c>
      <c r="AR112" s="61">
        <v>1</v>
      </c>
      <c r="AS112" s="66">
        <f t="shared" si="69"/>
        <v>126.1</v>
      </c>
      <c r="AT112" s="66" t="str">
        <f t="shared" si="70"/>
        <v/>
      </c>
      <c r="AU112" s="67" t="str">
        <f t="shared" si="71"/>
        <v/>
      </c>
      <c r="AV112" s="61">
        <v>-1</v>
      </c>
      <c r="AW112" s="66" t="str">
        <f t="shared" si="54"/>
        <v/>
      </c>
      <c r="AX112" s="66" t="str">
        <f t="shared" si="55"/>
        <v/>
      </c>
      <c r="AY112" s="67">
        <f t="shared" si="56"/>
        <v>-126.1</v>
      </c>
      <c r="AZ112" s="61">
        <v>1</v>
      </c>
      <c r="BA112" s="66">
        <f t="shared" si="57"/>
        <v>126.1</v>
      </c>
      <c r="BB112" s="66" t="str">
        <f t="shared" si="58"/>
        <v/>
      </c>
      <c r="BC112" s="67" t="str">
        <f t="shared" si="59"/>
        <v/>
      </c>
    </row>
    <row r="113" spans="29:55">
      <c r="AD113" s="68" t="str">
        <v>15</v>
      </c>
      <c r="AE113" s="61">
        <v>147</v>
      </c>
      <c r="AF113" s="61">
        <v>1</v>
      </c>
      <c r="AG113" s="66">
        <f t="shared" si="60"/>
        <v>147</v>
      </c>
      <c r="AH113" s="66" t="str">
        <f t="shared" si="61"/>
        <v/>
      </c>
      <c r="AI113" s="67" t="str">
        <f t="shared" si="62"/>
        <v/>
      </c>
      <c r="AJ113" s="61">
        <v>1</v>
      </c>
      <c r="AK113" s="66">
        <f t="shared" si="63"/>
        <v>147</v>
      </c>
      <c r="AL113" s="66" t="str">
        <f t="shared" si="64"/>
        <v/>
      </c>
      <c r="AM113" s="67" t="str">
        <f t="shared" si="65"/>
        <v/>
      </c>
      <c r="AN113" s="61">
        <v>-1</v>
      </c>
      <c r="AO113" s="66" t="str">
        <f t="shared" si="66"/>
        <v/>
      </c>
      <c r="AP113" s="66" t="str">
        <f t="shared" si="67"/>
        <v/>
      </c>
      <c r="AQ113" s="67">
        <f t="shared" si="68"/>
        <v>-147</v>
      </c>
      <c r="AR113" s="61">
        <v>1</v>
      </c>
      <c r="AS113" s="66">
        <f t="shared" si="69"/>
        <v>147</v>
      </c>
      <c r="AT113" s="66" t="str">
        <f t="shared" si="70"/>
        <v/>
      </c>
      <c r="AU113" s="67" t="str">
        <f t="shared" si="71"/>
        <v/>
      </c>
      <c r="AV113" s="61">
        <v>-1</v>
      </c>
      <c r="AW113" s="66" t="str">
        <f t="shared" si="54"/>
        <v/>
      </c>
      <c r="AX113" s="66" t="str">
        <f t="shared" si="55"/>
        <v/>
      </c>
      <c r="AY113" s="67">
        <f t="shared" si="56"/>
        <v>-147</v>
      </c>
      <c r="AZ113" s="61">
        <v>-1</v>
      </c>
      <c r="BA113" s="66" t="str">
        <f t="shared" si="57"/>
        <v/>
      </c>
      <c r="BB113" s="66" t="str">
        <f t="shared" si="58"/>
        <v/>
      </c>
      <c r="BC113" s="67">
        <f t="shared" si="59"/>
        <v>-147</v>
      </c>
    </row>
    <row r="114" spans="29:55">
      <c r="AD114" s="68" t="str">
        <v>16</v>
      </c>
      <c r="AE114" s="61">
        <v>166.79999999999998</v>
      </c>
      <c r="AF114" s="61">
        <v>1</v>
      </c>
      <c r="AG114" s="66">
        <f t="shared" si="60"/>
        <v>166.79999999999998</v>
      </c>
      <c r="AH114" s="66" t="str">
        <f t="shared" si="61"/>
        <v/>
      </c>
      <c r="AI114" s="67" t="str">
        <f t="shared" si="62"/>
        <v/>
      </c>
      <c r="AJ114" s="61">
        <v>1</v>
      </c>
      <c r="AK114" s="66">
        <f t="shared" si="63"/>
        <v>166.79999999999998</v>
      </c>
      <c r="AL114" s="66" t="str">
        <f t="shared" si="64"/>
        <v/>
      </c>
      <c r="AM114" s="67" t="str">
        <f t="shared" si="65"/>
        <v/>
      </c>
      <c r="AN114" s="61">
        <v>-1</v>
      </c>
      <c r="AO114" s="66" t="str">
        <f t="shared" si="66"/>
        <v/>
      </c>
      <c r="AP114" s="66" t="str">
        <f t="shared" si="67"/>
        <v/>
      </c>
      <c r="AQ114" s="67">
        <f t="shared" si="68"/>
        <v>-166.79999999999998</v>
      </c>
      <c r="AR114" s="61">
        <v>1</v>
      </c>
      <c r="AS114" s="66">
        <f t="shared" si="69"/>
        <v>166.79999999999998</v>
      </c>
      <c r="AT114" s="66" t="str">
        <f t="shared" si="70"/>
        <v/>
      </c>
      <c r="AU114" s="67" t="str">
        <f t="shared" si="71"/>
        <v/>
      </c>
      <c r="AV114" s="61">
        <v>0</v>
      </c>
      <c r="AW114" s="66" t="str">
        <f t="shared" si="54"/>
        <v/>
      </c>
      <c r="AX114" s="66">
        <f t="shared" si="55"/>
        <v>0</v>
      </c>
      <c r="AY114" s="67" t="str">
        <f t="shared" si="56"/>
        <v/>
      </c>
      <c r="AZ114" s="61">
        <v>-1</v>
      </c>
      <c r="BA114" s="66" t="str">
        <f t="shared" si="57"/>
        <v/>
      </c>
      <c r="BB114" s="66" t="str">
        <f t="shared" si="58"/>
        <v/>
      </c>
      <c r="BC114" s="67">
        <f t="shared" si="59"/>
        <v>-166.79999999999998</v>
      </c>
    </row>
    <row r="115" spans="29:55">
      <c r="AD115" s="68" t="str">
        <v>17</v>
      </c>
      <c r="AE115" s="61">
        <v>177.1</v>
      </c>
      <c r="AF115" s="61">
        <v>1</v>
      </c>
      <c r="AG115" s="66">
        <f t="shared" si="60"/>
        <v>177.1</v>
      </c>
      <c r="AH115" s="66" t="str">
        <f t="shared" si="61"/>
        <v/>
      </c>
      <c r="AI115" s="67" t="str">
        <f t="shared" si="62"/>
        <v/>
      </c>
      <c r="AJ115" s="61">
        <v>1</v>
      </c>
      <c r="AK115" s="66">
        <f t="shared" si="63"/>
        <v>177.1</v>
      </c>
      <c r="AL115" s="66" t="str">
        <f t="shared" si="64"/>
        <v/>
      </c>
      <c r="AM115" s="67" t="str">
        <f t="shared" si="65"/>
        <v/>
      </c>
      <c r="AN115" s="61">
        <v>-1</v>
      </c>
      <c r="AO115" s="66" t="str">
        <f t="shared" si="66"/>
        <v/>
      </c>
      <c r="AP115" s="66" t="str">
        <f t="shared" si="67"/>
        <v/>
      </c>
      <c r="AQ115" s="67">
        <f t="shared" si="68"/>
        <v>-177.1</v>
      </c>
      <c r="AR115" s="61">
        <v>1</v>
      </c>
      <c r="AS115" s="66">
        <f t="shared" si="69"/>
        <v>177.1</v>
      </c>
      <c r="AT115" s="66" t="str">
        <f t="shared" si="70"/>
        <v/>
      </c>
      <c r="AU115" s="67" t="str">
        <f t="shared" si="71"/>
        <v/>
      </c>
      <c r="AV115" s="61">
        <v>1</v>
      </c>
      <c r="AW115" s="66">
        <f t="shared" si="54"/>
        <v>177.1</v>
      </c>
      <c r="AX115" s="66" t="str">
        <f t="shared" si="55"/>
        <v/>
      </c>
      <c r="AY115" s="67" t="str">
        <f t="shared" si="56"/>
        <v/>
      </c>
      <c r="AZ115" s="61">
        <v>-1</v>
      </c>
      <c r="BA115" s="66" t="str">
        <f t="shared" si="57"/>
        <v/>
      </c>
      <c r="BB115" s="66" t="str">
        <f t="shared" si="58"/>
        <v/>
      </c>
      <c r="BC115" s="67">
        <f t="shared" si="59"/>
        <v>-177.1</v>
      </c>
    </row>
    <row r="116" spans="29:55">
      <c r="AD116" s="68" t="str">
        <v>18</v>
      </c>
      <c r="AE116" s="61">
        <v>176.5</v>
      </c>
      <c r="AF116" s="61">
        <v>-1</v>
      </c>
      <c r="AG116" s="66" t="str">
        <f t="shared" si="60"/>
        <v/>
      </c>
      <c r="AH116" s="66" t="str">
        <f t="shared" si="61"/>
        <v/>
      </c>
      <c r="AI116" s="67">
        <f t="shared" si="62"/>
        <v>-176.5</v>
      </c>
      <c r="AJ116" s="61">
        <v>1</v>
      </c>
      <c r="AK116" s="66">
        <f t="shared" si="63"/>
        <v>176.5</v>
      </c>
      <c r="AL116" s="66" t="str">
        <f t="shared" si="64"/>
        <v/>
      </c>
      <c r="AM116" s="67" t="str">
        <f t="shared" si="65"/>
        <v/>
      </c>
      <c r="AN116" s="61">
        <v>-1</v>
      </c>
      <c r="AO116" s="66" t="str">
        <f t="shared" si="66"/>
        <v/>
      </c>
      <c r="AP116" s="66" t="str">
        <f t="shared" si="67"/>
        <v/>
      </c>
      <c r="AQ116" s="67">
        <f t="shared" si="68"/>
        <v>-176.5</v>
      </c>
      <c r="AR116" s="61">
        <v>-1</v>
      </c>
      <c r="AS116" s="66" t="str">
        <f t="shared" si="69"/>
        <v/>
      </c>
      <c r="AT116" s="66" t="str">
        <f t="shared" si="70"/>
        <v/>
      </c>
      <c r="AU116" s="67">
        <f t="shared" si="71"/>
        <v>-176.5</v>
      </c>
      <c r="AV116" s="61">
        <v>1</v>
      </c>
      <c r="AW116" s="66">
        <f t="shared" si="54"/>
        <v>176.5</v>
      </c>
      <c r="AX116" s="66" t="str">
        <f t="shared" si="55"/>
        <v/>
      </c>
      <c r="AY116" s="67" t="str">
        <f t="shared" si="56"/>
        <v/>
      </c>
      <c r="AZ116" s="61">
        <v>1</v>
      </c>
      <c r="BA116" s="66">
        <f t="shared" si="57"/>
        <v>176.5</v>
      </c>
      <c r="BB116" s="66" t="str">
        <f t="shared" si="58"/>
        <v/>
      </c>
      <c r="BC116" s="67" t="str">
        <f t="shared" si="59"/>
        <v/>
      </c>
    </row>
    <row r="117" spans="29:55">
      <c r="AD117" s="68" t="str">
        <v>19</v>
      </c>
      <c r="AE117" s="61">
        <v>165.3</v>
      </c>
      <c r="AF117" s="61">
        <v>-1</v>
      </c>
      <c r="AG117" s="66" t="str">
        <f t="shared" si="60"/>
        <v/>
      </c>
      <c r="AH117" s="66" t="str">
        <f t="shared" si="61"/>
        <v/>
      </c>
      <c r="AI117" s="67">
        <f t="shared" si="62"/>
        <v>-165.3</v>
      </c>
      <c r="AJ117" s="61">
        <v>1</v>
      </c>
      <c r="AK117" s="66">
        <f t="shared" si="63"/>
        <v>165.3</v>
      </c>
      <c r="AL117" s="66" t="str">
        <f t="shared" si="64"/>
        <v/>
      </c>
      <c r="AM117" s="67" t="str">
        <f t="shared" si="65"/>
        <v/>
      </c>
      <c r="AN117" s="61">
        <v>-1</v>
      </c>
      <c r="AO117" s="66" t="str">
        <f t="shared" si="66"/>
        <v/>
      </c>
      <c r="AP117" s="66" t="str">
        <f t="shared" si="67"/>
        <v/>
      </c>
      <c r="AQ117" s="67">
        <f t="shared" si="68"/>
        <v>-165.3</v>
      </c>
      <c r="AR117" s="61">
        <v>-1</v>
      </c>
      <c r="AS117" s="66" t="str">
        <f t="shared" si="69"/>
        <v/>
      </c>
      <c r="AT117" s="66" t="str">
        <f t="shared" si="70"/>
        <v/>
      </c>
      <c r="AU117" s="67">
        <f t="shared" si="71"/>
        <v>-165.3</v>
      </c>
      <c r="AV117" s="61">
        <v>0</v>
      </c>
      <c r="AW117" s="66" t="str">
        <f t="shared" si="54"/>
        <v/>
      </c>
      <c r="AX117" s="66">
        <f t="shared" si="55"/>
        <v>0</v>
      </c>
      <c r="AY117" s="67" t="str">
        <f t="shared" si="56"/>
        <v/>
      </c>
      <c r="AZ117" s="61">
        <v>1</v>
      </c>
      <c r="BA117" s="66">
        <f t="shared" si="57"/>
        <v>165.3</v>
      </c>
      <c r="BB117" s="66" t="str">
        <f t="shared" si="58"/>
        <v/>
      </c>
      <c r="BC117" s="67" t="str">
        <f t="shared" si="59"/>
        <v/>
      </c>
    </row>
    <row r="118" spans="29:55">
      <c r="AD118" s="68" t="str">
        <v>20</v>
      </c>
      <c r="AE118" s="61">
        <v>144.4</v>
      </c>
      <c r="AF118" s="61">
        <v>-1</v>
      </c>
      <c r="AG118" s="66" t="str">
        <f t="shared" si="60"/>
        <v/>
      </c>
      <c r="AH118" s="66" t="str">
        <f t="shared" si="61"/>
        <v/>
      </c>
      <c r="AI118" s="67">
        <f t="shared" si="62"/>
        <v>-144.4</v>
      </c>
      <c r="AJ118" s="61">
        <v>1</v>
      </c>
      <c r="AK118" s="66">
        <f t="shared" si="63"/>
        <v>144.4</v>
      </c>
      <c r="AL118" s="66" t="str">
        <f t="shared" si="64"/>
        <v/>
      </c>
      <c r="AM118" s="67" t="str">
        <f t="shared" si="65"/>
        <v/>
      </c>
      <c r="AN118" s="61">
        <v>-1</v>
      </c>
      <c r="AO118" s="66" t="str">
        <f t="shared" si="66"/>
        <v/>
      </c>
      <c r="AP118" s="66" t="str">
        <f t="shared" si="67"/>
        <v/>
      </c>
      <c r="AQ118" s="67">
        <f t="shared" si="68"/>
        <v>-144.4</v>
      </c>
      <c r="AR118" s="61">
        <v>-1</v>
      </c>
      <c r="AS118" s="66" t="str">
        <f t="shared" si="69"/>
        <v/>
      </c>
      <c r="AT118" s="66" t="str">
        <f t="shared" si="70"/>
        <v/>
      </c>
      <c r="AU118" s="67">
        <f t="shared" si="71"/>
        <v>-144.4</v>
      </c>
      <c r="AV118" s="61">
        <v>-1</v>
      </c>
      <c r="AW118" s="66" t="str">
        <f t="shared" si="54"/>
        <v/>
      </c>
      <c r="AX118" s="66" t="str">
        <f t="shared" si="55"/>
        <v/>
      </c>
      <c r="AY118" s="67">
        <f t="shared" si="56"/>
        <v>-144.4</v>
      </c>
      <c r="AZ118" s="61">
        <v>1</v>
      </c>
      <c r="BA118" s="66">
        <f t="shared" si="57"/>
        <v>144.4</v>
      </c>
      <c r="BB118" s="66" t="str">
        <f t="shared" si="58"/>
        <v/>
      </c>
      <c r="BC118" s="67" t="str">
        <f t="shared" si="59"/>
        <v/>
      </c>
    </row>
    <row r="119" spans="29:55">
      <c r="AD119" s="68" t="str">
        <v>21</v>
      </c>
      <c r="AE119" s="61">
        <v>122.6</v>
      </c>
      <c r="AF119" s="61">
        <v>-1</v>
      </c>
      <c r="AG119" s="66" t="str">
        <f t="shared" si="60"/>
        <v/>
      </c>
      <c r="AH119" s="66" t="str">
        <f t="shared" si="61"/>
        <v/>
      </c>
      <c r="AI119" s="67">
        <f t="shared" si="62"/>
        <v>-122.6</v>
      </c>
      <c r="AJ119" s="61">
        <v>1</v>
      </c>
      <c r="AK119" s="66">
        <f t="shared" si="63"/>
        <v>122.6</v>
      </c>
      <c r="AL119" s="66" t="str">
        <f t="shared" si="64"/>
        <v/>
      </c>
      <c r="AM119" s="67" t="str">
        <f t="shared" si="65"/>
        <v/>
      </c>
      <c r="AN119" s="61">
        <v>1</v>
      </c>
      <c r="AO119" s="66">
        <f t="shared" si="66"/>
        <v>122.6</v>
      </c>
      <c r="AP119" s="66" t="str">
        <f t="shared" si="67"/>
        <v/>
      </c>
      <c r="AQ119" s="67" t="str">
        <f t="shared" si="68"/>
        <v/>
      </c>
      <c r="AR119" s="61">
        <v>-1</v>
      </c>
      <c r="AS119" s="66" t="str">
        <f t="shared" si="69"/>
        <v/>
      </c>
      <c r="AT119" s="66" t="str">
        <f t="shared" si="70"/>
        <v/>
      </c>
      <c r="AU119" s="67">
        <f t="shared" si="71"/>
        <v>-122.6</v>
      </c>
      <c r="AV119" s="61">
        <v>-1</v>
      </c>
      <c r="AW119" s="66" t="str">
        <f t="shared" si="54"/>
        <v/>
      </c>
      <c r="AX119" s="66" t="str">
        <f t="shared" si="55"/>
        <v/>
      </c>
      <c r="AY119" s="67">
        <f t="shared" si="56"/>
        <v>-122.6</v>
      </c>
      <c r="AZ119" s="61">
        <v>-1</v>
      </c>
      <c r="BA119" s="66" t="str">
        <f t="shared" si="57"/>
        <v/>
      </c>
      <c r="BB119" s="66" t="str">
        <f t="shared" si="58"/>
        <v/>
      </c>
      <c r="BC119" s="67">
        <f t="shared" si="59"/>
        <v>-122.6</v>
      </c>
    </row>
    <row r="120" spans="29:55">
      <c r="AD120" s="68" t="str">
        <v>22</v>
      </c>
      <c r="AE120" s="61">
        <v>95.6</v>
      </c>
      <c r="AF120" s="61">
        <v>-1</v>
      </c>
      <c r="AG120" s="66" t="str">
        <f t="shared" si="60"/>
        <v/>
      </c>
      <c r="AH120" s="66" t="str">
        <f t="shared" si="61"/>
        <v/>
      </c>
      <c r="AI120" s="67">
        <f t="shared" si="62"/>
        <v>-95.6</v>
      </c>
      <c r="AJ120" s="61">
        <v>1</v>
      </c>
      <c r="AK120" s="66">
        <f t="shared" si="63"/>
        <v>95.6</v>
      </c>
      <c r="AL120" s="66" t="str">
        <f t="shared" si="64"/>
        <v/>
      </c>
      <c r="AM120" s="67" t="str">
        <f t="shared" si="65"/>
        <v/>
      </c>
      <c r="AN120" s="61">
        <v>1</v>
      </c>
      <c r="AO120" s="66">
        <f t="shared" si="66"/>
        <v>95.6</v>
      </c>
      <c r="AP120" s="66" t="str">
        <f t="shared" si="67"/>
        <v/>
      </c>
      <c r="AQ120" s="67" t="str">
        <f t="shared" si="68"/>
        <v/>
      </c>
      <c r="AR120" s="61">
        <v>-1</v>
      </c>
      <c r="AS120" s="66" t="str">
        <f t="shared" si="69"/>
        <v/>
      </c>
      <c r="AT120" s="66" t="str">
        <f t="shared" si="70"/>
        <v/>
      </c>
      <c r="AU120" s="67">
        <f t="shared" si="71"/>
        <v>-95.6</v>
      </c>
      <c r="AV120" s="61">
        <v>0</v>
      </c>
      <c r="AW120" s="66" t="str">
        <f t="shared" si="54"/>
        <v/>
      </c>
      <c r="AX120" s="66">
        <f t="shared" si="55"/>
        <v>0</v>
      </c>
      <c r="AY120" s="67" t="str">
        <f t="shared" si="56"/>
        <v/>
      </c>
      <c r="AZ120" s="61">
        <v>-1</v>
      </c>
      <c r="BA120" s="66" t="str">
        <f t="shared" si="57"/>
        <v/>
      </c>
      <c r="BB120" s="66" t="str">
        <f t="shared" si="58"/>
        <v/>
      </c>
      <c r="BC120" s="67">
        <f t="shared" si="59"/>
        <v>-95.6</v>
      </c>
    </row>
    <row r="121" spans="29:55">
      <c r="AD121" s="68" t="str">
        <v>23</v>
      </c>
      <c r="AE121" s="61">
        <v>73.8</v>
      </c>
      <c r="AF121" s="61">
        <v>-1</v>
      </c>
      <c r="AG121" s="66" t="str">
        <f t="shared" si="60"/>
        <v/>
      </c>
      <c r="AH121" s="66" t="str">
        <f t="shared" si="61"/>
        <v/>
      </c>
      <c r="AI121" s="67">
        <f t="shared" si="62"/>
        <v>-73.8</v>
      </c>
      <c r="AJ121" s="61">
        <v>1</v>
      </c>
      <c r="AK121" s="66">
        <f t="shared" si="63"/>
        <v>73.8</v>
      </c>
      <c r="AL121" s="66" t="str">
        <f t="shared" si="64"/>
        <v/>
      </c>
      <c r="AM121" s="67" t="str">
        <f t="shared" si="65"/>
        <v/>
      </c>
      <c r="AN121" s="61">
        <v>1</v>
      </c>
      <c r="AO121" s="66">
        <f t="shared" si="66"/>
        <v>73.8</v>
      </c>
      <c r="AP121" s="66" t="str">
        <f t="shared" si="67"/>
        <v/>
      </c>
      <c r="AQ121" s="67" t="str">
        <f t="shared" si="68"/>
        <v/>
      </c>
      <c r="AR121" s="61">
        <v>-1</v>
      </c>
      <c r="AS121" s="66" t="str">
        <f t="shared" si="69"/>
        <v/>
      </c>
      <c r="AT121" s="66" t="str">
        <f t="shared" si="70"/>
        <v/>
      </c>
      <c r="AU121" s="67">
        <f t="shared" si="71"/>
        <v>-73.8</v>
      </c>
      <c r="AV121" s="61">
        <v>1</v>
      </c>
      <c r="AW121" s="66">
        <f t="shared" si="54"/>
        <v>73.8</v>
      </c>
      <c r="AX121" s="66" t="str">
        <f t="shared" si="55"/>
        <v/>
      </c>
      <c r="AY121" s="67" t="str">
        <f t="shared" si="56"/>
        <v/>
      </c>
      <c r="AZ121" s="61">
        <v>-1</v>
      </c>
      <c r="BA121" s="66" t="str">
        <f t="shared" si="57"/>
        <v/>
      </c>
      <c r="BB121" s="66" t="str">
        <f t="shared" si="58"/>
        <v/>
      </c>
      <c r="BC121" s="67">
        <f t="shared" si="59"/>
        <v>-73.8</v>
      </c>
    </row>
    <row r="122" spans="29:55" ht="15.75" thickBot="1">
      <c r="AC122" s="476">
        <f>AD94</f>
        <v>44712</v>
      </c>
      <c r="AD122" s="69" t="s">
        <v>85</v>
      </c>
      <c r="AE122" s="70">
        <f>SUM(AE98:AE121)</f>
        <v>3940.2000000000003</v>
      </c>
      <c r="AF122" s="70"/>
      <c r="AG122" s="71">
        <f>ABS(SUM(AG98:AG121))</f>
        <v>2154.1</v>
      </c>
      <c r="AH122" s="70"/>
      <c r="AI122" s="72">
        <f>ABS(SUM(AI98:AI121))</f>
        <v>1786.1</v>
      </c>
      <c r="AJ122" s="70"/>
      <c r="AK122" s="71">
        <f>ABS(SUM(AK98:AK121))</f>
        <v>1628.3999999999996</v>
      </c>
      <c r="AL122" s="70"/>
      <c r="AM122" s="72">
        <f>ABS(SUM(AM98:AM121))</f>
        <v>2311.8000000000002</v>
      </c>
      <c r="AN122" s="70"/>
      <c r="AO122" s="71">
        <f>ABS(SUM(AO98:AO121))</f>
        <v>1468.5999999999997</v>
      </c>
      <c r="AP122" s="70"/>
      <c r="AQ122" s="72">
        <f>ABS(SUM(AQ98:AQ121))</f>
        <v>2471.6</v>
      </c>
      <c r="AR122" s="70"/>
      <c r="AS122" s="71">
        <f>ABS(SUM(AS98:AS121))</f>
        <v>1858.1</v>
      </c>
      <c r="AT122" s="70"/>
      <c r="AU122" s="72">
        <f>ABS(SUM(AU98:AU121))</f>
        <v>2082.1</v>
      </c>
      <c r="AV122" s="70"/>
      <c r="AW122" s="71">
        <f>ABS(SUM(AW98:AW121))</f>
        <v>1305.3</v>
      </c>
      <c r="AX122" s="70"/>
      <c r="AY122" s="72">
        <f>ABS(SUM(AY98:AY121))</f>
        <v>1316.8000000000002</v>
      </c>
      <c r="AZ122" s="70"/>
      <c r="BA122" s="71">
        <f>ABS(SUM(BA98:BA121))</f>
        <v>1961.5</v>
      </c>
      <c r="BB122" s="70"/>
      <c r="BC122" s="72">
        <f>ABS(SUM(BC98:BC121))</f>
        <v>1978.6999999999996</v>
      </c>
    </row>
    <row r="124" spans="29:55" ht="15" thickBot="1">
      <c r="AD124" s="476">
        <f>skemA1!B9</f>
        <v>44713</v>
      </c>
    </row>
    <row r="125" spans="29:55" ht="15" thickBot="1">
      <c r="AD125" s="677" t="s">
        <v>75</v>
      </c>
      <c r="AE125" s="60" t="s">
        <v>558</v>
      </c>
      <c r="AF125" s="672" t="s">
        <v>559</v>
      </c>
      <c r="AG125" s="672"/>
      <c r="AH125" s="672"/>
      <c r="AI125" s="673"/>
      <c r="AJ125" s="672" t="s">
        <v>562</v>
      </c>
      <c r="AK125" s="672"/>
      <c r="AL125" s="672"/>
      <c r="AM125" s="673"/>
      <c r="AN125" s="672" t="s">
        <v>563</v>
      </c>
      <c r="AO125" s="672"/>
      <c r="AP125" s="672"/>
      <c r="AQ125" s="673"/>
      <c r="AR125" s="672" t="s">
        <v>564</v>
      </c>
      <c r="AS125" s="672"/>
      <c r="AT125" s="672"/>
      <c r="AU125" s="673"/>
      <c r="AV125" s="672" t="s">
        <v>565</v>
      </c>
      <c r="AW125" s="672"/>
      <c r="AX125" s="672"/>
      <c r="AY125" s="673"/>
      <c r="AZ125" s="672" t="s">
        <v>566</v>
      </c>
      <c r="BA125" s="672"/>
      <c r="BB125" s="672"/>
      <c r="BC125" s="673"/>
    </row>
    <row r="126" spans="29:55" ht="15" thickBot="1">
      <c r="AD126" s="677"/>
      <c r="AE126" s="61"/>
      <c r="AF126" s="674" t="s">
        <v>561</v>
      </c>
      <c r="AG126" s="670" t="s">
        <v>560</v>
      </c>
      <c r="AH126" s="670"/>
      <c r="AI126" s="671"/>
      <c r="AJ126" s="674" t="s">
        <v>561</v>
      </c>
      <c r="AK126" s="670" t="s">
        <v>560</v>
      </c>
      <c r="AL126" s="670"/>
      <c r="AM126" s="671"/>
      <c r="AN126" s="674" t="s">
        <v>561</v>
      </c>
      <c r="AO126" s="670" t="s">
        <v>560</v>
      </c>
      <c r="AP126" s="670"/>
      <c r="AQ126" s="671"/>
      <c r="AR126" s="674" t="s">
        <v>561</v>
      </c>
      <c r="AS126" s="670" t="s">
        <v>560</v>
      </c>
      <c r="AT126" s="670"/>
      <c r="AU126" s="671"/>
      <c r="AV126" s="674" t="s">
        <v>561</v>
      </c>
      <c r="AW126" s="670" t="s">
        <v>560</v>
      </c>
      <c r="AX126" s="670"/>
      <c r="AY126" s="671"/>
      <c r="AZ126" s="674" t="s">
        <v>561</v>
      </c>
      <c r="BA126" s="670" t="s">
        <v>560</v>
      </c>
      <c r="BB126" s="670"/>
      <c r="BC126" s="671"/>
    </row>
    <row r="127" spans="29:55">
      <c r="AD127" s="677"/>
      <c r="AE127" s="62"/>
      <c r="AF127" s="674"/>
      <c r="AG127" s="63" t="s">
        <v>76</v>
      </c>
      <c r="AH127" s="63">
        <v>0</v>
      </c>
      <c r="AI127" s="64" t="s">
        <v>77</v>
      </c>
      <c r="AJ127" s="674"/>
      <c r="AK127" s="63" t="s">
        <v>76</v>
      </c>
      <c r="AL127" s="63">
        <v>0</v>
      </c>
      <c r="AM127" s="64" t="s">
        <v>77</v>
      </c>
      <c r="AN127" s="674"/>
      <c r="AO127" s="63" t="s">
        <v>76</v>
      </c>
      <c r="AP127" s="63">
        <v>0</v>
      </c>
      <c r="AQ127" s="64" t="s">
        <v>77</v>
      </c>
      <c r="AR127" s="674"/>
      <c r="AS127" s="63" t="s">
        <v>76</v>
      </c>
      <c r="AT127" s="63">
        <v>0</v>
      </c>
      <c r="AU127" s="64" t="s">
        <v>77</v>
      </c>
      <c r="AV127" s="674"/>
      <c r="AW127" s="63" t="s">
        <v>76</v>
      </c>
      <c r="AX127" s="63">
        <v>0</v>
      </c>
      <c r="AY127" s="64" t="s">
        <v>77</v>
      </c>
      <c r="AZ127" s="674"/>
      <c r="BA127" s="63" t="s">
        <v>76</v>
      </c>
      <c r="BB127" s="63">
        <v>0</v>
      </c>
      <c r="BC127" s="64" t="s">
        <v>77</v>
      </c>
    </row>
    <row r="128" spans="29:55">
      <c r="AD128" s="65" t="str">
        <f t="array" ref="AD128:AD151">TRANSPOSE($C$5:$Z$5)</f>
        <v>00</v>
      </c>
      <c r="AE128" s="66">
        <f t="array" ref="AE128:AE151">TRANSPOSE(skemA1!$C$9:$Z$9)</f>
        <v>68.7</v>
      </c>
      <c r="AF128" s="66">
        <f t="array" ref="AF128:AF151">TRANSPOSE($C$6:$Z$6)</f>
        <v>-1</v>
      </c>
      <c r="AG128" s="66" t="str">
        <f>IF(AF128&gt;0,AF128*$AE128,"")</f>
        <v/>
      </c>
      <c r="AH128" s="66" t="str">
        <f>IF(AF128=0,AF128*$AE128,"")</f>
        <v/>
      </c>
      <c r="AI128" s="67">
        <f>IF(AF128&lt;0,AF128*$AE128,"")</f>
        <v>-68.7</v>
      </c>
      <c r="AJ128" s="66">
        <f t="array" ref="AJ128:AJ151">TRANSPOSE($C$7:$Z$7)</f>
        <v>-1</v>
      </c>
      <c r="AK128" s="66" t="str">
        <f>IF(AJ128&gt;0,AJ128*$AE128,"")</f>
        <v/>
      </c>
      <c r="AL128" s="66" t="str">
        <f>IF(AJ128=0,AJ128*$AE128,"")</f>
        <v/>
      </c>
      <c r="AM128" s="67">
        <f>IF(AJ128&lt;0,AJ128*$AE128,"")</f>
        <v>-68.7</v>
      </c>
      <c r="AN128" s="66">
        <f t="array" ref="AN128:AN151">TRANSPOSE($C$8:$Z$8)</f>
        <v>1</v>
      </c>
      <c r="AO128" s="66">
        <f>IF(AN128&gt;0,AN128*$AE128,"")</f>
        <v>68.7</v>
      </c>
      <c r="AP128" s="66" t="str">
        <f>IF(AN128=0,AN128*$AE128,"")</f>
        <v/>
      </c>
      <c r="AQ128" s="67" t="str">
        <f>IF(AN128&lt;0,AN128*$AE128,"")</f>
        <v/>
      </c>
      <c r="AR128" s="66">
        <f t="array" ref="AR128:AR151">TRANSPOSE($C$9:$Z$9)</f>
        <v>1</v>
      </c>
      <c r="AS128" s="66">
        <f>IF(AR128&gt;0,AR128*$AE128,"")</f>
        <v>68.7</v>
      </c>
      <c r="AT128" s="66" t="str">
        <f>IF(AR128=0,AR128*$AE128,"")</f>
        <v/>
      </c>
      <c r="AU128" s="67" t="str">
        <f>IF(AR128&lt;0,AR128*$AE128,"")</f>
        <v/>
      </c>
      <c r="AV128" s="66">
        <f t="array" ref="AV128:AV151">TRANSPOSE($C$10:$Z$10)</f>
        <v>1</v>
      </c>
      <c r="AW128" s="66">
        <f t="shared" ref="AW128:AW151" si="72">IF(AV128&gt;0,AV128*$AE128,"")</f>
        <v>68.7</v>
      </c>
      <c r="AX128" s="66" t="str">
        <f t="shared" ref="AX128:AX151" si="73">IF(AV128=0,AV128*$AE128,"")</f>
        <v/>
      </c>
      <c r="AY128" s="67" t="str">
        <f t="shared" ref="AY128:AY151" si="74">IF(AV128&lt;0,AV128*$AE128,"")</f>
        <v/>
      </c>
      <c r="AZ128" s="66">
        <f t="array" ref="AZ128:AZ151">TRANSPOSE($C$11:$Z$11)</f>
        <v>1</v>
      </c>
      <c r="BA128" s="66">
        <f t="shared" ref="BA128:BA151" si="75">IF(AZ128&gt;0,AZ128*$AE128,"")</f>
        <v>68.7</v>
      </c>
      <c r="BB128" s="66" t="str">
        <f t="shared" ref="BB128:BB151" si="76">IF(AZ128=0,AZ128*$AE128,"")</f>
        <v/>
      </c>
      <c r="BC128" s="67" t="str">
        <f t="shared" ref="BC128:BC151" si="77">IF(AZ128&lt;0,AZ128*$AE128,"")</f>
        <v/>
      </c>
    </row>
    <row r="129" spans="30:55">
      <c r="AD129" s="68" t="str">
        <v>01</v>
      </c>
      <c r="AE129" s="61">
        <v>86.4</v>
      </c>
      <c r="AF129" s="61">
        <v>-1</v>
      </c>
      <c r="AG129" s="66" t="str">
        <f t="shared" ref="AG129:AG151" si="78">IF(AF129&gt;0,AF129*$AE129,"")</f>
        <v/>
      </c>
      <c r="AH129" s="66" t="str">
        <f t="shared" ref="AH129:AH151" si="79">IF(AF129=0,AF129*$AE129,"")</f>
        <v/>
      </c>
      <c r="AI129" s="67">
        <f t="shared" ref="AI129:AI151" si="80">IF(AF129&lt;0,AF129*$AE129,"")</f>
        <v>-86.4</v>
      </c>
      <c r="AJ129" s="61">
        <v>-1</v>
      </c>
      <c r="AK129" s="66" t="str">
        <f t="shared" ref="AK129:AK151" si="81">IF(AJ129&gt;0,AJ129*$AE129,"")</f>
        <v/>
      </c>
      <c r="AL129" s="66" t="str">
        <f t="shared" ref="AL129:AL151" si="82">IF(AJ129=0,AJ129*$AE129,"")</f>
        <v/>
      </c>
      <c r="AM129" s="67">
        <f t="shared" ref="AM129:AM151" si="83">IF(AJ129&lt;0,AJ129*$AE129,"")</f>
        <v>-86.4</v>
      </c>
      <c r="AN129" s="61">
        <v>1</v>
      </c>
      <c r="AO129" s="66">
        <f t="shared" ref="AO129:AO151" si="84">IF(AN129&gt;0,AN129*$AE129,"")</f>
        <v>86.4</v>
      </c>
      <c r="AP129" s="66" t="str">
        <f t="shared" ref="AP129:AP151" si="85">IF(AN129=0,AN129*$AE129,"")</f>
        <v/>
      </c>
      <c r="AQ129" s="67" t="str">
        <f t="shared" ref="AQ129:AQ151" si="86">IF(AN129&lt;0,AN129*$AE129,"")</f>
        <v/>
      </c>
      <c r="AR129" s="61">
        <v>1</v>
      </c>
      <c r="AS129" s="66">
        <f t="shared" ref="AS129:AS151" si="87">IF(AR129&gt;0,AR129*$AE129,"")</f>
        <v>86.4</v>
      </c>
      <c r="AT129" s="66" t="str">
        <f t="shared" ref="AT129:AT151" si="88">IF(AR129=0,AR129*$AE129,"")</f>
        <v/>
      </c>
      <c r="AU129" s="67" t="str">
        <f t="shared" ref="AU129:AU151" si="89">IF(AR129&lt;0,AR129*$AE129,"")</f>
        <v/>
      </c>
      <c r="AV129" s="61">
        <v>0</v>
      </c>
      <c r="AW129" s="66" t="str">
        <f t="shared" si="72"/>
        <v/>
      </c>
      <c r="AX129" s="66">
        <f t="shared" si="73"/>
        <v>0</v>
      </c>
      <c r="AY129" s="67" t="str">
        <f t="shared" si="74"/>
        <v/>
      </c>
      <c r="AZ129" s="61">
        <v>1</v>
      </c>
      <c r="BA129" s="66">
        <f t="shared" si="75"/>
        <v>86.4</v>
      </c>
      <c r="BB129" s="66" t="str">
        <f t="shared" si="76"/>
        <v/>
      </c>
      <c r="BC129" s="67" t="str">
        <f t="shared" si="77"/>
        <v/>
      </c>
    </row>
    <row r="130" spans="30:55">
      <c r="AD130" s="68" t="str">
        <v>02</v>
      </c>
      <c r="AE130" s="61">
        <v>124.6</v>
      </c>
      <c r="AF130" s="61">
        <v>-1</v>
      </c>
      <c r="AG130" s="66" t="str">
        <f t="shared" si="78"/>
        <v/>
      </c>
      <c r="AH130" s="66" t="str">
        <f t="shared" si="79"/>
        <v/>
      </c>
      <c r="AI130" s="67">
        <f t="shared" si="80"/>
        <v>-124.6</v>
      </c>
      <c r="AJ130" s="61">
        <v>-1</v>
      </c>
      <c r="AK130" s="66" t="str">
        <f t="shared" si="81"/>
        <v/>
      </c>
      <c r="AL130" s="66" t="str">
        <f t="shared" si="82"/>
        <v/>
      </c>
      <c r="AM130" s="67">
        <f t="shared" si="83"/>
        <v>-124.6</v>
      </c>
      <c r="AN130" s="61">
        <v>1</v>
      </c>
      <c r="AO130" s="66">
        <f t="shared" si="84"/>
        <v>124.6</v>
      </c>
      <c r="AP130" s="66" t="str">
        <f t="shared" si="85"/>
        <v/>
      </c>
      <c r="AQ130" s="67" t="str">
        <f t="shared" si="86"/>
        <v/>
      </c>
      <c r="AR130" s="61">
        <v>1</v>
      </c>
      <c r="AS130" s="66">
        <f t="shared" si="87"/>
        <v>124.6</v>
      </c>
      <c r="AT130" s="66" t="str">
        <f t="shared" si="88"/>
        <v/>
      </c>
      <c r="AU130" s="67" t="str">
        <f t="shared" si="89"/>
        <v/>
      </c>
      <c r="AV130" s="61">
        <v>-1</v>
      </c>
      <c r="AW130" s="66" t="str">
        <f t="shared" si="72"/>
        <v/>
      </c>
      <c r="AX130" s="66" t="str">
        <f t="shared" si="73"/>
        <v/>
      </c>
      <c r="AY130" s="67">
        <f t="shared" si="74"/>
        <v>-124.6</v>
      </c>
      <c r="AZ130" s="61">
        <v>1</v>
      </c>
      <c r="BA130" s="66">
        <f t="shared" si="75"/>
        <v>124.6</v>
      </c>
      <c r="BB130" s="66" t="str">
        <f t="shared" si="76"/>
        <v/>
      </c>
      <c r="BC130" s="67" t="str">
        <f t="shared" si="77"/>
        <v/>
      </c>
    </row>
    <row r="131" spans="30:55">
      <c r="AD131" s="68" t="str">
        <v>03</v>
      </c>
      <c r="AE131" s="61">
        <v>170.1</v>
      </c>
      <c r="AF131" s="61">
        <v>-1</v>
      </c>
      <c r="AG131" s="66" t="str">
        <f t="shared" si="78"/>
        <v/>
      </c>
      <c r="AH131" s="66" t="str">
        <f t="shared" si="79"/>
        <v/>
      </c>
      <c r="AI131" s="67">
        <f t="shared" si="80"/>
        <v>-170.1</v>
      </c>
      <c r="AJ131" s="61">
        <v>-1</v>
      </c>
      <c r="AK131" s="66" t="str">
        <f t="shared" si="81"/>
        <v/>
      </c>
      <c r="AL131" s="66" t="str">
        <f t="shared" si="82"/>
        <v/>
      </c>
      <c r="AM131" s="67">
        <f t="shared" si="83"/>
        <v>-170.1</v>
      </c>
      <c r="AN131" s="61">
        <v>-1</v>
      </c>
      <c r="AO131" s="66" t="str">
        <f t="shared" si="84"/>
        <v/>
      </c>
      <c r="AP131" s="66" t="str">
        <f t="shared" si="85"/>
        <v/>
      </c>
      <c r="AQ131" s="67">
        <f t="shared" si="86"/>
        <v>-170.1</v>
      </c>
      <c r="AR131" s="61">
        <v>1</v>
      </c>
      <c r="AS131" s="66">
        <f t="shared" si="87"/>
        <v>170.1</v>
      </c>
      <c r="AT131" s="66" t="str">
        <f t="shared" si="88"/>
        <v/>
      </c>
      <c r="AU131" s="67" t="str">
        <f t="shared" si="89"/>
        <v/>
      </c>
      <c r="AV131" s="61">
        <v>-1</v>
      </c>
      <c r="AW131" s="66" t="str">
        <f t="shared" si="72"/>
        <v/>
      </c>
      <c r="AX131" s="66" t="str">
        <f t="shared" si="73"/>
        <v/>
      </c>
      <c r="AY131" s="67">
        <f t="shared" si="74"/>
        <v>-170.1</v>
      </c>
      <c r="AZ131" s="61">
        <v>-1</v>
      </c>
      <c r="BA131" s="66" t="str">
        <f t="shared" si="75"/>
        <v/>
      </c>
      <c r="BB131" s="66" t="str">
        <f t="shared" si="76"/>
        <v/>
      </c>
      <c r="BC131" s="67">
        <f t="shared" si="77"/>
        <v>-170.1</v>
      </c>
    </row>
    <row r="132" spans="30:55">
      <c r="AD132" s="68" t="str">
        <v>04</v>
      </c>
      <c r="AE132" s="61">
        <v>219.3</v>
      </c>
      <c r="AF132" s="61">
        <v>-1</v>
      </c>
      <c r="AG132" s="66" t="str">
        <f t="shared" si="78"/>
        <v/>
      </c>
      <c r="AH132" s="66" t="str">
        <f t="shared" si="79"/>
        <v/>
      </c>
      <c r="AI132" s="67">
        <f t="shared" si="80"/>
        <v>-219.3</v>
      </c>
      <c r="AJ132" s="61">
        <v>-1</v>
      </c>
      <c r="AK132" s="66" t="str">
        <f t="shared" si="81"/>
        <v/>
      </c>
      <c r="AL132" s="66" t="str">
        <f t="shared" si="82"/>
        <v/>
      </c>
      <c r="AM132" s="67">
        <f t="shared" si="83"/>
        <v>-219.3</v>
      </c>
      <c r="AN132" s="61">
        <v>-1</v>
      </c>
      <c r="AO132" s="66" t="str">
        <f t="shared" si="84"/>
        <v/>
      </c>
      <c r="AP132" s="66" t="str">
        <f t="shared" si="85"/>
        <v/>
      </c>
      <c r="AQ132" s="67">
        <f t="shared" si="86"/>
        <v>-219.3</v>
      </c>
      <c r="AR132" s="61">
        <v>1</v>
      </c>
      <c r="AS132" s="66">
        <f t="shared" si="87"/>
        <v>219.3</v>
      </c>
      <c r="AT132" s="66" t="str">
        <f t="shared" si="88"/>
        <v/>
      </c>
      <c r="AU132" s="67" t="str">
        <f t="shared" si="89"/>
        <v/>
      </c>
      <c r="AV132" s="61">
        <v>0</v>
      </c>
      <c r="AW132" s="66" t="str">
        <f t="shared" si="72"/>
        <v/>
      </c>
      <c r="AX132" s="66">
        <f t="shared" si="73"/>
        <v>0</v>
      </c>
      <c r="AY132" s="67" t="str">
        <f t="shared" si="74"/>
        <v/>
      </c>
      <c r="AZ132" s="61">
        <v>-1</v>
      </c>
      <c r="BA132" s="66" t="str">
        <f t="shared" si="75"/>
        <v/>
      </c>
      <c r="BB132" s="66" t="str">
        <f t="shared" si="76"/>
        <v/>
      </c>
      <c r="BC132" s="67">
        <f t="shared" si="77"/>
        <v>-219.3</v>
      </c>
    </row>
    <row r="133" spans="30:55">
      <c r="AD133" s="68" t="str">
        <v>05</v>
      </c>
      <c r="AE133" s="61">
        <v>259.5</v>
      </c>
      <c r="AF133" s="61">
        <v>-1</v>
      </c>
      <c r="AG133" s="66" t="str">
        <f t="shared" si="78"/>
        <v/>
      </c>
      <c r="AH133" s="66" t="str">
        <f t="shared" si="79"/>
        <v/>
      </c>
      <c r="AI133" s="67">
        <f t="shared" si="80"/>
        <v>-259.5</v>
      </c>
      <c r="AJ133" s="61">
        <v>-1</v>
      </c>
      <c r="AK133" s="66" t="str">
        <f t="shared" si="81"/>
        <v/>
      </c>
      <c r="AL133" s="66" t="str">
        <f t="shared" si="82"/>
        <v/>
      </c>
      <c r="AM133" s="67">
        <f t="shared" si="83"/>
        <v>-259.5</v>
      </c>
      <c r="AN133" s="61">
        <v>-1</v>
      </c>
      <c r="AO133" s="66" t="str">
        <f t="shared" si="84"/>
        <v/>
      </c>
      <c r="AP133" s="66" t="str">
        <f t="shared" si="85"/>
        <v/>
      </c>
      <c r="AQ133" s="67">
        <f t="shared" si="86"/>
        <v>-259.5</v>
      </c>
      <c r="AR133" s="61">
        <v>1</v>
      </c>
      <c r="AS133" s="66">
        <f t="shared" si="87"/>
        <v>259.5</v>
      </c>
      <c r="AT133" s="66" t="str">
        <f t="shared" si="88"/>
        <v/>
      </c>
      <c r="AU133" s="67" t="str">
        <f t="shared" si="89"/>
        <v/>
      </c>
      <c r="AV133" s="61">
        <v>1</v>
      </c>
      <c r="AW133" s="66">
        <f t="shared" si="72"/>
        <v>259.5</v>
      </c>
      <c r="AX133" s="66" t="str">
        <f t="shared" si="73"/>
        <v/>
      </c>
      <c r="AY133" s="67" t="str">
        <f t="shared" si="74"/>
        <v/>
      </c>
      <c r="AZ133" s="61">
        <v>-1</v>
      </c>
      <c r="BA133" s="66" t="str">
        <f t="shared" si="75"/>
        <v/>
      </c>
      <c r="BB133" s="66" t="str">
        <f t="shared" si="76"/>
        <v/>
      </c>
      <c r="BC133" s="67">
        <f t="shared" si="77"/>
        <v>-259.5</v>
      </c>
    </row>
    <row r="134" spans="30:55">
      <c r="AD134" s="68" t="str">
        <v>06</v>
      </c>
      <c r="AE134" s="61">
        <v>281.8</v>
      </c>
      <c r="AF134" s="61">
        <v>1</v>
      </c>
      <c r="AG134" s="66">
        <f t="shared" si="78"/>
        <v>281.8</v>
      </c>
      <c r="AH134" s="66" t="str">
        <f t="shared" si="79"/>
        <v/>
      </c>
      <c r="AI134" s="67" t="str">
        <f t="shared" si="80"/>
        <v/>
      </c>
      <c r="AJ134" s="61">
        <v>-1</v>
      </c>
      <c r="AK134" s="66" t="str">
        <f t="shared" si="81"/>
        <v/>
      </c>
      <c r="AL134" s="66" t="str">
        <f t="shared" si="82"/>
        <v/>
      </c>
      <c r="AM134" s="67">
        <f t="shared" si="83"/>
        <v>-281.8</v>
      </c>
      <c r="AN134" s="61">
        <v>-1</v>
      </c>
      <c r="AO134" s="66" t="str">
        <f t="shared" si="84"/>
        <v/>
      </c>
      <c r="AP134" s="66" t="str">
        <f t="shared" si="85"/>
        <v/>
      </c>
      <c r="AQ134" s="67">
        <f t="shared" si="86"/>
        <v>-281.8</v>
      </c>
      <c r="AR134" s="61">
        <v>-1</v>
      </c>
      <c r="AS134" s="66" t="str">
        <f t="shared" si="87"/>
        <v/>
      </c>
      <c r="AT134" s="66" t="str">
        <f t="shared" si="88"/>
        <v/>
      </c>
      <c r="AU134" s="67">
        <f t="shared" si="89"/>
        <v>-281.8</v>
      </c>
      <c r="AV134" s="61">
        <v>1</v>
      </c>
      <c r="AW134" s="66">
        <f t="shared" si="72"/>
        <v>281.8</v>
      </c>
      <c r="AX134" s="66" t="str">
        <f t="shared" si="73"/>
        <v/>
      </c>
      <c r="AY134" s="67" t="str">
        <f t="shared" si="74"/>
        <v/>
      </c>
      <c r="AZ134" s="61">
        <v>1</v>
      </c>
      <c r="BA134" s="66">
        <f t="shared" si="75"/>
        <v>281.8</v>
      </c>
      <c r="BB134" s="66" t="str">
        <f t="shared" si="76"/>
        <v/>
      </c>
      <c r="BC134" s="67" t="str">
        <f t="shared" si="77"/>
        <v/>
      </c>
    </row>
    <row r="135" spans="30:55">
      <c r="AD135" s="68" t="str">
        <v>07</v>
      </c>
      <c r="AE135" s="61">
        <v>284</v>
      </c>
      <c r="AF135" s="61">
        <v>1</v>
      </c>
      <c r="AG135" s="66">
        <f t="shared" si="78"/>
        <v>284</v>
      </c>
      <c r="AH135" s="66" t="str">
        <f t="shared" si="79"/>
        <v/>
      </c>
      <c r="AI135" s="67" t="str">
        <f t="shared" si="80"/>
        <v/>
      </c>
      <c r="AJ135" s="61">
        <v>-1</v>
      </c>
      <c r="AK135" s="66" t="str">
        <f t="shared" si="81"/>
        <v/>
      </c>
      <c r="AL135" s="66" t="str">
        <f t="shared" si="82"/>
        <v/>
      </c>
      <c r="AM135" s="67">
        <f t="shared" si="83"/>
        <v>-284</v>
      </c>
      <c r="AN135" s="61">
        <v>-1</v>
      </c>
      <c r="AO135" s="66" t="str">
        <f t="shared" si="84"/>
        <v/>
      </c>
      <c r="AP135" s="66" t="str">
        <f t="shared" si="85"/>
        <v/>
      </c>
      <c r="AQ135" s="67">
        <f t="shared" si="86"/>
        <v>-284</v>
      </c>
      <c r="AR135" s="61">
        <v>-1</v>
      </c>
      <c r="AS135" s="66" t="str">
        <f t="shared" si="87"/>
        <v/>
      </c>
      <c r="AT135" s="66" t="str">
        <f t="shared" si="88"/>
        <v/>
      </c>
      <c r="AU135" s="67">
        <f t="shared" si="89"/>
        <v>-284</v>
      </c>
      <c r="AV135" s="61">
        <v>0</v>
      </c>
      <c r="AW135" s="66" t="str">
        <f t="shared" si="72"/>
        <v/>
      </c>
      <c r="AX135" s="66">
        <f t="shared" si="73"/>
        <v>0</v>
      </c>
      <c r="AY135" s="67" t="str">
        <f t="shared" si="74"/>
        <v/>
      </c>
      <c r="AZ135" s="61">
        <v>1</v>
      </c>
      <c r="BA135" s="66">
        <f t="shared" si="75"/>
        <v>284</v>
      </c>
      <c r="BB135" s="66" t="str">
        <f t="shared" si="76"/>
        <v/>
      </c>
      <c r="BC135" s="67" t="str">
        <f t="shared" si="77"/>
        <v/>
      </c>
    </row>
    <row r="136" spans="30:55">
      <c r="AD136" s="68" t="str">
        <v>08</v>
      </c>
      <c r="AE136" s="61">
        <v>265.7</v>
      </c>
      <c r="AF136" s="61">
        <v>1</v>
      </c>
      <c r="AG136" s="66">
        <f t="shared" si="78"/>
        <v>265.7</v>
      </c>
      <c r="AH136" s="66" t="str">
        <f t="shared" si="79"/>
        <v/>
      </c>
      <c r="AI136" s="67" t="str">
        <f t="shared" si="80"/>
        <v/>
      </c>
      <c r="AJ136" s="61">
        <v>-1</v>
      </c>
      <c r="AK136" s="66" t="str">
        <f t="shared" si="81"/>
        <v/>
      </c>
      <c r="AL136" s="66" t="str">
        <f t="shared" si="82"/>
        <v/>
      </c>
      <c r="AM136" s="67">
        <f t="shared" si="83"/>
        <v>-265.7</v>
      </c>
      <c r="AN136" s="61">
        <v>-1</v>
      </c>
      <c r="AO136" s="66" t="str">
        <f t="shared" si="84"/>
        <v/>
      </c>
      <c r="AP136" s="66" t="str">
        <f t="shared" si="85"/>
        <v/>
      </c>
      <c r="AQ136" s="67">
        <f t="shared" si="86"/>
        <v>-265.7</v>
      </c>
      <c r="AR136" s="61">
        <v>-1</v>
      </c>
      <c r="AS136" s="66" t="str">
        <f t="shared" si="87"/>
        <v/>
      </c>
      <c r="AT136" s="66" t="str">
        <f t="shared" si="88"/>
        <v/>
      </c>
      <c r="AU136" s="67">
        <f t="shared" si="89"/>
        <v>-265.7</v>
      </c>
      <c r="AV136" s="61">
        <v>-1</v>
      </c>
      <c r="AW136" s="66" t="str">
        <f t="shared" si="72"/>
        <v/>
      </c>
      <c r="AX136" s="66" t="str">
        <f t="shared" si="73"/>
        <v/>
      </c>
      <c r="AY136" s="67">
        <f t="shared" si="74"/>
        <v>-265.7</v>
      </c>
      <c r="AZ136" s="61">
        <v>1</v>
      </c>
      <c r="BA136" s="66">
        <f t="shared" si="75"/>
        <v>265.7</v>
      </c>
      <c r="BB136" s="66" t="str">
        <f t="shared" si="76"/>
        <v/>
      </c>
      <c r="BC136" s="67" t="str">
        <f t="shared" si="77"/>
        <v/>
      </c>
    </row>
    <row r="137" spans="30:55">
      <c r="AD137" s="68" t="str">
        <v>09</v>
      </c>
      <c r="AE137" s="61">
        <v>228.79999999999998</v>
      </c>
      <c r="AF137" s="61">
        <v>1</v>
      </c>
      <c r="AG137" s="66">
        <f t="shared" si="78"/>
        <v>228.79999999999998</v>
      </c>
      <c r="AH137" s="66" t="str">
        <f t="shared" si="79"/>
        <v/>
      </c>
      <c r="AI137" s="67" t="str">
        <f t="shared" si="80"/>
        <v/>
      </c>
      <c r="AJ137" s="61">
        <v>-1</v>
      </c>
      <c r="AK137" s="66" t="str">
        <f t="shared" si="81"/>
        <v/>
      </c>
      <c r="AL137" s="66" t="str">
        <f t="shared" si="82"/>
        <v/>
      </c>
      <c r="AM137" s="67">
        <f t="shared" si="83"/>
        <v>-228.79999999999998</v>
      </c>
      <c r="AN137" s="61">
        <v>1</v>
      </c>
      <c r="AO137" s="66">
        <f t="shared" si="84"/>
        <v>228.79999999999998</v>
      </c>
      <c r="AP137" s="66" t="str">
        <f t="shared" si="85"/>
        <v/>
      </c>
      <c r="AQ137" s="67" t="str">
        <f t="shared" si="86"/>
        <v/>
      </c>
      <c r="AR137" s="61">
        <v>-1</v>
      </c>
      <c r="AS137" s="66" t="str">
        <f t="shared" si="87"/>
        <v/>
      </c>
      <c r="AT137" s="66" t="str">
        <f t="shared" si="88"/>
        <v/>
      </c>
      <c r="AU137" s="67">
        <f t="shared" si="89"/>
        <v>-228.79999999999998</v>
      </c>
      <c r="AV137" s="61">
        <v>-1</v>
      </c>
      <c r="AW137" s="66" t="str">
        <f t="shared" si="72"/>
        <v/>
      </c>
      <c r="AX137" s="66" t="str">
        <f t="shared" si="73"/>
        <v/>
      </c>
      <c r="AY137" s="67">
        <f t="shared" si="74"/>
        <v>-228.79999999999998</v>
      </c>
      <c r="AZ137" s="61">
        <v>-1</v>
      </c>
      <c r="BA137" s="66" t="str">
        <f t="shared" si="75"/>
        <v/>
      </c>
      <c r="BB137" s="66" t="str">
        <f t="shared" si="76"/>
        <v/>
      </c>
      <c r="BC137" s="67">
        <f t="shared" si="77"/>
        <v>-228.79999999999998</v>
      </c>
    </row>
    <row r="138" spans="30:55">
      <c r="AD138" s="68" t="str">
        <v>10</v>
      </c>
      <c r="AE138" s="61">
        <v>188.2</v>
      </c>
      <c r="AF138" s="61">
        <v>1</v>
      </c>
      <c r="AG138" s="66">
        <f t="shared" si="78"/>
        <v>188.2</v>
      </c>
      <c r="AH138" s="66" t="str">
        <f t="shared" si="79"/>
        <v/>
      </c>
      <c r="AI138" s="67" t="str">
        <f t="shared" si="80"/>
        <v/>
      </c>
      <c r="AJ138" s="61">
        <v>-1</v>
      </c>
      <c r="AK138" s="66" t="str">
        <f t="shared" si="81"/>
        <v/>
      </c>
      <c r="AL138" s="66" t="str">
        <f t="shared" si="82"/>
        <v/>
      </c>
      <c r="AM138" s="67">
        <f t="shared" si="83"/>
        <v>-188.2</v>
      </c>
      <c r="AN138" s="61">
        <v>1</v>
      </c>
      <c r="AO138" s="66">
        <f t="shared" si="84"/>
        <v>188.2</v>
      </c>
      <c r="AP138" s="66" t="str">
        <f t="shared" si="85"/>
        <v/>
      </c>
      <c r="AQ138" s="67" t="str">
        <f t="shared" si="86"/>
        <v/>
      </c>
      <c r="AR138" s="61">
        <v>-1</v>
      </c>
      <c r="AS138" s="66" t="str">
        <f t="shared" si="87"/>
        <v/>
      </c>
      <c r="AT138" s="66" t="str">
        <f t="shared" si="88"/>
        <v/>
      </c>
      <c r="AU138" s="67">
        <f t="shared" si="89"/>
        <v>-188.2</v>
      </c>
      <c r="AV138" s="61">
        <v>0</v>
      </c>
      <c r="AW138" s="66" t="str">
        <f t="shared" si="72"/>
        <v/>
      </c>
      <c r="AX138" s="66">
        <f t="shared" si="73"/>
        <v>0</v>
      </c>
      <c r="AY138" s="67" t="str">
        <f t="shared" si="74"/>
        <v/>
      </c>
      <c r="AZ138" s="61">
        <v>-1</v>
      </c>
      <c r="BA138" s="66" t="str">
        <f t="shared" si="75"/>
        <v/>
      </c>
      <c r="BB138" s="66" t="str">
        <f t="shared" si="76"/>
        <v/>
      </c>
      <c r="BC138" s="67">
        <f t="shared" si="77"/>
        <v>-188.2</v>
      </c>
    </row>
    <row r="139" spans="30:55">
      <c r="AD139" s="68" t="str">
        <v>11</v>
      </c>
      <c r="AE139" s="61">
        <v>151.5</v>
      </c>
      <c r="AF139" s="61">
        <v>1</v>
      </c>
      <c r="AG139" s="66">
        <f t="shared" si="78"/>
        <v>151.5</v>
      </c>
      <c r="AH139" s="66" t="str">
        <f t="shared" si="79"/>
        <v/>
      </c>
      <c r="AI139" s="67" t="str">
        <f t="shared" si="80"/>
        <v/>
      </c>
      <c r="AJ139" s="61">
        <v>-1</v>
      </c>
      <c r="AK139" s="66" t="str">
        <f t="shared" si="81"/>
        <v/>
      </c>
      <c r="AL139" s="66" t="str">
        <f t="shared" si="82"/>
        <v/>
      </c>
      <c r="AM139" s="67">
        <f t="shared" si="83"/>
        <v>-151.5</v>
      </c>
      <c r="AN139" s="61">
        <v>1</v>
      </c>
      <c r="AO139" s="66">
        <f t="shared" si="84"/>
        <v>151.5</v>
      </c>
      <c r="AP139" s="66" t="str">
        <f t="shared" si="85"/>
        <v/>
      </c>
      <c r="AQ139" s="67" t="str">
        <f t="shared" si="86"/>
        <v/>
      </c>
      <c r="AR139" s="61">
        <v>-1</v>
      </c>
      <c r="AS139" s="66" t="str">
        <f t="shared" si="87"/>
        <v/>
      </c>
      <c r="AT139" s="66" t="str">
        <f t="shared" si="88"/>
        <v/>
      </c>
      <c r="AU139" s="67">
        <f t="shared" si="89"/>
        <v>-151.5</v>
      </c>
      <c r="AV139" s="61">
        <v>1</v>
      </c>
      <c r="AW139" s="66">
        <f t="shared" si="72"/>
        <v>151.5</v>
      </c>
      <c r="AX139" s="66" t="str">
        <f t="shared" si="73"/>
        <v/>
      </c>
      <c r="AY139" s="67" t="str">
        <f t="shared" si="74"/>
        <v/>
      </c>
      <c r="AZ139" s="61">
        <v>-1</v>
      </c>
      <c r="BA139" s="66" t="str">
        <f t="shared" si="75"/>
        <v/>
      </c>
      <c r="BB139" s="66" t="str">
        <f t="shared" si="76"/>
        <v/>
      </c>
      <c r="BC139" s="67">
        <f t="shared" si="77"/>
        <v>-151.5</v>
      </c>
    </row>
    <row r="140" spans="30:55">
      <c r="AD140" s="68" t="str">
        <v>12</v>
      </c>
      <c r="AE140" s="61">
        <v>127</v>
      </c>
      <c r="AF140" s="61">
        <v>1</v>
      </c>
      <c r="AG140" s="66">
        <f t="shared" si="78"/>
        <v>127</v>
      </c>
      <c r="AH140" s="66" t="str">
        <f t="shared" si="79"/>
        <v/>
      </c>
      <c r="AI140" s="67" t="str">
        <f t="shared" si="80"/>
        <v/>
      </c>
      <c r="AJ140" s="61">
        <v>1</v>
      </c>
      <c r="AK140" s="66">
        <f t="shared" si="81"/>
        <v>127</v>
      </c>
      <c r="AL140" s="66" t="str">
        <f t="shared" si="82"/>
        <v/>
      </c>
      <c r="AM140" s="67" t="str">
        <f t="shared" si="83"/>
        <v/>
      </c>
      <c r="AN140" s="61">
        <v>1</v>
      </c>
      <c r="AO140" s="66">
        <f t="shared" si="84"/>
        <v>127</v>
      </c>
      <c r="AP140" s="66" t="str">
        <f t="shared" si="85"/>
        <v/>
      </c>
      <c r="AQ140" s="67" t="str">
        <f t="shared" si="86"/>
        <v/>
      </c>
      <c r="AR140" s="61">
        <v>1</v>
      </c>
      <c r="AS140" s="66">
        <f t="shared" si="87"/>
        <v>127</v>
      </c>
      <c r="AT140" s="66" t="str">
        <f t="shared" si="88"/>
        <v/>
      </c>
      <c r="AU140" s="67" t="str">
        <f t="shared" si="89"/>
        <v/>
      </c>
      <c r="AV140" s="61">
        <v>1</v>
      </c>
      <c r="AW140" s="66">
        <f t="shared" si="72"/>
        <v>127</v>
      </c>
      <c r="AX140" s="66" t="str">
        <f t="shared" si="73"/>
        <v/>
      </c>
      <c r="AY140" s="67" t="str">
        <f t="shared" si="74"/>
        <v/>
      </c>
      <c r="AZ140" s="61">
        <v>1</v>
      </c>
      <c r="BA140" s="66">
        <f t="shared" si="75"/>
        <v>127</v>
      </c>
      <c r="BB140" s="66" t="str">
        <f t="shared" si="76"/>
        <v/>
      </c>
      <c r="BC140" s="67" t="str">
        <f t="shared" si="77"/>
        <v/>
      </c>
    </row>
    <row r="141" spans="30:55">
      <c r="AD141" s="68" t="str">
        <v>13</v>
      </c>
      <c r="AE141" s="61">
        <v>116.9</v>
      </c>
      <c r="AF141" s="61">
        <v>1</v>
      </c>
      <c r="AG141" s="66">
        <f t="shared" si="78"/>
        <v>116.9</v>
      </c>
      <c r="AH141" s="66" t="str">
        <f t="shared" si="79"/>
        <v/>
      </c>
      <c r="AI141" s="67" t="str">
        <f t="shared" si="80"/>
        <v/>
      </c>
      <c r="AJ141" s="61">
        <v>1</v>
      </c>
      <c r="AK141" s="66">
        <f t="shared" si="81"/>
        <v>116.9</v>
      </c>
      <c r="AL141" s="66" t="str">
        <f t="shared" si="82"/>
        <v/>
      </c>
      <c r="AM141" s="67" t="str">
        <f t="shared" si="83"/>
        <v/>
      </c>
      <c r="AN141" s="61">
        <v>1</v>
      </c>
      <c r="AO141" s="66">
        <f t="shared" si="84"/>
        <v>116.9</v>
      </c>
      <c r="AP141" s="66" t="str">
        <f t="shared" si="85"/>
        <v/>
      </c>
      <c r="AQ141" s="67" t="str">
        <f t="shared" si="86"/>
        <v/>
      </c>
      <c r="AR141" s="61">
        <v>1</v>
      </c>
      <c r="AS141" s="66">
        <f t="shared" si="87"/>
        <v>116.9</v>
      </c>
      <c r="AT141" s="66" t="str">
        <f t="shared" si="88"/>
        <v/>
      </c>
      <c r="AU141" s="67" t="str">
        <f t="shared" si="89"/>
        <v/>
      </c>
      <c r="AV141" s="61">
        <v>0</v>
      </c>
      <c r="AW141" s="66" t="str">
        <f t="shared" si="72"/>
        <v/>
      </c>
      <c r="AX141" s="66">
        <f t="shared" si="73"/>
        <v>0</v>
      </c>
      <c r="AY141" s="67" t="str">
        <f t="shared" si="74"/>
        <v/>
      </c>
      <c r="AZ141" s="61">
        <v>1</v>
      </c>
      <c r="BA141" s="66">
        <f t="shared" si="75"/>
        <v>116.9</v>
      </c>
      <c r="BB141" s="66" t="str">
        <f t="shared" si="76"/>
        <v/>
      </c>
      <c r="BC141" s="67" t="str">
        <f t="shared" si="77"/>
        <v/>
      </c>
    </row>
    <row r="142" spans="30:55">
      <c r="AD142" s="68" t="str">
        <v>14</v>
      </c>
      <c r="AE142" s="61">
        <v>122.50000000000001</v>
      </c>
      <c r="AF142" s="61">
        <v>1</v>
      </c>
      <c r="AG142" s="66">
        <f t="shared" si="78"/>
        <v>122.50000000000001</v>
      </c>
      <c r="AH142" s="66" t="str">
        <f t="shared" si="79"/>
        <v/>
      </c>
      <c r="AI142" s="67" t="str">
        <f t="shared" si="80"/>
        <v/>
      </c>
      <c r="AJ142" s="61">
        <v>1</v>
      </c>
      <c r="AK142" s="66">
        <f t="shared" si="81"/>
        <v>122.50000000000001</v>
      </c>
      <c r="AL142" s="66" t="str">
        <f t="shared" si="82"/>
        <v/>
      </c>
      <c r="AM142" s="67" t="str">
        <f t="shared" si="83"/>
        <v/>
      </c>
      <c r="AN142" s="61">
        <v>1</v>
      </c>
      <c r="AO142" s="66">
        <f t="shared" si="84"/>
        <v>122.50000000000001</v>
      </c>
      <c r="AP142" s="66" t="str">
        <f t="shared" si="85"/>
        <v/>
      </c>
      <c r="AQ142" s="67" t="str">
        <f t="shared" si="86"/>
        <v/>
      </c>
      <c r="AR142" s="61">
        <v>1</v>
      </c>
      <c r="AS142" s="66">
        <f t="shared" si="87"/>
        <v>122.50000000000001</v>
      </c>
      <c r="AT142" s="66" t="str">
        <f t="shared" si="88"/>
        <v/>
      </c>
      <c r="AU142" s="67" t="str">
        <f t="shared" si="89"/>
        <v/>
      </c>
      <c r="AV142" s="61">
        <v>-1</v>
      </c>
      <c r="AW142" s="66" t="str">
        <f t="shared" si="72"/>
        <v/>
      </c>
      <c r="AX142" s="66" t="str">
        <f t="shared" si="73"/>
        <v/>
      </c>
      <c r="AY142" s="67">
        <f t="shared" si="74"/>
        <v>-122.50000000000001</v>
      </c>
      <c r="AZ142" s="61">
        <v>1</v>
      </c>
      <c r="BA142" s="66">
        <f t="shared" si="75"/>
        <v>122.50000000000001</v>
      </c>
      <c r="BB142" s="66" t="str">
        <f t="shared" si="76"/>
        <v/>
      </c>
      <c r="BC142" s="67" t="str">
        <f t="shared" si="77"/>
        <v/>
      </c>
    </row>
    <row r="143" spans="30:55">
      <c r="AD143" s="68" t="str">
        <v>15</v>
      </c>
      <c r="AE143" s="61">
        <v>137.5</v>
      </c>
      <c r="AF143" s="61">
        <v>1</v>
      </c>
      <c r="AG143" s="66">
        <f t="shared" si="78"/>
        <v>137.5</v>
      </c>
      <c r="AH143" s="66" t="str">
        <f t="shared" si="79"/>
        <v/>
      </c>
      <c r="AI143" s="67" t="str">
        <f t="shared" si="80"/>
        <v/>
      </c>
      <c r="AJ143" s="61">
        <v>1</v>
      </c>
      <c r="AK143" s="66">
        <f t="shared" si="81"/>
        <v>137.5</v>
      </c>
      <c r="AL143" s="66" t="str">
        <f t="shared" si="82"/>
        <v/>
      </c>
      <c r="AM143" s="67" t="str">
        <f t="shared" si="83"/>
        <v/>
      </c>
      <c r="AN143" s="61">
        <v>-1</v>
      </c>
      <c r="AO143" s="66" t="str">
        <f t="shared" si="84"/>
        <v/>
      </c>
      <c r="AP143" s="66" t="str">
        <f t="shared" si="85"/>
        <v/>
      </c>
      <c r="AQ143" s="67">
        <f t="shared" si="86"/>
        <v>-137.5</v>
      </c>
      <c r="AR143" s="61">
        <v>1</v>
      </c>
      <c r="AS143" s="66">
        <f t="shared" si="87"/>
        <v>137.5</v>
      </c>
      <c r="AT143" s="66" t="str">
        <f t="shared" si="88"/>
        <v/>
      </c>
      <c r="AU143" s="67" t="str">
        <f t="shared" si="89"/>
        <v/>
      </c>
      <c r="AV143" s="61">
        <v>-1</v>
      </c>
      <c r="AW143" s="66" t="str">
        <f t="shared" si="72"/>
        <v/>
      </c>
      <c r="AX143" s="66" t="str">
        <f t="shared" si="73"/>
        <v/>
      </c>
      <c r="AY143" s="67">
        <f t="shared" si="74"/>
        <v>-137.5</v>
      </c>
      <c r="AZ143" s="61">
        <v>-1</v>
      </c>
      <c r="BA143" s="66" t="str">
        <f t="shared" si="75"/>
        <v/>
      </c>
      <c r="BB143" s="66" t="str">
        <f t="shared" si="76"/>
        <v/>
      </c>
      <c r="BC143" s="67">
        <f t="shared" si="77"/>
        <v>-137.5</v>
      </c>
    </row>
    <row r="144" spans="30:55">
      <c r="AD144" s="68" t="str">
        <v>16</v>
      </c>
      <c r="AE144" s="61">
        <v>159.4</v>
      </c>
      <c r="AF144" s="61">
        <v>1</v>
      </c>
      <c r="AG144" s="66">
        <f t="shared" si="78"/>
        <v>159.4</v>
      </c>
      <c r="AH144" s="66" t="str">
        <f t="shared" si="79"/>
        <v/>
      </c>
      <c r="AI144" s="67" t="str">
        <f t="shared" si="80"/>
        <v/>
      </c>
      <c r="AJ144" s="61">
        <v>1</v>
      </c>
      <c r="AK144" s="66">
        <f t="shared" si="81"/>
        <v>159.4</v>
      </c>
      <c r="AL144" s="66" t="str">
        <f t="shared" si="82"/>
        <v/>
      </c>
      <c r="AM144" s="67" t="str">
        <f t="shared" si="83"/>
        <v/>
      </c>
      <c r="AN144" s="61">
        <v>-1</v>
      </c>
      <c r="AO144" s="66" t="str">
        <f t="shared" si="84"/>
        <v/>
      </c>
      <c r="AP144" s="66" t="str">
        <f t="shared" si="85"/>
        <v/>
      </c>
      <c r="AQ144" s="67">
        <f t="shared" si="86"/>
        <v>-159.4</v>
      </c>
      <c r="AR144" s="61">
        <v>1</v>
      </c>
      <c r="AS144" s="66">
        <f t="shared" si="87"/>
        <v>159.4</v>
      </c>
      <c r="AT144" s="66" t="str">
        <f t="shared" si="88"/>
        <v/>
      </c>
      <c r="AU144" s="67" t="str">
        <f t="shared" si="89"/>
        <v/>
      </c>
      <c r="AV144" s="61">
        <v>0</v>
      </c>
      <c r="AW144" s="66" t="str">
        <f t="shared" si="72"/>
        <v/>
      </c>
      <c r="AX144" s="66">
        <f t="shared" si="73"/>
        <v>0</v>
      </c>
      <c r="AY144" s="67" t="str">
        <f t="shared" si="74"/>
        <v/>
      </c>
      <c r="AZ144" s="61">
        <v>-1</v>
      </c>
      <c r="BA144" s="66" t="str">
        <f t="shared" si="75"/>
        <v/>
      </c>
      <c r="BB144" s="66" t="str">
        <f t="shared" si="76"/>
        <v/>
      </c>
      <c r="BC144" s="67">
        <f t="shared" si="77"/>
        <v>-159.4</v>
      </c>
    </row>
    <row r="145" spans="29:55">
      <c r="AD145" s="68" t="str">
        <v>17</v>
      </c>
      <c r="AE145" s="61">
        <v>178.4</v>
      </c>
      <c r="AF145" s="61">
        <v>1</v>
      </c>
      <c r="AG145" s="66">
        <f t="shared" si="78"/>
        <v>178.4</v>
      </c>
      <c r="AH145" s="66" t="str">
        <f t="shared" si="79"/>
        <v/>
      </c>
      <c r="AI145" s="67" t="str">
        <f t="shared" si="80"/>
        <v/>
      </c>
      <c r="AJ145" s="61">
        <v>1</v>
      </c>
      <c r="AK145" s="66">
        <f t="shared" si="81"/>
        <v>178.4</v>
      </c>
      <c r="AL145" s="66" t="str">
        <f t="shared" si="82"/>
        <v/>
      </c>
      <c r="AM145" s="67" t="str">
        <f t="shared" si="83"/>
        <v/>
      </c>
      <c r="AN145" s="61">
        <v>-1</v>
      </c>
      <c r="AO145" s="66" t="str">
        <f t="shared" si="84"/>
        <v/>
      </c>
      <c r="AP145" s="66" t="str">
        <f t="shared" si="85"/>
        <v/>
      </c>
      <c r="AQ145" s="67">
        <f t="shared" si="86"/>
        <v>-178.4</v>
      </c>
      <c r="AR145" s="61">
        <v>1</v>
      </c>
      <c r="AS145" s="66">
        <f t="shared" si="87"/>
        <v>178.4</v>
      </c>
      <c r="AT145" s="66" t="str">
        <f t="shared" si="88"/>
        <v/>
      </c>
      <c r="AU145" s="67" t="str">
        <f t="shared" si="89"/>
        <v/>
      </c>
      <c r="AV145" s="61">
        <v>1</v>
      </c>
      <c r="AW145" s="66">
        <f t="shared" si="72"/>
        <v>178.4</v>
      </c>
      <c r="AX145" s="66" t="str">
        <f t="shared" si="73"/>
        <v/>
      </c>
      <c r="AY145" s="67" t="str">
        <f t="shared" si="74"/>
        <v/>
      </c>
      <c r="AZ145" s="61">
        <v>-1</v>
      </c>
      <c r="BA145" s="66" t="str">
        <f t="shared" si="75"/>
        <v/>
      </c>
      <c r="BB145" s="66" t="str">
        <f t="shared" si="76"/>
        <v/>
      </c>
      <c r="BC145" s="67">
        <f t="shared" si="77"/>
        <v>-178.4</v>
      </c>
    </row>
    <row r="146" spans="29:55">
      <c r="AD146" s="68" t="str">
        <v>18</v>
      </c>
      <c r="AE146" s="61">
        <v>183.9</v>
      </c>
      <c r="AF146" s="61">
        <v>-1</v>
      </c>
      <c r="AG146" s="66" t="str">
        <f t="shared" si="78"/>
        <v/>
      </c>
      <c r="AH146" s="66" t="str">
        <f t="shared" si="79"/>
        <v/>
      </c>
      <c r="AI146" s="67">
        <f t="shared" si="80"/>
        <v>-183.9</v>
      </c>
      <c r="AJ146" s="61">
        <v>1</v>
      </c>
      <c r="AK146" s="66">
        <f t="shared" si="81"/>
        <v>183.9</v>
      </c>
      <c r="AL146" s="66" t="str">
        <f t="shared" si="82"/>
        <v/>
      </c>
      <c r="AM146" s="67" t="str">
        <f t="shared" si="83"/>
        <v/>
      </c>
      <c r="AN146" s="61">
        <v>-1</v>
      </c>
      <c r="AO146" s="66" t="str">
        <f t="shared" si="84"/>
        <v/>
      </c>
      <c r="AP146" s="66" t="str">
        <f t="shared" si="85"/>
        <v/>
      </c>
      <c r="AQ146" s="67">
        <f t="shared" si="86"/>
        <v>-183.9</v>
      </c>
      <c r="AR146" s="61">
        <v>-1</v>
      </c>
      <c r="AS146" s="66" t="str">
        <f t="shared" si="87"/>
        <v/>
      </c>
      <c r="AT146" s="66" t="str">
        <f t="shared" si="88"/>
        <v/>
      </c>
      <c r="AU146" s="67">
        <f t="shared" si="89"/>
        <v>-183.9</v>
      </c>
      <c r="AV146" s="61">
        <v>1</v>
      </c>
      <c r="AW146" s="66">
        <f t="shared" si="72"/>
        <v>183.9</v>
      </c>
      <c r="AX146" s="66" t="str">
        <f t="shared" si="73"/>
        <v/>
      </c>
      <c r="AY146" s="67" t="str">
        <f t="shared" si="74"/>
        <v/>
      </c>
      <c r="AZ146" s="61">
        <v>1</v>
      </c>
      <c r="BA146" s="66">
        <f t="shared" si="75"/>
        <v>183.9</v>
      </c>
      <c r="BB146" s="66" t="str">
        <f t="shared" si="76"/>
        <v/>
      </c>
      <c r="BC146" s="67" t="str">
        <f t="shared" si="77"/>
        <v/>
      </c>
    </row>
    <row r="147" spans="29:55">
      <c r="AD147" s="68" t="str">
        <v>19</v>
      </c>
      <c r="AE147" s="61">
        <v>174.5</v>
      </c>
      <c r="AF147" s="61">
        <v>-1</v>
      </c>
      <c r="AG147" s="66" t="str">
        <f t="shared" si="78"/>
        <v/>
      </c>
      <c r="AH147" s="66" t="str">
        <f t="shared" si="79"/>
        <v/>
      </c>
      <c r="AI147" s="67">
        <f t="shared" si="80"/>
        <v>-174.5</v>
      </c>
      <c r="AJ147" s="61">
        <v>1</v>
      </c>
      <c r="AK147" s="66">
        <f t="shared" si="81"/>
        <v>174.5</v>
      </c>
      <c r="AL147" s="66" t="str">
        <f t="shared" si="82"/>
        <v/>
      </c>
      <c r="AM147" s="67" t="str">
        <f t="shared" si="83"/>
        <v/>
      </c>
      <c r="AN147" s="61">
        <v>-1</v>
      </c>
      <c r="AO147" s="66" t="str">
        <f t="shared" si="84"/>
        <v/>
      </c>
      <c r="AP147" s="66" t="str">
        <f t="shared" si="85"/>
        <v/>
      </c>
      <c r="AQ147" s="67">
        <f t="shared" si="86"/>
        <v>-174.5</v>
      </c>
      <c r="AR147" s="61">
        <v>-1</v>
      </c>
      <c r="AS147" s="66" t="str">
        <f t="shared" si="87"/>
        <v/>
      </c>
      <c r="AT147" s="66" t="str">
        <f t="shared" si="88"/>
        <v/>
      </c>
      <c r="AU147" s="67">
        <f t="shared" si="89"/>
        <v>-174.5</v>
      </c>
      <c r="AV147" s="61">
        <v>0</v>
      </c>
      <c r="AW147" s="66" t="str">
        <f t="shared" si="72"/>
        <v/>
      </c>
      <c r="AX147" s="66">
        <f t="shared" si="73"/>
        <v>0</v>
      </c>
      <c r="AY147" s="67" t="str">
        <f t="shared" si="74"/>
        <v/>
      </c>
      <c r="AZ147" s="61">
        <v>1</v>
      </c>
      <c r="BA147" s="66">
        <f t="shared" si="75"/>
        <v>174.5</v>
      </c>
      <c r="BB147" s="66" t="str">
        <f t="shared" si="76"/>
        <v/>
      </c>
      <c r="BC147" s="67" t="str">
        <f t="shared" si="77"/>
        <v/>
      </c>
    </row>
    <row r="148" spans="29:55">
      <c r="AD148" s="68" t="str">
        <v>20</v>
      </c>
      <c r="AE148" s="61">
        <v>155.4</v>
      </c>
      <c r="AF148" s="61">
        <v>-1</v>
      </c>
      <c r="AG148" s="66" t="str">
        <f t="shared" si="78"/>
        <v/>
      </c>
      <c r="AH148" s="66" t="str">
        <f t="shared" si="79"/>
        <v/>
      </c>
      <c r="AI148" s="67">
        <f t="shared" si="80"/>
        <v>-155.4</v>
      </c>
      <c r="AJ148" s="61">
        <v>1</v>
      </c>
      <c r="AK148" s="66">
        <f t="shared" si="81"/>
        <v>155.4</v>
      </c>
      <c r="AL148" s="66" t="str">
        <f t="shared" si="82"/>
        <v/>
      </c>
      <c r="AM148" s="67" t="str">
        <f t="shared" si="83"/>
        <v/>
      </c>
      <c r="AN148" s="61">
        <v>-1</v>
      </c>
      <c r="AO148" s="66" t="str">
        <f t="shared" si="84"/>
        <v/>
      </c>
      <c r="AP148" s="66" t="str">
        <f t="shared" si="85"/>
        <v/>
      </c>
      <c r="AQ148" s="67">
        <f t="shared" si="86"/>
        <v>-155.4</v>
      </c>
      <c r="AR148" s="61">
        <v>-1</v>
      </c>
      <c r="AS148" s="66" t="str">
        <f t="shared" si="87"/>
        <v/>
      </c>
      <c r="AT148" s="66" t="str">
        <f t="shared" si="88"/>
        <v/>
      </c>
      <c r="AU148" s="67">
        <f t="shared" si="89"/>
        <v>-155.4</v>
      </c>
      <c r="AV148" s="61">
        <v>-1</v>
      </c>
      <c r="AW148" s="66" t="str">
        <f t="shared" si="72"/>
        <v/>
      </c>
      <c r="AX148" s="66" t="str">
        <f t="shared" si="73"/>
        <v/>
      </c>
      <c r="AY148" s="67">
        <f t="shared" si="74"/>
        <v>-155.4</v>
      </c>
      <c r="AZ148" s="61">
        <v>1</v>
      </c>
      <c r="BA148" s="66">
        <f t="shared" si="75"/>
        <v>155.4</v>
      </c>
      <c r="BB148" s="66" t="str">
        <f t="shared" si="76"/>
        <v/>
      </c>
      <c r="BC148" s="67" t="str">
        <f t="shared" si="77"/>
        <v/>
      </c>
    </row>
    <row r="149" spans="29:55">
      <c r="AD149" s="68" t="str">
        <v>21</v>
      </c>
      <c r="AE149" s="61">
        <v>129.5</v>
      </c>
      <c r="AF149" s="61">
        <v>-1</v>
      </c>
      <c r="AG149" s="66" t="str">
        <f t="shared" si="78"/>
        <v/>
      </c>
      <c r="AH149" s="66" t="str">
        <f t="shared" si="79"/>
        <v/>
      </c>
      <c r="AI149" s="67">
        <f t="shared" si="80"/>
        <v>-129.5</v>
      </c>
      <c r="AJ149" s="61">
        <v>1</v>
      </c>
      <c r="AK149" s="66">
        <f t="shared" si="81"/>
        <v>129.5</v>
      </c>
      <c r="AL149" s="66" t="str">
        <f t="shared" si="82"/>
        <v/>
      </c>
      <c r="AM149" s="67" t="str">
        <f t="shared" si="83"/>
        <v/>
      </c>
      <c r="AN149" s="61">
        <v>1</v>
      </c>
      <c r="AO149" s="66">
        <f t="shared" si="84"/>
        <v>129.5</v>
      </c>
      <c r="AP149" s="66" t="str">
        <f t="shared" si="85"/>
        <v/>
      </c>
      <c r="AQ149" s="67" t="str">
        <f t="shared" si="86"/>
        <v/>
      </c>
      <c r="AR149" s="61">
        <v>-1</v>
      </c>
      <c r="AS149" s="66" t="str">
        <f t="shared" si="87"/>
        <v/>
      </c>
      <c r="AT149" s="66" t="str">
        <f t="shared" si="88"/>
        <v/>
      </c>
      <c r="AU149" s="67">
        <f t="shared" si="89"/>
        <v>-129.5</v>
      </c>
      <c r="AV149" s="61">
        <v>-1</v>
      </c>
      <c r="AW149" s="66" t="str">
        <f t="shared" si="72"/>
        <v/>
      </c>
      <c r="AX149" s="66" t="str">
        <f t="shared" si="73"/>
        <v/>
      </c>
      <c r="AY149" s="67">
        <f t="shared" si="74"/>
        <v>-129.5</v>
      </c>
      <c r="AZ149" s="61">
        <v>-1</v>
      </c>
      <c r="BA149" s="66" t="str">
        <f t="shared" si="75"/>
        <v/>
      </c>
      <c r="BB149" s="66" t="str">
        <f t="shared" si="76"/>
        <v/>
      </c>
      <c r="BC149" s="67">
        <f t="shared" si="77"/>
        <v>-129.5</v>
      </c>
    </row>
    <row r="150" spans="29:55">
      <c r="AD150" s="68" t="str">
        <v>22</v>
      </c>
      <c r="AE150" s="61">
        <v>96.3</v>
      </c>
      <c r="AF150" s="61">
        <v>-1</v>
      </c>
      <c r="AG150" s="66" t="str">
        <f t="shared" si="78"/>
        <v/>
      </c>
      <c r="AH150" s="66" t="str">
        <f t="shared" si="79"/>
        <v/>
      </c>
      <c r="AI150" s="67">
        <f t="shared" si="80"/>
        <v>-96.3</v>
      </c>
      <c r="AJ150" s="61">
        <v>1</v>
      </c>
      <c r="AK150" s="66">
        <f t="shared" si="81"/>
        <v>96.3</v>
      </c>
      <c r="AL150" s="66" t="str">
        <f t="shared" si="82"/>
        <v/>
      </c>
      <c r="AM150" s="67" t="str">
        <f t="shared" si="83"/>
        <v/>
      </c>
      <c r="AN150" s="61">
        <v>1</v>
      </c>
      <c r="AO150" s="66">
        <f t="shared" si="84"/>
        <v>96.3</v>
      </c>
      <c r="AP150" s="66" t="str">
        <f t="shared" si="85"/>
        <v/>
      </c>
      <c r="AQ150" s="67" t="str">
        <f t="shared" si="86"/>
        <v/>
      </c>
      <c r="AR150" s="61">
        <v>-1</v>
      </c>
      <c r="AS150" s="66" t="str">
        <f t="shared" si="87"/>
        <v/>
      </c>
      <c r="AT150" s="66" t="str">
        <f t="shared" si="88"/>
        <v/>
      </c>
      <c r="AU150" s="67">
        <f t="shared" si="89"/>
        <v>-96.3</v>
      </c>
      <c r="AV150" s="61">
        <v>0</v>
      </c>
      <c r="AW150" s="66" t="str">
        <f t="shared" si="72"/>
        <v/>
      </c>
      <c r="AX150" s="66">
        <f t="shared" si="73"/>
        <v>0</v>
      </c>
      <c r="AY150" s="67" t="str">
        <f t="shared" si="74"/>
        <v/>
      </c>
      <c r="AZ150" s="61">
        <v>-1</v>
      </c>
      <c r="BA150" s="66" t="str">
        <f t="shared" si="75"/>
        <v/>
      </c>
      <c r="BB150" s="66" t="str">
        <f t="shared" si="76"/>
        <v/>
      </c>
      <c r="BC150" s="67">
        <f t="shared" si="77"/>
        <v>-96.3</v>
      </c>
    </row>
    <row r="151" spans="29:55">
      <c r="AD151" s="68" t="str">
        <v>23</v>
      </c>
      <c r="AE151" s="61">
        <v>76.2</v>
      </c>
      <c r="AF151" s="61">
        <v>-1</v>
      </c>
      <c r="AG151" s="66" t="str">
        <f t="shared" si="78"/>
        <v/>
      </c>
      <c r="AH151" s="66" t="str">
        <f t="shared" si="79"/>
        <v/>
      </c>
      <c r="AI151" s="67">
        <f t="shared" si="80"/>
        <v>-76.2</v>
      </c>
      <c r="AJ151" s="61">
        <v>1</v>
      </c>
      <c r="AK151" s="66">
        <f t="shared" si="81"/>
        <v>76.2</v>
      </c>
      <c r="AL151" s="66" t="str">
        <f t="shared" si="82"/>
        <v/>
      </c>
      <c r="AM151" s="67" t="str">
        <f t="shared" si="83"/>
        <v/>
      </c>
      <c r="AN151" s="61">
        <v>1</v>
      </c>
      <c r="AO151" s="66">
        <f t="shared" si="84"/>
        <v>76.2</v>
      </c>
      <c r="AP151" s="66" t="str">
        <f t="shared" si="85"/>
        <v/>
      </c>
      <c r="AQ151" s="67" t="str">
        <f t="shared" si="86"/>
        <v/>
      </c>
      <c r="AR151" s="61">
        <v>-1</v>
      </c>
      <c r="AS151" s="66" t="str">
        <f t="shared" si="87"/>
        <v/>
      </c>
      <c r="AT151" s="66" t="str">
        <f t="shared" si="88"/>
        <v/>
      </c>
      <c r="AU151" s="67">
        <f t="shared" si="89"/>
        <v>-76.2</v>
      </c>
      <c r="AV151" s="61">
        <v>1</v>
      </c>
      <c r="AW151" s="66">
        <f t="shared" si="72"/>
        <v>76.2</v>
      </c>
      <c r="AX151" s="66" t="str">
        <f t="shared" si="73"/>
        <v/>
      </c>
      <c r="AY151" s="67" t="str">
        <f t="shared" si="74"/>
        <v/>
      </c>
      <c r="AZ151" s="61">
        <v>-1</v>
      </c>
      <c r="BA151" s="66" t="str">
        <f t="shared" si="75"/>
        <v/>
      </c>
      <c r="BB151" s="66" t="str">
        <f t="shared" si="76"/>
        <v/>
      </c>
      <c r="BC151" s="67">
        <f t="shared" si="77"/>
        <v>-76.2</v>
      </c>
    </row>
    <row r="152" spans="29:55" ht="15.75" thickBot="1">
      <c r="AC152" s="476">
        <f>AD124</f>
        <v>44713</v>
      </c>
      <c r="AD152" s="69" t="s">
        <v>85</v>
      </c>
      <c r="AE152" s="70">
        <f>SUM(AE128:AE151)</f>
        <v>3986.1000000000004</v>
      </c>
      <c r="AF152" s="70"/>
      <c r="AG152" s="71">
        <f>ABS(SUM(AG128:AG151))</f>
        <v>2241.7000000000003</v>
      </c>
      <c r="AH152" s="70"/>
      <c r="AI152" s="72">
        <f>ABS(SUM(AI128:AI151))</f>
        <v>1744.4000000000003</v>
      </c>
      <c r="AJ152" s="70"/>
      <c r="AK152" s="71">
        <f>ABS(SUM(AK128:AK151))</f>
        <v>1657.5000000000002</v>
      </c>
      <c r="AL152" s="70"/>
      <c r="AM152" s="72">
        <f>ABS(SUM(AM128:AM151))</f>
        <v>2328.6</v>
      </c>
      <c r="AN152" s="70"/>
      <c r="AO152" s="71">
        <f>ABS(SUM(AO128:AO151))</f>
        <v>1516.6000000000001</v>
      </c>
      <c r="AP152" s="70"/>
      <c r="AQ152" s="72">
        <f>ABS(SUM(AQ128:AQ151))</f>
        <v>2469.5000000000005</v>
      </c>
      <c r="AR152" s="70"/>
      <c r="AS152" s="71">
        <f>ABS(SUM(AS128:AS151))</f>
        <v>1770.3000000000004</v>
      </c>
      <c r="AT152" s="70"/>
      <c r="AU152" s="72">
        <f>ABS(SUM(AU128:AU151))</f>
        <v>2215.8000000000002</v>
      </c>
      <c r="AV152" s="70"/>
      <c r="AW152" s="71">
        <f>ABS(SUM(AW128:AW151))</f>
        <v>1327.0000000000002</v>
      </c>
      <c r="AX152" s="70"/>
      <c r="AY152" s="72">
        <f>ABS(SUM(AY128:AY151))</f>
        <v>1334.1</v>
      </c>
      <c r="AZ152" s="70"/>
      <c r="BA152" s="71">
        <f>ABS(SUM(BA128:BA151))</f>
        <v>1991.4000000000003</v>
      </c>
      <c r="BB152" s="70"/>
      <c r="BC152" s="72">
        <f>ABS(SUM(BC128:BC151))</f>
        <v>1994.7</v>
      </c>
    </row>
    <row r="154" spans="29:55" ht="15" thickBot="1">
      <c r="AD154" s="476">
        <f>skemA1!B10</f>
        <v>44714</v>
      </c>
    </row>
    <row r="155" spans="29:55" ht="15" thickBot="1">
      <c r="AD155" s="677" t="s">
        <v>75</v>
      </c>
      <c r="AE155" s="60" t="s">
        <v>558</v>
      </c>
      <c r="AF155" s="672" t="s">
        <v>559</v>
      </c>
      <c r="AG155" s="672"/>
      <c r="AH155" s="672"/>
      <c r="AI155" s="673"/>
      <c r="AJ155" s="672" t="s">
        <v>562</v>
      </c>
      <c r="AK155" s="672"/>
      <c r="AL155" s="672"/>
      <c r="AM155" s="673"/>
      <c r="AN155" s="672" t="s">
        <v>563</v>
      </c>
      <c r="AO155" s="672"/>
      <c r="AP155" s="672"/>
      <c r="AQ155" s="673"/>
      <c r="AR155" s="672" t="s">
        <v>564</v>
      </c>
      <c r="AS155" s="672"/>
      <c r="AT155" s="672"/>
      <c r="AU155" s="673"/>
      <c r="AV155" s="672" t="s">
        <v>565</v>
      </c>
      <c r="AW155" s="672"/>
      <c r="AX155" s="672"/>
      <c r="AY155" s="673"/>
      <c r="AZ155" s="672" t="s">
        <v>566</v>
      </c>
      <c r="BA155" s="672"/>
      <c r="BB155" s="672"/>
      <c r="BC155" s="673"/>
    </row>
    <row r="156" spans="29:55" ht="15" thickBot="1">
      <c r="AD156" s="677"/>
      <c r="AE156" s="61"/>
      <c r="AF156" s="674" t="s">
        <v>561</v>
      </c>
      <c r="AG156" s="670" t="s">
        <v>560</v>
      </c>
      <c r="AH156" s="670"/>
      <c r="AI156" s="671"/>
      <c r="AJ156" s="674" t="s">
        <v>561</v>
      </c>
      <c r="AK156" s="670" t="s">
        <v>560</v>
      </c>
      <c r="AL156" s="670"/>
      <c r="AM156" s="671"/>
      <c r="AN156" s="674" t="s">
        <v>561</v>
      </c>
      <c r="AO156" s="670" t="s">
        <v>560</v>
      </c>
      <c r="AP156" s="670"/>
      <c r="AQ156" s="671"/>
      <c r="AR156" s="674" t="s">
        <v>561</v>
      </c>
      <c r="AS156" s="670" t="s">
        <v>560</v>
      </c>
      <c r="AT156" s="670"/>
      <c r="AU156" s="671"/>
      <c r="AV156" s="674" t="s">
        <v>561</v>
      </c>
      <c r="AW156" s="670" t="s">
        <v>560</v>
      </c>
      <c r="AX156" s="670"/>
      <c r="AY156" s="671"/>
      <c r="AZ156" s="674" t="s">
        <v>561</v>
      </c>
      <c r="BA156" s="670" t="s">
        <v>560</v>
      </c>
      <c r="BB156" s="670"/>
      <c r="BC156" s="671"/>
    </row>
    <row r="157" spans="29:55">
      <c r="AD157" s="677"/>
      <c r="AE157" s="62"/>
      <c r="AF157" s="674"/>
      <c r="AG157" s="63" t="s">
        <v>76</v>
      </c>
      <c r="AH157" s="63">
        <v>0</v>
      </c>
      <c r="AI157" s="64" t="s">
        <v>77</v>
      </c>
      <c r="AJ157" s="674"/>
      <c r="AK157" s="63" t="s">
        <v>76</v>
      </c>
      <c r="AL157" s="63">
        <v>0</v>
      </c>
      <c r="AM157" s="64" t="s">
        <v>77</v>
      </c>
      <c r="AN157" s="674"/>
      <c r="AO157" s="63" t="s">
        <v>76</v>
      </c>
      <c r="AP157" s="63">
        <v>0</v>
      </c>
      <c r="AQ157" s="64" t="s">
        <v>77</v>
      </c>
      <c r="AR157" s="674"/>
      <c r="AS157" s="63" t="s">
        <v>76</v>
      </c>
      <c r="AT157" s="63">
        <v>0</v>
      </c>
      <c r="AU157" s="64" t="s">
        <v>77</v>
      </c>
      <c r="AV157" s="674"/>
      <c r="AW157" s="63" t="s">
        <v>76</v>
      </c>
      <c r="AX157" s="63">
        <v>0</v>
      </c>
      <c r="AY157" s="64" t="s">
        <v>77</v>
      </c>
      <c r="AZ157" s="674"/>
      <c r="BA157" s="63" t="s">
        <v>76</v>
      </c>
      <c r="BB157" s="63">
        <v>0</v>
      </c>
      <c r="BC157" s="64" t="s">
        <v>77</v>
      </c>
    </row>
    <row r="158" spans="29:55">
      <c r="AD158" s="65" t="str">
        <f t="array" ref="AD158:AD181">TRANSPOSE($C$5:$Z$5)</f>
        <v>00</v>
      </c>
      <c r="AE158" s="66">
        <f t="array" ref="AE158:AE181">TRANSPOSE(skemA1!$C$10:$Z$10)</f>
        <v>65.8</v>
      </c>
      <c r="AF158" s="66">
        <f t="array" ref="AF158:AF181">TRANSPOSE($C$6:$Z$6)</f>
        <v>-1</v>
      </c>
      <c r="AG158" s="66" t="str">
        <f>IF(AF158&gt;0,AF158*$AE158,"")</f>
        <v/>
      </c>
      <c r="AH158" s="66" t="str">
        <f>IF(AF158=0,AF158*$AE158,"")</f>
        <v/>
      </c>
      <c r="AI158" s="67">
        <f>IF(AF158&lt;0,AF158*$AE158,"")</f>
        <v>-65.8</v>
      </c>
      <c r="AJ158" s="66">
        <f t="array" ref="AJ158:AJ181">TRANSPOSE($C$7:$Z$7)</f>
        <v>-1</v>
      </c>
      <c r="AK158" s="66" t="str">
        <f>IF(AJ158&gt;0,AJ158*$AE158,"")</f>
        <v/>
      </c>
      <c r="AL158" s="66" t="str">
        <f>IF(AJ158=0,AJ158*$AE158,"")</f>
        <v/>
      </c>
      <c r="AM158" s="67">
        <f>IF(AJ158&lt;0,AJ158*$AE158,"")</f>
        <v>-65.8</v>
      </c>
      <c r="AN158" s="66">
        <f t="array" ref="AN158:AN181">TRANSPOSE($C$8:$Z$8)</f>
        <v>1</v>
      </c>
      <c r="AO158" s="66">
        <f>IF(AN158&gt;0,AN158*$AE158,"")</f>
        <v>65.8</v>
      </c>
      <c r="AP158" s="66" t="str">
        <f>IF(AN158=0,AN158*$AE158,"")</f>
        <v/>
      </c>
      <c r="AQ158" s="67" t="str">
        <f>IF(AN158&lt;0,AN158*$AE158,"")</f>
        <v/>
      </c>
      <c r="AR158" s="66">
        <f t="array" ref="AR158:AR181">TRANSPOSE($C$9:$Z$9)</f>
        <v>1</v>
      </c>
      <c r="AS158" s="66">
        <f>IF(AR158&gt;0,AR158*$AE158,"")</f>
        <v>65.8</v>
      </c>
      <c r="AT158" s="66" t="str">
        <f>IF(AR158=0,AR158*$AE158,"")</f>
        <v/>
      </c>
      <c r="AU158" s="67" t="str">
        <f>IF(AR158&lt;0,AR158*$AE158,"")</f>
        <v/>
      </c>
      <c r="AV158" s="66">
        <f t="array" ref="AV158:AV181">TRANSPOSE($C$10:$Z$10)</f>
        <v>1</v>
      </c>
      <c r="AW158" s="66">
        <f t="shared" ref="AW158:AW181" si="90">IF(AV158&gt;0,AV158*$AE158,"")</f>
        <v>65.8</v>
      </c>
      <c r="AX158" s="66" t="str">
        <f t="shared" ref="AX158:AX181" si="91">IF(AV158=0,AV158*$AE158,"")</f>
        <v/>
      </c>
      <c r="AY158" s="67" t="str">
        <f t="shared" ref="AY158:AY181" si="92">IF(AV158&lt;0,AV158*$AE158,"")</f>
        <v/>
      </c>
      <c r="AZ158" s="66">
        <f t="array" ref="AZ158:AZ181">TRANSPOSE($C$11:$Z$11)</f>
        <v>1</v>
      </c>
      <c r="BA158" s="66">
        <f t="shared" ref="BA158:BA181" si="93">IF(AZ158&gt;0,AZ158*$AE158,"")</f>
        <v>65.8</v>
      </c>
      <c r="BB158" s="66" t="str">
        <f t="shared" ref="BB158:BB181" si="94">IF(AZ158=0,AZ158*$AE158,"")</f>
        <v/>
      </c>
      <c r="BC158" s="67" t="str">
        <f t="shared" ref="BC158:BC181" si="95">IF(AZ158&lt;0,AZ158*$AE158,"")</f>
        <v/>
      </c>
    </row>
    <row r="159" spans="29:55">
      <c r="AD159" s="68" t="str">
        <v>01</v>
      </c>
      <c r="AE159" s="61">
        <v>75</v>
      </c>
      <c r="AF159" s="61">
        <v>-1</v>
      </c>
      <c r="AG159" s="66" t="str">
        <f t="shared" ref="AG159:AG181" si="96">IF(AF159&gt;0,AF159*$AE159,"")</f>
        <v/>
      </c>
      <c r="AH159" s="66" t="str">
        <f t="shared" ref="AH159:AH181" si="97">IF(AF159=0,AF159*$AE159,"")</f>
        <v/>
      </c>
      <c r="AI159" s="67">
        <f t="shared" ref="AI159:AI181" si="98">IF(AF159&lt;0,AF159*$AE159,"")</f>
        <v>-75</v>
      </c>
      <c r="AJ159" s="61">
        <v>-1</v>
      </c>
      <c r="AK159" s="66" t="str">
        <f t="shared" ref="AK159:AK181" si="99">IF(AJ159&gt;0,AJ159*$AE159,"")</f>
        <v/>
      </c>
      <c r="AL159" s="66" t="str">
        <f t="shared" ref="AL159:AL181" si="100">IF(AJ159=0,AJ159*$AE159,"")</f>
        <v/>
      </c>
      <c r="AM159" s="67">
        <f t="shared" ref="AM159:AM181" si="101">IF(AJ159&lt;0,AJ159*$AE159,"")</f>
        <v>-75</v>
      </c>
      <c r="AN159" s="61">
        <v>1</v>
      </c>
      <c r="AO159" s="66">
        <f t="shared" ref="AO159:AO181" si="102">IF(AN159&gt;0,AN159*$AE159,"")</f>
        <v>75</v>
      </c>
      <c r="AP159" s="66" t="str">
        <f t="shared" ref="AP159:AP181" si="103">IF(AN159=0,AN159*$AE159,"")</f>
        <v/>
      </c>
      <c r="AQ159" s="67" t="str">
        <f t="shared" ref="AQ159:AQ181" si="104">IF(AN159&lt;0,AN159*$AE159,"")</f>
        <v/>
      </c>
      <c r="AR159" s="61">
        <v>1</v>
      </c>
      <c r="AS159" s="66">
        <f t="shared" ref="AS159:AS181" si="105">IF(AR159&gt;0,AR159*$AE159,"")</f>
        <v>75</v>
      </c>
      <c r="AT159" s="66" t="str">
        <f t="shared" ref="AT159:AT181" si="106">IF(AR159=0,AR159*$AE159,"")</f>
        <v/>
      </c>
      <c r="AU159" s="67" t="str">
        <f t="shared" ref="AU159:AU181" si="107">IF(AR159&lt;0,AR159*$AE159,"")</f>
        <v/>
      </c>
      <c r="AV159" s="61">
        <v>0</v>
      </c>
      <c r="AW159" s="66" t="str">
        <f t="shared" si="90"/>
        <v/>
      </c>
      <c r="AX159" s="66">
        <f t="shared" si="91"/>
        <v>0</v>
      </c>
      <c r="AY159" s="67" t="str">
        <f t="shared" si="92"/>
        <v/>
      </c>
      <c r="AZ159" s="61">
        <v>1</v>
      </c>
      <c r="BA159" s="66">
        <f t="shared" si="93"/>
        <v>75</v>
      </c>
      <c r="BB159" s="66" t="str">
        <f t="shared" si="94"/>
        <v/>
      </c>
      <c r="BC159" s="67" t="str">
        <f t="shared" si="95"/>
        <v/>
      </c>
    </row>
    <row r="160" spans="29:55">
      <c r="AD160" s="68" t="str">
        <v>02</v>
      </c>
      <c r="AE160" s="61">
        <v>106.1</v>
      </c>
      <c r="AF160" s="61">
        <v>-1</v>
      </c>
      <c r="AG160" s="66" t="str">
        <f t="shared" si="96"/>
        <v/>
      </c>
      <c r="AH160" s="66" t="str">
        <f t="shared" si="97"/>
        <v/>
      </c>
      <c r="AI160" s="67">
        <f t="shared" si="98"/>
        <v>-106.1</v>
      </c>
      <c r="AJ160" s="61">
        <v>-1</v>
      </c>
      <c r="AK160" s="66" t="str">
        <f t="shared" si="99"/>
        <v/>
      </c>
      <c r="AL160" s="66" t="str">
        <f t="shared" si="100"/>
        <v/>
      </c>
      <c r="AM160" s="67">
        <f t="shared" si="101"/>
        <v>-106.1</v>
      </c>
      <c r="AN160" s="61">
        <v>1</v>
      </c>
      <c r="AO160" s="66">
        <f t="shared" si="102"/>
        <v>106.1</v>
      </c>
      <c r="AP160" s="66" t="str">
        <f t="shared" si="103"/>
        <v/>
      </c>
      <c r="AQ160" s="67" t="str">
        <f t="shared" si="104"/>
        <v/>
      </c>
      <c r="AR160" s="61">
        <v>1</v>
      </c>
      <c r="AS160" s="66">
        <f t="shared" si="105"/>
        <v>106.1</v>
      </c>
      <c r="AT160" s="66" t="str">
        <f t="shared" si="106"/>
        <v/>
      </c>
      <c r="AU160" s="67" t="str">
        <f t="shared" si="107"/>
        <v/>
      </c>
      <c r="AV160" s="61">
        <v>-1</v>
      </c>
      <c r="AW160" s="66" t="str">
        <f t="shared" si="90"/>
        <v/>
      </c>
      <c r="AX160" s="66" t="str">
        <f t="shared" si="91"/>
        <v/>
      </c>
      <c r="AY160" s="67">
        <f t="shared" si="92"/>
        <v>-106.1</v>
      </c>
      <c r="AZ160" s="61">
        <v>1</v>
      </c>
      <c r="BA160" s="66">
        <f t="shared" si="93"/>
        <v>106.1</v>
      </c>
      <c r="BB160" s="66" t="str">
        <f t="shared" si="94"/>
        <v/>
      </c>
      <c r="BC160" s="67" t="str">
        <f t="shared" si="95"/>
        <v/>
      </c>
    </row>
    <row r="161" spans="30:55">
      <c r="AD161" s="68" t="str">
        <v>03</v>
      </c>
      <c r="AE161" s="61">
        <v>149.30000000000001</v>
      </c>
      <c r="AF161" s="61">
        <v>-1</v>
      </c>
      <c r="AG161" s="66" t="str">
        <f t="shared" si="96"/>
        <v/>
      </c>
      <c r="AH161" s="66" t="str">
        <f t="shared" si="97"/>
        <v/>
      </c>
      <c r="AI161" s="67">
        <f t="shared" si="98"/>
        <v>-149.30000000000001</v>
      </c>
      <c r="AJ161" s="61">
        <v>-1</v>
      </c>
      <c r="AK161" s="66" t="str">
        <f t="shared" si="99"/>
        <v/>
      </c>
      <c r="AL161" s="66" t="str">
        <f t="shared" si="100"/>
        <v/>
      </c>
      <c r="AM161" s="67">
        <f t="shared" si="101"/>
        <v>-149.30000000000001</v>
      </c>
      <c r="AN161" s="61">
        <v>-1</v>
      </c>
      <c r="AO161" s="66" t="str">
        <f t="shared" si="102"/>
        <v/>
      </c>
      <c r="AP161" s="66" t="str">
        <f t="shared" si="103"/>
        <v/>
      </c>
      <c r="AQ161" s="67">
        <f t="shared" si="104"/>
        <v>-149.30000000000001</v>
      </c>
      <c r="AR161" s="61">
        <v>1</v>
      </c>
      <c r="AS161" s="66">
        <f t="shared" si="105"/>
        <v>149.30000000000001</v>
      </c>
      <c r="AT161" s="66" t="str">
        <f t="shared" si="106"/>
        <v/>
      </c>
      <c r="AU161" s="67" t="str">
        <f t="shared" si="107"/>
        <v/>
      </c>
      <c r="AV161" s="61">
        <v>-1</v>
      </c>
      <c r="AW161" s="66" t="str">
        <f t="shared" si="90"/>
        <v/>
      </c>
      <c r="AX161" s="66" t="str">
        <f t="shared" si="91"/>
        <v/>
      </c>
      <c r="AY161" s="67">
        <f t="shared" si="92"/>
        <v>-149.30000000000001</v>
      </c>
      <c r="AZ161" s="61">
        <v>-1</v>
      </c>
      <c r="BA161" s="66" t="str">
        <f t="shared" si="93"/>
        <v/>
      </c>
      <c r="BB161" s="66" t="str">
        <f t="shared" si="94"/>
        <v/>
      </c>
      <c r="BC161" s="67">
        <f t="shared" si="95"/>
        <v>-149.30000000000001</v>
      </c>
    </row>
    <row r="162" spans="30:55">
      <c r="AD162" s="68" t="str">
        <v>04</v>
      </c>
      <c r="AE162" s="61">
        <v>199.9</v>
      </c>
      <c r="AF162" s="61">
        <v>-1</v>
      </c>
      <c r="AG162" s="66" t="str">
        <f t="shared" si="96"/>
        <v/>
      </c>
      <c r="AH162" s="66" t="str">
        <f t="shared" si="97"/>
        <v/>
      </c>
      <c r="AI162" s="67">
        <f t="shared" si="98"/>
        <v>-199.9</v>
      </c>
      <c r="AJ162" s="61">
        <v>-1</v>
      </c>
      <c r="AK162" s="66" t="str">
        <f t="shared" si="99"/>
        <v/>
      </c>
      <c r="AL162" s="66" t="str">
        <f t="shared" si="100"/>
        <v/>
      </c>
      <c r="AM162" s="67">
        <f t="shared" si="101"/>
        <v>-199.9</v>
      </c>
      <c r="AN162" s="61">
        <v>-1</v>
      </c>
      <c r="AO162" s="66" t="str">
        <f t="shared" si="102"/>
        <v/>
      </c>
      <c r="AP162" s="66" t="str">
        <f t="shared" si="103"/>
        <v/>
      </c>
      <c r="AQ162" s="67">
        <f t="shared" si="104"/>
        <v>-199.9</v>
      </c>
      <c r="AR162" s="61">
        <v>1</v>
      </c>
      <c r="AS162" s="66">
        <f t="shared" si="105"/>
        <v>199.9</v>
      </c>
      <c r="AT162" s="66" t="str">
        <f t="shared" si="106"/>
        <v/>
      </c>
      <c r="AU162" s="67" t="str">
        <f t="shared" si="107"/>
        <v/>
      </c>
      <c r="AV162" s="61">
        <v>0</v>
      </c>
      <c r="AW162" s="66" t="str">
        <f t="shared" si="90"/>
        <v/>
      </c>
      <c r="AX162" s="66">
        <f t="shared" si="91"/>
        <v>0</v>
      </c>
      <c r="AY162" s="67" t="str">
        <f t="shared" si="92"/>
        <v/>
      </c>
      <c r="AZ162" s="61">
        <v>-1</v>
      </c>
      <c r="BA162" s="66" t="str">
        <f t="shared" si="93"/>
        <v/>
      </c>
      <c r="BB162" s="66" t="str">
        <f t="shared" si="94"/>
        <v/>
      </c>
      <c r="BC162" s="67">
        <f t="shared" si="95"/>
        <v>-199.9</v>
      </c>
    </row>
    <row r="163" spans="30:55">
      <c r="AD163" s="68" t="str">
        <v>05</v>
      </c>
      <c r="AE163" s="61">
        <v>243.5</v>
      </c>
      <c r="AF163" s="61">
        <v>-1</v>
      </c>
      <c r="AG163" s="66" t="str">
        <f t="shared" si="96"/>
        <v/>
      </c>
      <c r="AH163" s="66" t="str">
        <f t="shared" si="97"/>
        <v/>
      </c>
      <c r="AI163" s="67">
        <f t="shared" si="98"/>
        <v>-243.5</v>
      </c>
      <c r="AJ163" s="61">
        <v>-1</v>
      </c>
      <c r="AK163" s="66" t="str">
        <f t="shared" si="99"/>
        <v/>
      </c>
      <c r="AL163" s="66" t="str">
        <f t="shared" si="100"/>
        <v/>
      </c>
      <c r="AM163" s="67">
        <f t="shared" si="101"/>
        <v>-243.5</v>
      </c>
      <c r="AN163" s="61">
        <v>-1</v>
      </c>
      <c r="AO163" s="66" t="str">
        <f t="shared" si="102"/>
        <v/>
      </c>
      <c r="AP163" s="66" t="str">
        <f t="shared" si="103"/>
        <v/>
      </c>
      <c r="AQ163" s="67">
        <f t="shared" si="104"/>
        <v>-243.5</v>
      </c>
      <c r="AR163" s="61">
        <v>1</v>
      </c>
      <c r="AS163" s="66">
        <f t="shared" si="105"/>
        <v>243.5</v>
      </c>
      <c r="AT163" s="66" t="str">
        <f t="shared" si="106"/>
        <v/>
      </c>
      <c r="AU163" s="67" t="str">
        <f t="shared" si="107"/>
        <v/>
      </c>
      <c r="AV163" s="61">
        <v>1</v>
      </c>
      <c r="AW163" s="66">
        <f t="shared" si="90"/>
        <v>243.5</v>
      </c>
      <c r="AX163" s="66" t="str">
        <f t="shared" si="91"/>
        <v/>
      </c>
      <c r="AY163" s="67" t="str">
        <f t="shared" si="92"/>
        <v/>
      </c>
      <c r="AZ163" s="61">
        <v>-1</v>
      </c>
      <c r="BA163" s="66" t="str">
        <f t="shared" si="93"/>
        <v/>
      </c>
      <c r="BB163" s="66" t="str">
        <f t="shared" si="94"/>
        <v/>
      </c>
      <c r="BC163" s="67">
        <f t="shared" si="95"/>
        <v>-243.5</v>
      </c>
    </row>
    <row r="164" spans="30:55">
      <c r="AD164" s="68" t="str">
        <v>06</v>
      </c>
      <c r="AE164" s="61">
        <v>274.5</v>
      </c>
      <c r="AF164" s="61">
        <v>1</v>
      </c>
      <c r="AG164" s="66">
        <f t="shared" si="96"/>
        <v>274.5</v>
      </c>
      <c r="AH164" s="66" t="str">
        <f t="shared" si="97"/>
        <v/>
      </c>
      <c r="AI164" s="67" t="str">
        <f t="shared" si="98"/>
        <v/>
      </c>
      <c r="AJ164" s="61">
        <v>-1</v>
      </c>
      <c r="AK164" s="66" t="str">
        <f t="shared" si="99"/>
        <v/>
      </c>
      <c r="AL164" s="66" t="str">
        <f t="shared" si="100"/>
        <v/>
      </c>
      <c r="AM164" s="67">
        <f t="shared" si="101"/>
        <v>-274.5</v>
      </c>
      <c r="AN164" s="61">
        <v>-1</v>
      </c>
      <c r="AO164" s="66" t="str">
        <f t="shared" si="102"/>
        <v/>
      </c>
      <c r="AP164" s="66" t="str">
        <f t="shared" si="103"/>
        <v/>
      </c>
      <c r="AQ164" s="67">
        <f t="shared" si="104"/>
        <v>-274.5</v>
      </c>
      <c r="AR164" s="61">
        <v>-1</v>
      </c>
      <c r="AS164" s="66" t="str">
        <f t="shared" si="105"/>
        <v/>
      </c>
      <c r="AT164" s="66" t="str">
        <f t="shared" si="106"/>
        <v/>
      </c>
      <c r="AU164" s="67">
        <f t="shared" si="107"/>
        <v>-274.5</v>
      </c>
      <c r="AV164" s="61">
        <v>1</v>
      </c>
      <c r="AW164" s="66">
        <f t="shared" si="90"/>
        <v>274.5</v>
      </c>
      <c r="AX164" s="66" t="str">
        <f t="shared" si="91"/>
        <v/>
      </c>
      <c r="AY164" s="67" t="str">
        <f t="shared" si="92"/>
        <v/>
      </c>
      <c r="AZ164" s="61">
        <v>1</v>
      </c>
      <c r="BA164" s="66">
        <f t="shared" si="93"/>
        <v>274.5</v>
      </c>
      <c r="BB164" s="66" t="str">
        <f t="shared" si="94"/>
        <v/>
      </c>
      <c r="BC164" s="67" t="str">
        <f t="shared" si="95"/>
        <v/>
      </c>
    </row>
    <row r="165" spans="30:55">
      <c r="AD165" s="68" t="str">
        <v>07</v>
      </c>
      <c r="AE165" s="61">
        <v>284.60000000000002</v>
      </c>
      <c r="AF165" s="61">
        <v>1</v>
      </c>
      <c r="AG165" s="66">
        <f t="shared" si="96"/>
        <v>284.60000000000002</v>
      </c>
      <c r="AH165" s="66" t="str">
        <f t="shared" si="97"/>
        <v/>
      </c>
      <c r="AI165" s="67" t="str">
        <f t="shared" si="98"/>
        <v/>
      </c>
      <c r="AJ165" s="61">
        <v>-1</v>
      </c>
      <c r="AK165" s="66" t="str">
        <f t="shared" si="99"/>
        <v/>
      </c>
      <c r="AL165" s="66" t="str">
        <f t="shared" si="100"/>
        <v/>
      </c>
      <c r="AM165" s="67">
        <f t="shared" si="101"/>
        <v>-284.60000000000002</v>
      </c>
      <c r="AN165" s="61">
        <v>-1</v>
      </c>
      <c r="AO165" s="66" t="str">
        <f t="shared" si="102"/>
        <v/>
      </c>
      <c r="AP165" s="66" t="str">
        <f t="shared" si="103"/>
        <v/>
      </c>
      <c r="AQ165" s="67">
        <f t="shared" si="104"/>
        <v>-284.60000000000002</v>
      </c>
      <c r="AR165" s="61">
        <v>-1</v>
      </c>
      <c r="AS165" s="66" t="str">
        <f t="shared" si="105"/>
        <v/>
      </c>
      <c r="AT165" s="66" t="str">
        <f t="shared" si="106"/>
        <v/>
      </c>
      <c r="AU165" s="67">
        <f t="shared" si="107"/>
        <v>-284.60000000000002</v>
      </c>
      <c r="AV165" s="61">
        <v>0</v>
      </c>
      <c r="AW165" s="66" t="str">
        <f t="shared" si="90"/>
        <v/>
      </c>
      <c r="AX165" s="66">
        <f t="shared" si="91"/>
        <v>0</v>
      </c>
      <c r="AY165" s="67" t="str">
        <f t="shared" si="92"/>
        <v/>
      </c>
      <c r="AZ165" s="61">
        <v>1</v>
      </c>
      <c r="BA165" s="66">
        <f t="shared" si="93"/>
        <v>284.60000000000002</v>
      </c>
      <c r="BB165" s="66" t="str">
        <f t="shared" si="94"/>
        <v/>
      </c>
      <c r="BC165" s="67" t="str">
        <f t="shared" si="95"/>
        <v/>
      </c>
    </row>
    <row r="166" spans="30:55">
      <c r="AD166" s="68" t="str">
        <v>08</v>
      </c>
      <c r="AE166" s="61">
        <v>275.8</v>
      </c>
      <c r="AF166" s="61">
        <v>1</v>
      </c>
      <c r="AG166" s="66">
        <f t="shared" si="96"/>
        <v>275.8</v>
      </c>
      <c r="AH166" s="66" t="str">
        <f t="shared" si="97"/>
        <v/>
      </c>
      <c r="AI166" s="67" t="str">
        <f t="shared" si="98"/>
        <v/>
      </c>
      <c r="AJ166" s="61">
        <v>-1</v>
      </c>
      <c r="AK166" s="66" t="str">
        <f t="shared" si="99"/>
        <v/>
      </c>
      <c r="AL166" s="66" t="str">
        <f t="shared" si="100"/>
        <v/>
      </c>
      <c r="AM166" s="67">
        <f t="shared" si="101"/>
        <v>-275.8</v>
      </c>
      <c r="AN166" s="61">
        <v>-1</v>
      </c>
      <c r="AO166" s="66" t="str">
        <f t="shared" si="102"/>
        <v/>
      </c>
      <c r="AP166" s="66" t="str">
        <f t="shared" si="103"/>
        <v/>
      </c>
      <c r="AQ166" s="67">
        <f t="shared" si="104"/>
        <v>-275.8</v>
      </c>
      <c r="AR166" s="61">
        <v>-1</v>
      </c>
      <c r="AS166" s="66" t="str">
        <f t="shared" si="105"/>
        <v/>
      </c>
      <c r="AT166" s="66" t="str">
        <f t="shared" si="106"/>
        <v/>
      </c>
      <c r="AU166" s="67">
        <f t="shared" si="107"/>
        <v>-275.8</v>
      </c>
      <c r="AV166" s="61">
        <v>-1</v>
      </c>
      <c r="AW166" s="66" t="str">
        <f t="shared" si="90"/>
        <v/>
      </c>
      <c r="AX166" s="66" t="str">
        <f t="shared" si="91"/>
        <v/>
      </c>
      <c r="AY166" s="67">
        <f t="shared" si="92"/>
        <v>-275.8</v>
      </c>
      <c r="AZ166" s="61">
        <v>1</v>
      </c>
      <c r="BA166" s="66">
        <f t="shared" si="93"/>
        <v>275.8</v>
      </c>
      <c r="BB166" s="66" t="str">
        <f t="shared" si="94"/>
        <v/>
      </c>
      <c r="BC166" s="67" t="str">
        <f t="shared" si="95"/>
        <v/>
      </c>
    </row>
    <row r="167" spans="30:55">
      <c r="AD167" s="68" t="str">
        <v>09</v>
      </c>
      <c r="AE167" s="61">
        <v>250.59999999999997</v>
      </c>
      <c r="AF167" s="61">
        <v>1</v>
      </c>
      <c r="AG167" s="66">
        <f t="shared" si="96"/>
        <v>250.59999999999997</v>
      </c>
      <c r="AH167" s="66" t="str">
        <f t="shared" si="97"/>
        <v/>
      </c>
      <c r="AI167" s="67" t="str">
        <f t="shared" si="98"/>
        <v/>
      </c>
      <c r="AJ167" s="61">
        <v>-1</v>
      </c>
      <c r="AK167" s="66" t="str">
        <f t="shared" si="99"/>
        <v/>
      </c>
      <c r="AL167" s="66" t="str">
        <f t="shared" si="100"/>
        <v/>
      </c>
      <c r="AM167" s="67">
        <f t="shared" si="101"/>
        <v>-250.59999999999997</v>
      </c>
      <c r="AN167" s="61">
        <v>1</v>
      </c>
      <c r="AO167" s="66">
        <f t="shared" si="102"/>
        <v>250.59999999999997</v>
      </c>
      <c r="AP167" s="66" t="str">
        <f t="shared" si="103"/>
        <v/>
      </c>
      <c r="AQ167" s="67" t="str">
        <f t="shared" si="104"/>
        <v/>
      </c>
      <c r="AR167" s="61">
        <v>-1</v>
      </c>
      <c r="AS167" s="66" t="str">
        <f t="shared" si="105"/>
        <v/>
      </c>
      <c r="AT167" s="66" t="str">
        <f t="shared" si="106"/>
        <v/>
      </c>
      <c r="AU167" s="67">
        <f t="shared" si="107"/>
        <v>-250.59999999999997</v>
      </c>
      <c r="AV167" s="61">
        <v>-1</v>
      </c>
      <c r="AW167" s="66" t="str">
        <f t="shared" si="90"/>
        <v/>
      </c>
      <c r="AX167" s="66" t="str">
        <f t="shared" si="91"/>
        <v/>
      </c>
      <c r="AY167" s="67">
        <f t="shared" si="92"/>
        <v>-250.59999999999997</v>
      </c>
      <c r="AZ167" s="61">
        <v>-1</v>
      </c>
      <c r="BA167" s="66" t="str">
        <f t="shared" si="93"/>
        <v/>
      </c>
      <c r="BB167" s="66" t="str">
        <f t="shared" si="94"/>
        <v/>
      </c>
      <c r="BC167" s="67">
        <f t="shared" si="95"/>
        <v>-250.59999999999997</v>
      </c>
    </row>
    <row r="168" spans="30:55">
      <c r="AD168" s="68" t="str">
        <v>10</v>
      </c>
      <c r="AE168" s="61">
        <v>212.3</v>
      </c>
      <c r="AF168" s="61">
        <v>1</v>
      </c>
      <c r="AG168" s="66">
        <f t="shared" si="96"/>
        <v>212.3</v>
      </c>
      <c r="AH168" s="66" t="str">
        <f t="shared" si="97"/>
        <v/>
      </c>
      <c r="AI168" s="67" t="str">
        <f t="shared" si="98"/>
        <v/>
      </c>
      <c r="AJ168" s="61">
        <v>-1</v>
      </c>
      <c r="AK168" s="66" t="str">
        <f t="shared" si="99"/>
        <v/>
      </c>
      <c r="AL168" s="66" t="str">
        <f t="shared" si="100"/>
        <v/>
      </c>
      <c r="AM168" s="67">
        <f t="shared" si="101"/>
        <v>-212.3</v>
      </c>
      <c r="AN168" s="61">
        <v>1</v>
      </c>
      <c r="AO168" s="66">
        <f t="shared" si="102"/>
        <v>212.3</v>
      </c>
      <c r="AP168" s="66" t="str">
        <f t="shared" si="103"/>
        <v/>
      </c>
      <c r="AQ168" s="67" t="str">
        <f t="shared" si="104"/>
        <v/>
      </c>
      <c r="AR168" s="61">
        <v>-1</v>
      </c>
      <c r="AS168" s="66" t="str">
        <f t="shared" si="105"/>
        <v/>
      </c>
      <c r="AT168" s="66" t="str">
        <f t="shared" si="106"/>
        <v/>
      </c>
      <c r="AU168" s="67">
        <f t="shared" si="107"/>
        <v>-212.3</v>
      </c>
      <c r="AV168" s="61">
        <v>0</v>
      </c>
      <c r="AW168" s="66" t="str">
        <f t="shared" si="90"/>
        <v/>
      </c>
      <c r="AX168" s="66">
        <f t="shared" si="91"/>
        <v>0</v>
      </c>
      <c r="AY168" s="67" t="str">
        <f t="shared" si="92"/>
        <v/>
      </c>
      <c r="AZ168" s="61">
        <v>-1</v>
      </c>
      <c r="BA168" s="66" t="str">
        <f t="shared" si="93"/>
        <v/>
      </c>
      <c r="BB168" s="66" t="str">
        <f t="shared" si="94"/>
        <v/>
      </c>
      <c r="BC168" s="67">
        <f t="shared" si="95"/>
        <v>-212.3</v>
      </c>
    </row>
    <row r="169" spans="30:55">
      <c r="AD169" s="68" t="str">
        <v>11</v>
      </c>
      <c r="AE169" s="61">
        <v>174.9</v>
      </c>
      <c r="AF169" s="61">
        <v>1</v>
      </c>
      <c r="AG169" s="66">
        <f t="shared" si="96"/>
        <v>174.9</v>
      </c>
      <c r="AH169" s="66" t="str">
        <f t="shared" si="97"/>
        <v/>
      </c>
      <c r="AI169" s="67" t="str">
        <f t="shared" si="98"/>
        <v/>
      </c>
      <c r="AJ169" s="61">
        <v>-1</v>
      </c>
      <c r="AK169" s="66" t="str">
        <f t="shared" si="99"/>
        <v/>
      </c>
      <c r="AL169" s="66" t="str">
        <f t="shared" si="100"/>
        <v/>
      </c>
      <c r="AM169" s="67">
        <f t="shared" si="101"/>
        <v>-174.9</v>
      </c>
      <c r="AN169" s="61">
        <v>1</v>
      </c>
      <c r="AO169" s="66">
        <f t="shared" si="102"/>
        <v>174.9</v>
      </c>
      <c r="AP169" s="66" t="str">
        <f t="shared" si="103"/>
        <v/>
      </c>
      <c r="AQ169" s="67" t="str">
        <f t="shared" si="104"/>
        <v/>
      </c>
      <c r="AR169" s="61">
        <v>-1</v>
      </c>
      <c r="AS169" s="66" t="str">
        <f t="shared" si="105"/>
        <v/>
      </c>
      <c r="AT169" s="66" t="str">
        <f t="shared" si="106"/>
        <v/>
      </c>
      <c r="AU169" s="67">
        <f t="shared" si="107"/>
        <v>-174.9</v>
      </c>
      <c r="AV169" s="61">
        <v>1</v>
      </c>
      <c r="AW169" s="66">
        <f t="shared" si="90"/>
        <v>174.9</v>
      </c>
      <c r="AX169" s="66" t="str">
        <f t="shared" si="91"/>
        <v/>
      </c>
      <c r="AY169" s="67" t="str">
        <f t="shared" si="92"/>
        <v/>
      </c>
      <c r="AZ169" s="61">
        <v>-1</v>
      </c>
      <c r="BA169" s="66" t="str">
        <f t="shared" si="93"/>
        <v/>
      </c>
      <c r="BB169" s="66" t="str">
        <f t="shared" si="94"/>
        <v/>
      </c>
      <c r="BC169" s="67">
        <f t="shared" si="95"/>
        <v>-174.9</v>
      </c>
    </row>
    <row r="170" spans="30:55">
      <c r="AD170" s="68" t="str">
        <v>12</v>
      </c>
      <c r="AE170" s="61">
        <v>142.9</v>
      </c>
      <c r="AF170" s="61">
        <v>1</v>
      </c>
      <c r="AG170" s="66">
        <f t="shared" si="96"/>
        <v>142.9</v>
      </c>
      <c r="AH170" s="66" t="str">
        <f t="shared" si="97"/>
        <v/>
      </c>
      <c r="AI170" s="67" t="str">
        <f t="shared" si="98"/>
        <v/>
      </c>
      <c r="AJ170" s="61">
        <v>1</v>
      </c>
      <c r="AK170" s="66">
        <f t="shared" si="99"/>
        <v>142.9</v>
      </c>
      <c r="AL170" s="66" t="str">
        <f t="shared" si="100"/>
        <v/>
      </c>
      <c r="AM170" s="67" t="str">
        <f t="shared" si="101"/>
        <v/>
      </c>
      <c r="AN170" s="61">
        <v>1</v>
      </c>
      <c r="AO170" s="66">
        <f t="shared" si="102"/>
        <v>142.9</v>
      </c>
      <c r="AP170" s="66" t="str">
        <f t="shared" si="103"/>
        <v/>
      </c>
      <c r="AQ170" s="67" t="str">
        <f t="shared" si="104"/>
        <v/>
      </c>
      <c r="AR170" s="61">
        <v>1</v>
      </c>
      <c r="AS170" s="66">
        <f t="shared" si="105"/>
        <v>142.9</v>
      </c>
      <c r="AT170" s="66" t="str">
        <f t="shared" si="106"/>
        <v/>
      </c>
      <c r="AU170" s="67" t="str">
        <f t="shared" si="107"/>
        <v/>
      </c>
      <c r="AV170" s="61">
        <v>1</v>
      </c>
      <c r="AW170" s="66">
        <f t="shared" si="90"/>
        <v>142.9</v>
      </c>
      <c r="AX170" s="66" t="str">
        <f t="shared" si="91"/>
        <v/>
      </c>
      <c r="AY170" s="67" t="str">
        <f t="shared" si="92"/>
        <v/>
      </c>
      <c r="AZ170" s="61">
        <v>1</v>
      </c>
      <c r="BA170" s="66">
        <f t="shared" si="93"/>
        <v>142.9</v>
      </c>
      <c r="BB170" s="66" t="str">
        <f t="shared" si="94"/>
        <v/>
      </c>
      <c r="BC170" s="67" t="str">
        <f t="shared" si="95"/>
        <v/>
      </c>
    </row>
    <row r="171" spans="30:55">
      <c r="AD171" s="68" t="str">
        <v>13</v>
      </c>
      <c r="AE171" s="61">
        <v>126.1</v>
      </c>
      <c r="AF171" s="61">
        <v>1</v>
      </c>
      <c r="AG171" s="66">
        <f t="shared" si="96"/>
        <v>126.1</v>
      </c>
      <c r="AH171" s="66" t="str">
        <f t="shared" si="97"/>
        <v/>
      </c>
      <c r="AI171" s="67" t="str">
        <f t="shared" si="98"/>
        <v/>
      </c>
      <c r="AJ171" s="61">
        <v>1</v>
      </c>
      <c r="AK171" s="66">
        <f t="shared" si="99"/>
        <v>126.1</v>
      </c>
      <c r="AL171" s="66" t="str">
        <f t="shared" si="100"/>
        <v/>
      </c>
      <c r="AM171" s="67" t="str">
        <f t="shared" si="101"/>
        <v/>
      </c>
      <c r="AN171" s="61">
        <v>1</v>
      </c>
      <c r="AO171" s="66">
        <f t="shared" si="102"/>
        <v>126.1</v>
      </c>
      <c r="AP171" s="66" t="str">
        <f t="shared" si="103"/>
        <v/>
      </c>
      <c r="AQ171" s="67" t="str">
        <f t="shared" si="104"/>
        <v/>
      </c>
      <c r="AR171" s="61">
        <v>1</v>
      </c>
      <c r="AS171" s="66">
        <f t="shared" si="105"/>
        <v>126.1</v>
      </c>
      <c r="AT171" s="66" t="str">
        <f t="shared" si="106"/>
        <v/>
      </c>
      <c r="AU171" s="67" t="str">
        <f t="shared" si="107"/>
        <v/>
      </c>
      <c r="AV171" s="61">
        <v>0</v>
      </c>
      <c r="AW171" s="66" t="str">
        <f t="shared" si="90"/>
        <v/>
      </c>
      <c r="AX171" s="66">
        <f t="shared" si="91"/>
        <v>0</v>
      </c>
      <c r="AY171" s="67" t="str">
        <f t="shared" si="92"/>
        <v/>
      </c>
      <c r="AZ171" s="61">
        <v>1</v>
      </c>
      <c r="BA171" s="66">
        <f t="shared" si="93"/>
        <v>126.1</v>
      </c>
      <c r="BB171" s="66" t="str">
        <f t="shared" si="94"/>
        <v/>
      </c>
      <c r="BC171" s="67" t="str">
        <f t="shared" si="95"/>
        <v/>
      </c>
    </row>
    <row r="172" spans="30:55">
      <c r="AD172" s="68" t="str">
        <v>14</v>
      </c>
      <c r="AE172" s="61">
        <v>123.10000000000001</v>
      </c>
      <c r="AF172" s="61">
        <v>1</v>
      </c>
      <c r="AG172" s="66">
        <f t="shared" si="96"/>
        <v>123.10000000000001</v>
      </c>
      <c r="AH172" s="66" t="str">
        <f t="shared" si="97"/>
        <v/>
      </c>
      <c r="AI172" s="67" t="str">
        <f t="shared" si="98"/>
        <v/>
      </c>
      <c r="AJ172" s="61">
        <v>1</v>
      </c>
      <c r="AK172" s="66">
        <f t="shared" si="99"/>
        <v>123.10000000000001</v>
      </c>
      <c r="AL172" s="66" t="str">
        <f t="shared" si="100"/>
        <v/>
      </c>
      <c r="AM172" s="67" t="str">
        <f t="shared" si="101"/>
        <v/>
      </c>
      <c r="AN172" s="61">
        <v>1</v>
      </c>
      <c r="AO172" s="66">
        <f t="shared" si="102"/>
        <v>123.10000000000001</v>
      </c>
      <c r="AP172" s="66" t="str">
        <f t="shared" si="103"/>
        <v/>
      </c>
      <c r="AQ172" s="67" t="str">
        <f t="shared" si="104"/>
        <v/>
      </c>
      <c r="AR172" s="61">
        <v>1</v>
      </c>
      <c r="AS172" s="66">
        <f t="shared" si="105"/>
        <v>123.10000000000001</v>
      </c>
      <c r="AT172" s="66" t="str">
        <f t="shared" si="106"/>
        <v/>
      </c>
      <c r="AU172" s="67" t="str">
        <f t="shared" si="107"/>
        <v/>
      </c>
      <c r="AV172" s="61">
        <v>-1</v>
      </c>
      <c r="AW172" s="66" t="str">
        <f t="shared" si="90"/>
        <v/>
      </c>
      <c r="AX172" s="66" t="str">
        <f t="shared" si="91"/>
        <v/>
      </c>
      <c r="AY172" s="67">
        <f t="shared" si="92"/>
        <v>-123.10000000000001</v>
      </c>
      <c r="AZ172" s="61">
        <v>1</v>
      </c>
      <c r="BA172" s="66">
        <f t="shared" si="93"/>
        <v>123.10000000000001</v>
      </c>
      <c r="BB172" s="66" t="str">
        <f t="shared" si="94"/>
        <v/>
      </c>
      <c r="BC172" s="67" t="str">
        <f t="shared" si="95"/>
        <v/>
      </c>
    </row>
    <row r="173" spans="30:55">
      <c r="AD173" s="68" t="str">
        <v>15</v>
      </c>
      <c r="AE173" s="61">
        <v>137.20000000000002</v>
      </c>
      <c r="AF173" s="61">
        <v>1</v>
      </c>
      <c r="AG173" s="66">
        <f t="shared" si="96"/>
        <v>137.20000000000002</v>
      </c>
      <c r="AH173" s="66" t="str">
        <f t="shared" si="97"/>
        <v/>
      </c>
      <c r="AI173" s="67" t="str">
        <f t="shared" si="98"/>
        <v/>
      </c>
      <c r="AJ173" s="61">
        <v>1</v>
      </c>
      <c r="AK173" s="66">
        <f t="shared" si="99"/>
        <v>137.20000000000002</v>
      </c>
      <c r="AL173" s="66" t="str">
        <f t="shared" si="100"/>
        <v/>
      </c>
      <c r="AM173" s="67" t="str">
        <f t="shared" si="101"/>
        <v/>
      </c>
      <c r="AN173" s="61">
        <v>-1</v>
      </c>
      <c r="AO173" s="66" t="str">
        <f t="shared" si="102"/>
        <v/>
      </c>
      <c r="AP173" s="66" t="str">
        <f t="shared" si="103"/>
        <v/>
      </c>
      <c r="AQ173" s="67">
        <f t="shared" si="104"/>
        <v>-137.20000000000002</v>
      </c>
      <c r="AR173" s="61">
        <v>1</v>
      </c>
      <c r="AS173" s="66">
        <f t="shared" si="105"/>
        <v>137.20000000000002</v>
      </c>
      <c r="AT173" s="66" t="str">
        <f t="shared" si="106"/>
        <v/>
      </c>
      <c r="AU173" s="67" t="str">
        <f t="shared" si="107"/>
        <v/>
      </c>
      <c r="AV173" s="61">
        <v>-1</v>
      </c>
      <c r="AW173" s="66" t="str">
        <f t="shared" si="90"/>
        <v/>
      </c>
      <c r="AX173" s="66" t="str">
        <f t="shared" si="91"/>
        <v/>
      </c>
      <c r="AY173" s="67">
        <f t="shared" si="92"/>
        <v>-137.20000000000002</v>
      </c>
      <c r="AZ173" s="61">
        <v>-1</v>
      </c>
      <c r="BA173" s="66" t="str">
        <f t="shared" si="93"/>
        <v/>
      </c>
      <c r="BB173" s="66" t="str">
        <f t="shared" si="94"/>
        <v/>
      </c>
      <c r="BC173" s="67">
        <f t="shared" si="95"/>
        <v>-137.20000000000002</v>
      </c>
    </row>
    <row r="174" spans="30:55">
      <c r="AD174" s="68" t="str">
        <v>16</v>
      </c>
      <c r="AE174" s="61">
        <v>158.80000000000001</v>
      </c>
      <c r="AF174" s="61">
        <v>1</v>
      </c>
      <c r="AG174" s="66">
        <f t="shared" si="96"/>
        <v>158.80000000000001</v>
      </c>
      <c r="AH174" s="66" t="str">
        <f t="shared" si="97"/>
        <v/>
      </c>
      <c r="AI174" s="67" t="str">
        <f t="shared" si="98"/>
        <v/>
      </c>
      <c r="AJ174" s="61">
        <v>1</v>
      </c>
      <c r="AK174" s="66">
        <f t="shared" si="99"/>
        <v>158.80000000000001</v>
      </c>
      <c r="AL174" s="66" t="str">
        <f t="shared" si="100"/>
        <v/>
      </c>
      <c r="AM174" s="67" t="str">
        <f t="shared" si="101"/>
        <v/>
      </c>
      <c r="AN174" s="61">
        <v>-1</v>
      </c>
      <c r="AO174" s="66" t="str">
        <f t="shared" si="102"/>
        <v/>
      </c>
      <c r="AP174" s="66" t="str">
        <f t="shared" si="103"/>
        <v/>
      </c>
      <c r="AQ174" s="67">
        <f t="shared" si="104"/>
        <v>-158.80000000000001</v>
      </c>
      <c r="AR174" s="61">
        <v>1</v>
      </c>
      <c r="AS174" s="66">
        <f t="shared" si="105"/>
        <v>158.80000000000001</v>
      </c>
      <c r="AT174" s="66" t="str">
        <f t="shared" si="106"/>
        <v/>
      </c>
      <c r="AU174" s="67" t="str">
        <f t="shared" si="107"/>
        <v/>
      </c>
      <c r="AV174" s="61">
        <v>0</v>
      </c>
      <c r="AW174" s="66" t="str">
        <f t="shared" si="90"/>
        <v/>
      </c>
      <c r="AX174" s="66">
        <f t="shared" si="91"/>
        <v>0</v>
      </c>
      <c r="AY174" s="67" t="str">
        <f t="shared" si="92"/>
        <v/>
      </c>
      <c r="AZ174" s="61">
        <v>-1</v>
      </c>
      <c r="BA174" s="66" t="str">
        <f t="shared" si="93"/>
        <v/>
      </c>
      <c r="BB174" s="66" t="str">
        <f t="shared" si="94"/>
        <v/>
      </c>
      <c r="BC174" s="67">
        <f t="shared" si="95"/>
        <v>-158.80000000000001</v>
      </c>
    </row>
    <row r="175" spans="30:55">
      <c r="AD175" s="68" t="str">
        <v>17</v>
      </c>
      <c r="AE175" s="61">
        <v>176.89999999999998</v>
      </c>
      <c r="AF175" s="61">
        <v>1</v>
      </c>
      <c r="AG175" s="66">
        <f t="shared" si="96"/>
        <v>176.89999999999998</v>
      </c>
      <c r="AH175" s="66" t="str">
        <f t="shared" si="97"/>
        <v/>
      </c>
      <c r="AI175" s="67" t="str">
        <f t="shared" si="98"/>
        <v/>
      </c>
      <c r="AJ175" s="61">
        <v>1</v>
      </c>
      <c r="AK175" s="66">
        <f t="shared" si="99"/>
        <v>176.89999999999998</v>
      </c>
      <c r="AL175" s="66" t="str">
        <f t="shared" si="100"/>
        <v/>
      </c>
      <c r="AM175" s="67" t="str">
        <f t="shared" si="101"/>
        <v/>
      </c>
      <c r="AN175" s="61">
        <v>-1</v>
      </c>
      <c r="AO175" s="66" t="str">
        <f t="shared" si="102"/>
        <v/>
      </c>
      <c r="AP175" s="66" t="str">
        <f t="shared" si="103"/>
        <v/>
      </c>
      <c r="AQ175" s="67">
        <f t="shared" si="104"/>
        <v>-176.89999999999998</v>
      </c>
      <c r="AR175" s="61">
        <v>1</v>
      </c>
      <c r="AS175" s="66">
        <f t="shared" si="105"/>
        <v>176.89999999999998</v>
      </c>
      <c r="AT175" s="66" t="str">
        <f t="shared" si="106"/>
        <v/>
      </c>
      <c r="AU175" s="67" t="str">
        <f t="shared" si="107"/>
        <v/>
      </c>
      <c r="AV175" s="61">
        <v>1</v>
      </c>
      <c r="AW175" s="66">
        <f t="shared" si="90"/>
        <v>176.89999999999998</v>
      </c>
      <c r="AX175" s="66" t="str">
        <f t="shared" si="91"/>
        <v/>
      </c>
      <c r="AY175" s="67" t="str">
        <f t="shared" si="92"/>
        <v/>
      </c>
      <c r="AZ175" s="61">
        <v>-1</v>
      </c>
      <c r="BA175" s="66" t="str">
        <f t="shared" si="93"/>
        <v/>
      </c>
      <c r="BB175" s="66" t="str">
        <f t="shared" si="94"/>
        <v/>
      </c>
      <c r="BC175" s="67">
        <f t="shared" si="95"/>
        <v>-176.89999999999998</v>
      </c>
    </row>
    <row r="176" spans="30:55">
      <c r="AD176" s="68" t="str">
        <v>18</v>
      </c>
      <c r="AE176" s="61">
        <v>181.29999999999998</v>
      </c>
      <c r="AF176" s="61">
        <v>-1</v>
      </c>
      <c r="AG176" s="66" t="str">
        <f t="shared" si="96"/>
        <v/>
      </c>
      <c r="AH176" s="66" t="str">
        <f t="shared" si="97"/>
        <v/>
      </c>
      <c r="AI176" s="67">
        <f t="shared" si="98"/>
        <v>-181.29999999999998</v>
      </c>
      <c r="AJ176" s="61">
        <v>1</v>
      </c>
      <c r="AK176" s="66">
        <f t="shared" si="99"/>
        <v>181.29999999999998</v>
      </c>
      <c r="AL176" s="66" t="str">
        <f t="shared" si="100"/>
        <v/>
      </c>
      <c r="AM176" s="67" t="str">
        <f t="shared" si="101"/>
        <v/>
      </c>
      <c r="AN176" s="61">
        <v>-1</v>
      </c>
      <c r="AO176" s="66" t="str">
        <f t="shared" si="102"/>
        <v/>
      </c>
      <c r="AP176" s="66" t="str">
        <f t="shared" si="103"/>
        <v/>
      </c>
      <c r="AQ176" s="67">
        <f t="shared" si="104"/>
        <v>-181.29999999999998</v>
      </c>
      <c r="AR176" s="61">
        <v>-1</v>
      </c>
      <c r="AS176" s="66" t="str">
        <f t="shared" si="105"/>
        <v/>
      </c>
      <c r="AT176" s="66" t="str">
        <f t="shared" si="106"/>
        <v/>
      </c>
      <c r="AU176" s="67">
        <f t="shared" si="107"/>
        <v>-181.29999999999998</v>
      </c>
      <c r="AV176" s="61">
        <v>1</v>
      </c>
      <c r="AW176" s="66">
        <f t="shared" si="90"/>
        <v>181.29999999999998</v>
      </c>
      <c r="AX176" s="66" t="str">
        <f t="shared" si="91"/>
        <v/>
      </c>
      <c r="AY176" s="67" t="str">
        <f t="shared" si="92"/>
        <v/>
      </c>
      <c r="AZ176" s="61">
        <v>1</v>
      </c>
      <c r="BA176" s="66">
        <f t="shared" si="93"/>
        <v>181.29999999999998</v>
      </c>
      <c r="BB176" s="66" t="str">
        <f t="shared" si="94"/>
        <v/>
      </c>
      <c r="BC176" s="67" t="str">
        <f t="shared" si="95"/>
        <v/>
      </c>
    </row>
    <row r="177" spans="29:55">
      <c r="AD177" s="68" t="str">
        <v>19</v>
      </c>
      <c r="AE177" s="61">
        <v>177.7</v>
      </c>
      <c r="AF177" s="61">
        <v>-1</v>
      </c>
      <c r="AG177" s="66" t="str">
        <f t="shared" si="96"/>
        <v/>
      </c>
      <c r="AH177" s="66" t="str">
        <f t="shared" si="97"/>
        <v/>
      </c>
      <c r="AI177" s="67">
        <f t="shared" si="98"/>
        <v>-177.7</v>
      </c>
      <c r="AJ177" s="61">
        <v>1</v>
      </c>
      <c r="AK177" s="66">
        <f t="shared" si="99"/>
        <v>177.7</v>
      </c>
      <c r="AL177" s="66" t="str">
        <f t="shared" si="100"/>
        <v/>
      </c>
      <c r="AM177" s="67" t="str">
        <f t="shared" si="101"/>
        <v/>
      </c>
      <c r="AN177" s="61">
        <v>-1</v>
      </c>
      <c r="AO177" s="66" t="str">
        <f t="shared" si="102"/>
        <v/>
      </c>
      <c r="AP177" s="66" t="str">
        <f t="shared" si="103"/>
        <v/>
      </c>
      <c r="AQ177" s="67">
        <f t="shared" si="104"/>
        <v>-177.7</v>
      </c>
      <c r="AR177" s="61">
        <v>-1</v>
      </c>
      <c r="AS177" s="66" t="str">
        <f t="shared" si="105"/>
        <v/>
      </c>
      <c r="AT177" s="66" t="str">
        <f t="shared" si="106"/>
        <v/>
      </c>
      <c r="AU177" s="67">
        <f t="shared" si="107"/>
        <v>-177.7</v>
      </c>
      <c r="AV177" s="61">
        <v>0</v>
      </c>
      <c r="AW177" s="66" t="str">
        <f t="shared" si="90"/>
        <v/>
      </c>
      <c r="AX177" s="66">
        <f t="shared" si="91"/>
        <v>0</v>
      </c>
      <c r="AY177" s="67" t="str">
        <f t="shared" si="92"/>
        <v/>
      </c>
      <c r="AZ177" s="61">
        <v>1</v>
      </c>
      <c r="BA177" s="66">
        <f t="shared" si="93"/>
        <v>177.7</v>
      </c>
      <c r="BB177" s="66" t="str">
        <f t="shared" si="94"/>
        <v/>
      </c>
      <c r="BC177" s="67" t="str">
        <f t="shared" si="95"/>
        <v/>
      </c>
    </row>
    <row r="178" spans="29:55">
      <c r="AD178" s="68" t="str">
        <v>20</v>
      </c>
      <c r="AE178" s="61">
        <v>164.1</v>
      </c>
      <c r="AF178" s="61">
        <v>-1</v>
      </c>
      <c r="AG178" s="66" t="str">
        <f t="shared" si="96"/>
        <v/>
      </c>
      <c r="AH178" s="66" t="str">
        <f t="shared" si="97"/>
        <v/>
      </c>
      <c r="AI178" s="67">
        <f t="shared" si="98"/>
        <v>-164.1</v>
      </c>
      <c r="AJ178" s="61">
        <v>1</v>
      </c>
      <c r="AK178" s="66">
        <f t="shared" si="99"/>
        <v>164.1</v>
      </c>
      <c r="AL178" s="66" t="str">
        <f t="shared" si="100"/>
        <v/>
      </c>
      <c r="AM178" s="67" t="str">
        <f t="shared" si="101"/>
        <v/>
      </c>
      <c r="AN178" s="61">
        <v>-1</v>
      </c>
      <c r="AO178" s="66" t="str">
        <f t="shared" si="102"/>
        <v/>
      </c>
      <c r="AP178" s="66" t="str">
        <f t="shared" si="103"/>
        <v/>
      </c>
      <c r="AQ178" s="67">
        <f t="shared" si="104"/>
        <v>-164.1</v>
      </c>
      <c r="AR178" s="61">
        <v>-1</v>
      </c>
      <c r="AS178" s="66" t="str">
        <f t="shared" si="105"/>
        <v/>
      </c>
      <c r="AT178" s="66" t="str">
        <f t="shared" si="106"/>
        <v/>
      </c>
      <c r="AU178" s="67">
        <f t="shared" si="107"/>
        <v>-164.1</v>
      </c>
      <c r="AV178" s="61">
        <v>-1</v>
      </c>
      <c r="AW178" s="66" t="str">
        <f t="shared" si="90"/>
        <v/>
      </c>
      <c r="AX178" s="66" t="str">
        <f t="shared" si="91"/>
        <v/>
      </c>
      <c r="AY178" s="67">
        <f t="shared" si="92"/>
        <v>-164.1</v>
      </c>
      <c r="AZ178" s="61">
        <v>1</v>
      </c>
      <c r="BA178" s="66">
        <f t="shared" si="93"/>
        <v>164.1</v>
      </c>
      <c r="BB178" s="66" t="str">
        <f t="shared" si="94"/>
        <v/>
      </c>
      <c r="BC178" s="67" t="str">
        <f t="shared" si="95"/>
        <v/>
      </c>
    </row>
    <row r="179" spans="29:55">
      <c r="AD179" s="68" t="str">
        <v>21</v>
      </c>
      <c r="AE179" s="61">
        <v>140.79999999999998</v>
      </c>
      <c r="AF179" s="61">
        <v>-1</v>
      </c>
      <c r="AG179" s="66" t="str">
        <f t="shared" si="96"/>
        <v/>
      </c>
      <c r="AH179" s="66" t="str">
        <f t="shared" si="97"/>
        <v/>
      </c>
      <c r="AI179" s="67">
        <f t="shared" si="98"/>
        <v>-140.79999999999998</v>
      </c>
      <c r="AJ179" s="61">
        <v>1</v>
      </c>
      <c r="AK179" s="66">
        <f t="shared" si="99"/>
        <v>140.79999999999998</v>
      </c>
      <c r="AL179" s="66" t="str">
        <f t="shared" si="100"/>
        <v/>
      </c>
      <c r="AM179" s="67" t="str">
        <f t="shared" si="101"/>
        <v/>
      </c>
      <c r="AN179" s="61">
        <v>1</v>
      </c>
      <c r="AO179" s="66">
        <f t="shared" si="102"/>
        <v>140.79999999999998</v>
      </c>
      <c r="AP179" s="66" t="str">
        <f t="shared" si="103"/>
        <v/>
      </c>
      <c r="AQ179" s="67" t="str">
        <f t="shared" si="104"/>
        <v/>
      </c>
      <c r="AR179" s="61">
        <v>-1</v>
      </c>
      <c r="AS179" s="66" t="str">
        <f t="shared" si="105"/>
        <v/>
      </c>
      <c r="AT179" s="66" t="str">
        <f t="shared" si="106"/>
        <v/>
      </c>
      <c r="AU179" s="67">
        <f t="shared" si="107"/>
        <v>-140.79999999999998</v>
      </c>
      <c r="AV179" s="61">
        <v>-1</v>
      </c>
      <c r="AW179" s="66" t="str">
        <f t="shared" si="90"/>
        <v/>
      </c>
      <c r="AX179" s="66" t="str">
        <f t="shared" si="91"/>
        <v/>
      </c>
      <c r="AY179" s="67">
        <f t="shared" si="92"/>
        <v>-140.79999999999998</v>
      </c>
      <c r="AZ179" s="61">
        <v>-1</v>
      </c>
      <c r="BA179" s="66" t="str">
        <f t="shared" si="93"/>
        <v/>
      </c>
      <c r="BB179" s="66" t="str">
        <f t="shared" si="94"/>
        <v/>
      </c>
      <c r="BC179" s="67">
        <f t="shared" si="95"/>
        <v>-140.79999999999998</v>
      </c>
    </row>
    <row r="180" spans="29:55">
      <c r="AD180" s="68" t="str">
        <v>22</v>
      </c>
      <c r="AE180" s="61">
        <v>115.10000000000001</v>
      </c>
      <c r="AF180" s="61">
        <v>-1</v>
      </c>
      <c r="AG180" s="66" t="str">
        <f t="shared" si="96"/>
        <v/>
      </c>
      <c r="AH180" s="66" t="str">
        <f t="shared" si="97"/>
        <v/>
      </c>
      <c r="AI180" s="67">
        <f t="shared" si="98"/>
        <v>-115.10000000000001</v>
      </c>
      <c r="AJ180" s="61">
        <v>1</v>
      </c>
      <c r="AK180" s="66">
        <f t="shared" si="99"/>
        <v>115.10000000000001</v>
      </c>
      <c r="AL180" s="66" t="str">
        <f t="shared" si="100"/>
        <v/>
      </c>
      <c r="AM180" s="67" t="str">
        <f t="shared" si="101"/>
        <v/>
      </c>
      <c r="AN180" s="61">
        <v>1</v>
      </c>
      <c r="AO180" s="66">
        <f t="shared" si="102"/>
        <v>115.10000000000001</v>
      </c>
      <c r="AP180" s="66" t="str">
        <f t="shared" si="103"/>
        <v/>
      </c>
      <c r="AQ180" s="67" t="str">
        <f t="shared" si="104"/>
        <v/>
      </c>
      <c r="AR180" s="61">
        <v>-1</v>
      </c>
      <c r="AS180" s="66" t="str">
        <f t="shared" si="105"/>
        <v/>
      </c>
      <c r="AT180" s="66" t="str">
        <f t="shared" si="106"/>
        <v/>
      </c>
      <c r="AU180" s="67">
        <f t="shared" si="107"/>
        <v>-115.10000000000001</v>
      </c>
      <c r="AV180" s="61">
        <v>0</v>
      </c>
      <c r="AW180" s="66" t="str">
        <f t="shared" si="90"/>
        <v/>
      </c>
      <c r="AX180" s="66">
        <f t="shared" si="91"/>
        <v>0</v>
      </c>
      <c r="AY180" s="67" t="str">
        <f t="shared" si="92"/>
        <v/>
      </c>
      <c r="AZ180" s="61">
        <v>-1</v>
      </c>
      <c r="BA180" s="66" t="str">
        <f t="shared" si="93"/>
        <v/>
      </c>
      <c r="BB180" s="66" t="str">
        <f t="shared" si="94"/>
        <v/>
      </c>
      <c r="BC180" s="67">
        <f t="shared" si="95"/>
        <v>-115.10000000000001</v>
      </c>
    </row>
    <row r="181" spans="29:55">
      <c r="AD181" s="68" t="str">
        <v>23</v>
      </c>
      <c r="AE181" s="61">
        <v>90.4</v>
      </c>
      <c r="AF181" s="61">
        <v>-1</v>
      </c>
      <c r="AG181" s="66" t="str">
        <f t="shared" si="96"/>
        <v/>
      </c>
      <c r="AH181" s="66" t="str">
        <f t="shared" si="97"/>
        <v/>
      </c>
      <c r="AI181" s="67">
        <f t="shared" si="98"/>
        <v>-90.4</v>
      </c>
      <c r="AJ181" s="61">
        <v>1</v>
      </c>
      <c r="AK181" s="66">
        <f t="shared" si="99"/>
        <v>90.4</v>
      </c>
      <c r="AL181" s="66" t="str">
        <f t="shared" si="100"/>
        <v/>
      </c>
      <c r="AM181" s="67" t="str">
        <f t="shared" si="101"/>
        <v/>
      </c>
      <c r="AN181" s="61">
        <v>1</v>
      </c>
      <c r="AO181" s="66">
        <f t="shared" si="102"/>
        <v>90.4</v>
      </c>
      <c r="AP181" s="66" t="str">
        <f t="shared" si="103"/>
        <v/>
      </c>
      <c r="AQ181" s="67" t="str">
        <f t="shared" si="104"/>
        <v/>
      </c>
      <c r="AR181" s="61">
        <v>-1</v>
      </c>
      <c r="AS181" s="66" t="str">
        <f t="shared" si="105"/>
        <v/>
      </c>
      <c r="AT181" s="66" t="str">
        <f t="shared" si="106"/>
        <v/>
      </c>
      <c r="AU181" s="67">
        <f t="shared" si="107"/>
        <v>-90.4</v>
      </c>
      <c r="AV181" s="61">
        <v>1</v>
      </c>
      <c r="AW181" s="66">
        <f t="shared" si="90"/>
        <v>90.4</v>
      </c>
      <c r="AX181" s="66" t="str">
        <f t="shared" si="91"/>
        <v/>
      </c>
      <c r="AY181" s="67" t="str">
        <f t="shared" si="92"/>
        <v/>
      </c>
      <c r="AZ181" s="61">
        <v>-1</v>
      </c>
      <c r="BA181" s="66" t="str">
        <f t="shared" si="93"/>
        <v/>
      </c>
      <c r="BB181" s="66" t="str">
        <f t="shared" si="94"/>
        <v/>
      </c>
      <c r="BC181" s="67">
        <f t="shared" si="95"/>
        <v>-90.4</v>
      </c>
    </row>
    <row r="182" spans="29:55" ht="15.75" thickBot="1">
      <c r="AC182" s="476">
        <f>AD154</f>
        <v>44714</v>
      </c>
      <c r="AD182" s="69" t="s">
        <v>85</v>
      </c>
      <c r="AE182" s="70">
        <f>SUM(AE158:AE181)</f>
        <v>4046.7</v>
      </c>
      <c r="AF182" s="70"/>
      <c r="AG182" s="71">
        <f>ABS(SUM(AG158:AG181))</f>
        <v>2337.7000000000003</v>
      </c>
      <c r="AH182" s="70"/>
      <c r="AI182" s="72">
        <f>ABS(SUM(AI158:AI181))</f>
        <v>1708.9999999999998</v>
      </c>
      <c r="AJ182" s="70"/>
      <c r="AK182" s="71">
        <f>ABS(SUM(AK158:AK181))</f>
        <v>1734.4</v>
      </c>
      <c r="AL182" s="70"/>
      <c r="AM182" s="72">
        <f>ABS(SUM(AM158:AM181))</f>
        <v>2312.2999999999997</v>
      </c>
      <c r="AN182" s="70"/>
      <c r="AO182" s="71">
        <f>ABS(SUM(AO158:AO181))</f>
        <v>1623.0999999999997</v>
      </c>
      <c r="AP182" s="70"/>
      <c r="AQ182" s="72">
        <f>ABS(SUM(AQ158:AQ181))</f>
        <v>2423.6</v>
      </c>
      <c r="AR182" s="70"/>
      <c r="AS182" s="71">
        <f>ABS(SUM(AS158:AS181))</f>
        <v>1704.6</v>
      </c>
      <c r="AT182" s="70"/>
      <c r="AU182" s="72">
        <f>ABS(SUM(AU158:AU181))</f>
        <v>2342.1</v>
      </c>
      <c r="AV182" s="70"/>
      <c r="AW182" s="71">
        <f>ABS(SUM(AW158:AW181))</f>
        <v>1350.2</v>
      </c>
      <c r="AX182" s="70"/>
      <c r="AY182" s="72">
        <f>ABS(SUM(AY158:AY181))</f>
        <v>1346.9999999999998</v>
      </c>
      <c r="AZ182" s="70"/>
      <c r="BA182" s="71">
        <f>ABS(SUM(BA158:BA181))</f>
        <v>1996.9999999999998</v>
      </c>
      <c r="BB182" s="70"/>
      <c r="BC182" s="72">
        <f>ABS(SUM(BC158:BC181))</f>
        <v>2049.6999999999998</v>
      </c>
    </row>
    <row r="184" spans="29:55" ht="15" thickBot="1">
      <c r="AD184" s="476">
        <f>skemA1!B11</f>
        <v>44715</v>
      </c>
    </row>
    <row r="185" spans="29:55" ht="15" thickBot="1">
      <c r="AD185" s="677" t="s">
        <v>75</v>
      </c>
      <c r="AE185" s="60" t="s">
        <v>558</v>
      </c>
      <c r="AF185" s="672" t="s">
        <v>559</v>
      </c>
      <c r="AG185" s="672"/>
      <c r="AH185" s="672"/>
      <c r="AI185" s="673"/>
      <c r="AJ185" s="672" t="s">
        <v>562</v>
      </c>
      <c r="AK185" s="672"/>
      <c r="AL185" s="672"/>
      <c r="AM185" s="673"/>
      <c r="AN185" s="672" t="s">
        <v>563</v>
      </c>
      <c r="AO185" s="672"/>
      <c r="AP185" s="672"/>
      <c r="AQ185" s="673"/>
      <c r="AR185" s="672" t="s">
        <v>564</v>
      </c>
      <c r="AS185" s="672"/>
      <c r="AT185" s="672"/>
      <c r="AU185" s="673"/>
      <c r="AV185" s="672" t="s">
        <v>565</v>
      </c>
      <c r="AW185" s="672"/>
      <c r="AX185" s="672"/>
      <c r="AY185" s="673"/>
      <c r="AZ185" s="672" t="s">
        <v>566</v>
      </c>
      <c r="BA185" s="672"/>
      <c r="BB185" s="672"/>
      <c r="BC185" s="673"/>
    </row>
    <row r="186" spans="29:55" ht="15" thickBot="1">
      <c r="AD186" s="677"/>
      <c r="AE186" s="61"/>
      <c r="AF186" s="674" t="s">
        <v>561</v>
      </c>
      <c r="AG186" s="670" t="s">
        <v>560</v>
      </c>
      <c r="AH186" s="670"/>
      <c r="AI186" s="671"/>
      <c r="AJ186" s="674" t="s">
        <v>561</v>
      </c>
      <c r="AK186" s="670" t="s">
        <v>560</v>
      </c>
      <c r="AL186" s="670"/>
      <c r="AM186" s="671"/>
      <c r="AN186" s="674" t="s">
        <v>561</v>
      </c>
      <c r="AO186" s="670" t="s">
        <v>560</v>
      </c>
      <c r="AP186" s="670"/>
      <c r="AQ186" s="671"/>
      <c r="AR186" s="674" t="s">
        <v>561</v>
      </c>
      <c r="AS186" s="670" t="s">
        <v>560</v>
      </c>
      <c r="AT186" s="670"/>
      <c r="AU186" s="671"/>
      <c r="AV186" s="674" t="s">
        <v>561</v>
      </c>
      <c r="AW186" s="670" t="s">
        <v>560</v>
      </c>
      <c r="AX186" s="670"/>
      <c r="AY186" s="671"/>
      <c r="AZ186" s="674" t="s">
        <v>561</v>
      </c>
      <c r="BA186" s="670" t="s">
        <v>560</v>
      </c>
      <c r="BB186" s="670"/>
      <c r="BC186" s="671"/>
    </row>
    <row r="187" spans="29:55">
      <c r="AD187" s="677"/>
      <c r="AE187" s="62"/>
      <c r="AF187" s="674"/>
      <c r="AG187" s="63" t="s">
        <v>76</v>
      </c>
      <c r="AH187" s="63">
        <v>0</v>
      </c>
      <c r="AI187" s="64" t="s">
        <v>77</v>
      </c>
      <c r="AJ187" s="674"/>
      <c r="AK187" s="63" t="s">
        <v>76</v>
      </c>
      <c r="AL187" s="63">
        <v>0</v>
      </c>
      <c r="AM187" s="64" t="s">
        <v>77</v>
      </c>
      <c r="AN187" s="674"/>
      <c r="AO187" s="63" t="s">
        <v>76</v>
      </c>
      <c r="AP187" s="63">
        <v>0</v>
      </c>
      <c r="AQ187" s="64" t="s">
        <v>77</v>
      </c>
      <c r="AR187" s="674"/>
      <c r="AS187" s="63" t="s">
        <v>76</v>
      </c>
      <c r="AT187" s="63">
        <v>0</v>
      </c>
      <c r="AU187" s="64" t="s">
        <v>77</v>
      </c>
      <c r="AV187" s="674"/>
      <c r="AW187" s="63" t="s">
        <v>76</v>
      </c>
      <c r="AX187" s="63">
        <v>0</v>
      </c>
      <c r="AY187" s="64" t="s">
        <v>77</v>
      </c>
      <c r="AZ187" s="674"/>
      <c r="BA187" s="63" t="s">
        <v>76</v>
      </c>
      <c r="BB187" s="63">
        <v>0</v>
      </c>
      <c r="BC187" s="64" t="s">
        <v>77</v>
      </c>
    </row>
    <row r="188" spans="29:55">
      <c r="AD188" s="65" t="str">
        <f t="array" ref="AD188:AD211">TRANSPOSE($C$5:$Z$5)</f>
        <v>00</v>
      </c>
      <c r="AE188" s="66">
        <f t="array" ref="AE188:AE211">TRANSPOSE(skemA1!$C$11:$Z$11)</f>
        <v>74</v>
      </c>
      <c r="AF188" s="66">
        <f t="array" ref="AF188:AF211">TRANSPOSE($C$6:$Z$6)</f>
        <v>-1</v>
      </c>
      <c r="AG188" s="66" t="str">
        <f>IF(AF188&gt;0,AF188*$AE188,"")</f>
        <v/>
      </c>
      <c r="AH188" s="66" t="str">
        <f>IF(AF188=0,AF188*$AE188,"")</f>
        <v/>
      </c>
      <c r="AI188" s="67">
        <f>IF(AF188&lt;0,AF188*$AE188,"")</f>
        <v>-74</v>
      </c>
      <c r="AJ188" s="66">
        <f t="array" ref="AJ188:AJ211">TRANSPOSE($C$7:$Z$7)</f>
        <v>-1</v>
      </c>
      <c r="AK188" s="66" t="str">
        <f>IF(AJ188&gt;0,AJ188*$AE188,"")</f>
        <v/>
      </c>
      <c r="AL188" s="66" t="str">
        <f>IF(AJ188=0,AJ188*$AE188,"")</f>
        <v/>
      </c>
      <c r="AM188" s="67">
        <f>IF(AJ188&lt;0,AJ188*$AE188,"")</f>
        <v>-74</v>
      </c>
      <c r="AN188" s="66">
        <f t="array" ref="AN188:AN211">TRANSPOSE($C$8:$Z$8)</f>
        <v>1</v>
      </c>
      <c r="AO188" s="66">
        <f>IF(AN188&gt;0,AN188*$AE188,"")</f>
        <v>74</v>
      </c>
      <c r="AP188" s="66" t="str">
        <f>IF(AN188=0,AN188*$AE188,"")</f>
        <v/>
      </c>
      <c r="AQ188" s="67" t="str">
        <f>IF(AN188&lt;0,AN188*$AE188,"")</f>
        <v/>
      </c>
      <c r="AR188" s="66">
        <f t="array" ref="AR188:AR211">TRANSPOSE($C$9:$Z$9)</f>
        <v>1</v>
      </c>
      <c r="AS188" s="66">
        <f>IF(AR188&gt;0,AR188*$AE188,"")</f>
        <v>74</v>
      </c>
      <c r="AT188" s="66" t="str">
        <f>IF(AR188=0,AR188*$AE188,"")</f>
        <v/>
      </c>
      <c r="AU188" s="67" t="str">
        <f>IF(AR188&lt;0,AR188*$AE188,"")</f>
        <v/>
      </c>
      <c r="AV188" s="66">
        <f t="array" ref="AV188:AV211">TRANSPOSE($C$10:$Z$10)</f>
        <v>1</v>
      </c>
      <c r="AW188" s="66">
        <f t="shared" ref="AW188:AW211" si="108">IF(AV188&gt;0,AV188*$AE188,"")</f>
        <v>74</v>
      </c>
      <c r="AX188" s="66" t="str">
        <f t="shared" ref="AX188:AX211" si="109">IF(AV188=0,AV188*$AE188,"")</f>
        <v/>
      </c>
      <c r="AY188" s="67" t="str">
        <f t="shared" ref="AY188:AY211" si="110">IF(AV188&lt;0,AV188*$AE188,"")</f>
        <v/>
      </c>
      <c r="AZ188" s="66">
        <f t="array" ref="AZ188:AZ211">TRANSPOSE($C$11:$Z$11)</f>
        <v>1</v>
      </c>
      <c r="BA188" s="66">
        <f t="shared" ref="BA188:BA211" si="111">IF(AZ188&gt;0,AZ188*$AE188,"")</f>
        <v>74</v>
      </c>
      <c r="BB188" s="66" t="str">
        <f t="shared" ref="BB188:BB211" si="112">IF(AZ188=0,AZ188*$AE188,"")</f>
        <v/>
      </c>
      <c r="BC188" s="67" t="str">
        <f t="shared" ref="BC188:BC211" si="113">IF(AZ188&lt;0,AZ188*$AE188,"")</f>
        <v/>
      </c>
    </row>
    <row r="189" spans="29:55">
      <c r="AD189" s="68" t="str">
        <v>01</v>
      </c>
      <c r="AE189" s="61">
        <v>75.400000000000006</v>
      </c>
      <c r="AF189" s="61">
        <v>-1</v>
      </c>
      <c r="AG189" s="66" t="str">
        <f t="shared" ref="AG189:AG211" si="114">IF(AF189&gt;0,AF189*$AE189,"")</f>
        <v/>
      </c>
      <c r="AH189" s="66" t="str">
        <f t="shared" ref="AH189:AH211" si="115">IF(AF189=0,AF189*$AE189,"")</f>
        <v/>
      </c>
      <c r="AI189" s="67">
        <f t="shared" ref="AI189:AI211" si="116">IF(AF189&lt;0,AF189*$AE189,"")</f>
        <v>-75.400000000000006</v>
      </c>
      <c r="AJ189" s="61">
        <v>-1</v>
      </c>
      <c r="AK189" s="66" t="str">
        <f t="shared" ref="AK189:AK211" si="117">IF(AJ189&gt;0,AJ189*$AE189,"")</f>
        <v/>
      </c>
      <c r="AL189" s="66" t="str">
        <f t="shared" ref="AL189:AL211" si="118">IF(AJ189=0,AJ189*$AE189,"")</f>
        <v/>
      </c>
      <c r="AM189" s="67">
        <f t="shared" ref="AM189:AM211" si="119">IF(AJ189&lt;0,AJ189*$AE189,"")</f>
        <v>-75.400000000000006</v>
      </c>
      <c r="AN189" s="61">
        <v>1</v>
      </c>
      <c r="AO189" s="66">
        <f t="shared" ref="AO189:AO211" si="120">IF(AN189&gt;0,AN189*$AE189,"")</f>
        <v>75.400000000000006</v>
      </c>
      <c r="AP189" s="66" t="str">
        <f t="shared" ref="AP189:AP211" si="121">IF(AN189=0,AN189*$AE189,"")</f>
        <v/>
      </c>
      <c r="AQ189" s="67" t="str">
        <f t="shared" ref="AQ189:AQ211" si="122">IF(AN189&lt;0,AN189*$AE189,"")</f>
        <v/>
      </c>
      <c r="AR189" s="61">
        <v>1</v>
      </c>
      <c r="AS189" s="66">
        <f t="shared" ref="AS189:AS211" si="123">IF(AR189&gt;0,AR189*$AE189,"")</f>
        <v>75.400000000000006</v>
      </c>
      <c r="AT189" s="66" t="str">
        <f t="shared" ref="AT189:AT211" si="124">IF(AR189=0,AR189*$AE189,"")</f>
        <v/>
      </c>
      <c r="AU189" s="67" t="str">
        <f t="shared" ref="AU189:AU211" si="125">IF(AR189&lt;0,AR189*$AE189,"")</f>
        <v/>
      </c>
      <c r="AV189" s="61">
        <v>0</v>
      </c>
      <c r="AW189" s="66" t="str">
        <f t="shared" si="108"/>
        <v/>
      </c>
      <c r="AX189" s="66">
        <f t="shared" si="109"/>
        <v>0</v>
      </c>
      <c r="AY189" s="67" t="str">
        <f t="shared" si="110"/>
        <v/>
      </c>
      <c r="AZ189" s="61">
        <v>1</v>
      </c>
      <c r="BA189" s="66">
        <f t="shared" si="111"/>
        <v>75.400000000000006</v>
      </c>
      <c r="BB189" s="66" t="str">
        <f t="shared" si="112"/>
        <v/>
      </c>
      <c r="BC189" s="67" t="str">
        <f t="shared" si="113"/>
        <v/>
      </c>
    </row>
    <row r="190" spans="29:55">
      <c r="AD190" s="68" t="str">
        <v>02</v>
      </c>
      <c r="AE190" s="61">
        <v>94.699999999999989</v>
      </c>
      <c r="AF190" s="61">
        <v>-1</v>
      </c>
      <c r="AG190" s="66" t="str">
        <f t="shared" si="114"/>
        <v/>
      </c>
      <c r="AH190" s="66" t="str">
        <f t="shared" si="115"/>
        <v/>
      </c>
      <c r="AI190" s="67">
        <f t="shared" si="116"/>
        <v>-94.699999999999989</v>
      </c>
      <c r="AJ190" s="61">
        <v>-1</v>
      </c>
      <c r="AK190" s="66" t="str">
        <f t="shared" si="117"/>
        <v/>
      </c>
      <c r="AL190" s="66" t="str">
        <f t="shared" si="118"/>
        <v/>
      </c>
      <c r="AM190" s="67">
        <f t="shared" si="119"/>
        <v>-94.699999999999989</v>
      </c>
      <c r="AN190" s="61">
        <v>1</v>
      </c>
      <c r="AO190" s="66">
        <f t="shared" si="120"/>
        <v>94.699999999999989</v>
      </c>
      <c r="AP190" s="66" t="str">
        <f t="shared" si="121"/>
        <v/>
      </c>
      <c r="AQ190" s="67" t="str">
        <f t="shared" si="122"/>
        <v/>
      </c>
      <c r="AR190" s="61">
        <v>1</v>
      </c>
      <c r="AS190" s="66">
        <f t="shared" si="123"/>
        <v>94.699999999999989</v>
      </c>
      <c r="AT190" s="66" t="str">
        <f t="shared" si="124"/>
        <v/>
      </c>
      <c r="AU190" s="67" t="str">
        <f t="shared" si="125"/>
        <v/>
      </c>
      <c r="AV190" s="61">
        <v>-1</v>
      </c>
      <c r="AW190" s="66" t="str">
        <f t="shared" si="108"/>
        <v/>
      </c>
      <c r="AX190" s="66" t="str">
        <f t="shared" si="109"/>
        <v/>
      </c>
      <c r="AY190" s="67">
        <f t="shared" si="110"/>
        <v>-94.699999999999989</v>
      </c>
      <c r="AZ190" s="61">
        <v>1</v>
      </c>
      <c r="BA190" s="66">
        <f t="shared" si="111"/>
        <v>94.699999999999989</v>
      </c>
      <c r="BB190" s="66" t="str">
        <f t="shared" si="112"/>
        <v/>
      </c>
      <c r="BC190" s="67" t="str">
        <f t="shared" si="113"/>
        <v/>
      </c>
    </row>
    <row r="191" spans="29:55">
      <c r="AD191" s="68" t="str">
        <v>03</v>
      </c>
      <c r="AE191" s="61">
        <v>130.5</v>
      </c>
      <c r="AF191" s="61">
        <v>-1</v>
      </c>
      <c r="AG191" s="66" t="str">
        <f t="shared" si="114"/>
        <v/>
      </c>
      <c r="AH191" s="66" t="str">
        <f t="shared" si="115"/>
        <v/>
      </c>
      <c r="AI191" s="67">
        <f t="shared" si="116"/>
        <v>-130.5</v>
      </c>
      <c r="AJ191" s="61">
        <v>-1</v>
      </c>
      <c r="AK191" s="66" t="str">
        <f t="shared" si="117"/>
        <v/>
      </c>
      <c r="AL191" s="66" t="str">
        <f t="shared" si="118"/>
        <v/>
      </c>
      <c r="AM191" s="67">
        <f t="shared" si="119"/>
        <v>-130.5</v>
      </c>
      <c r="AN191" s="61">
        <v>-1</v>
      </c>
      <c r="AO191" s="66" t="str">
        <f t="shared" si="120"/>
        <v/>
      </c>
      <c r="AP191" s="66" t="str">
        <f t="shared" si="121"/>
        <v/>
      </c>
      <c r="AQ191" s="67">
        <f t="shared" si="122"/>
        <v>-130.5</v>
      </c>
      <c r="AR191" s="61">
        <v>1</v>
      </c>
      <c r="AS191" s="66">
        <f t="shared" si="123"/>
        <v>130.5</v>
      </c>
      <c r="AT191" s="66" t="str">
        <f t="shared" si="124"/>
        <v/>
      </c>
      <c r="AU191" s="67" t="str">
        <f t="shared" si="125"/>
        <v/>
      </c>
      <c r="AV191" s="61">
        <v>-1</v>
      </c>
      <c r="AW191" s="66" t="str">
        <f t="shared" si="108"/>
        <v/>
      </c>
      <c r="AX191" s="66" t="str">
        <f t="shared" si="109"/>
        <v/>
      </c>
      <c r="AY191" s="67">
        <f t="shared" si="110"/>
        <v>-130.5</v>
      </c>
      <c r="AZ191" s="61">
        <v>-1</v>
      </c>
      <c r="BA191" s="66" t="str">
        <f t="shared" si="111"/>
        <v/>
      </c>
      <c r="BB191" s="66" t="str">
        <f t="shared" si="112"/>
        <v/>
      </c>
      <c r="BC191" s="67">
        <f t="shared" si="113"/>
        <v>-130.5</v>
      </c>
    </row>
    <row r="192" spans="29:55">
      <c r="AD192" s="68" t="str">
        <v>04</v>
      </c>
      <c r="AE192" s="61">
        <v>175.4</v>
      </c>
      <c r="AF192" s="61">
        <v>-1</v>
      </c>
      <c r="AG192" s="66" t="str">
        <f t="shared" si="114"/>
        <v/>
      </c>
      <c r="AH192" s="66" t="str">
        <f t="shared" si="115"/>
        <v/>
      </c>
      <c r="AI192" s="67">
        <f t="shared" si="116"/>
        <v>-175.4</v>
      </c>
      <c r="AJ192" s="61">
        <v>-1</v>
      </c>
      <c r="AK192" s="66" t="str">
        <f t="shared" si="117"/>
        <v/>
      </c>
      <c r="AL192" s="66" t="str">
        <f t="shared" si="118"/>
        <v/>
      </c>
      <c r="AM192" s="67">
        <f t="shared" si="119"/>
        <v>-175.4</v>
      </c>
      <c r="AN192" s="61">
        <v>-1</v>
      </c>
      <c r="AO192" s="66" t="str">
        <f t="shared" si="120"/>
        <v/>
      </c>
      <c r="AP192" s="66" t="str">
        <f t="shared" si="121"/>
        <v/>
      </c>
      <c r="AQ192" s="67">
        <f t="shared" si="122"/>
        <v>-175.4</v>
      </c>
      <c r="AR192" s="61">
        <v>1</v>
      </c>
      <c r="AS192" s="66">
        <f t="shared" si="123"/>
        <v>175.4</v>
      </c>
      <c r="AT192" s="66" t="str">
        <f t="shared" si="124"/>
        <v/>
      </c>
      <c r="AU192" s="67" t="str">
        <f t="shared" si="125"/>
        <v/>
      </c>
      <c r="AV192" s="61">
        <v>0</v>
      </c>
      <c r="AW192" s="66" t="str">
        <f t="shared" si="108"/>
        <v/>
      </c>
      <c r="AX192" s="66">
        <f t="shared" si="109"/>
        <v>0</v>
      </c>
      <c r="AY192" s="67" t="str">
        <f t="shared" si="110"/>
        <v/>
      </c>
      <c r="AZ192" s="61">
        <v>-1</v>
      </c>
      <c r="BA192" s="66" t="str">
        <f t="shared" si="111"/>
        <v/>
      </c>
      <c r="BB192" s="66" t="str">
        <f t="shared" si="112"/>
        <v/>
      </c>
      <c r="BC192" s="67">
        <f t="shared" si="113"/>
        <v>-175.4</v>
      </c>
    </row>
    <row r="193" spans="30:55">
      <c r="AD193" s="68" t="str">
        <v>05</v>
      </c>
      <c r="AE193" s="61">
        <v>218.5</v>
      </c>
      <c r="AF193" s="61">
        <v>-1</v>
      </c>
      <c r="AG193" s="66" t="str">
        <f t="shared" si="114"/>
        <v/>
      </c>
      <c r="AH193" s="66" t="str">
        <f t="shared" si="115"/>
        <v/>
      </c>
      <c r="AI193" s="67">
        <f t="shared" si="116"/>
        <v>-218.5</v>
      </c>
      <c r="AJ193" s="61">
        <v>-1</v>
      </c>
      <c r="AK193" s="66" t="str">
        <f t="shared" si="117"/>
        <v/>
      </c>
      <c r="AL193" s="66" t="str">
        <f t="shared" si="118"/>
        <v/>
      </c>
      <c r="AM193" s="67">
        <f t="shared" si="119"/>
        <v>-218.5</v>
      </c>
      <c r="AN193" s="61">
        <v>-1</v>
      </c>
      <c r="AO193" s="66" t="str">
        <f t="shared" si="120"/>
        <v/>
      </c>
      <c r="AP193" s="66" t="str">
        <f t="shared" si="121"/>
        <v/>
      </c>
      <c r="AQ193" s="67">
        <f t="shared" si="122"/>
        <v>-218.5</v>
      </c>
      <c r="AR193" s="61">
        <v>1</v>
      </c>
      <c r="AS193" s="66">
        <f t="shared" si="123"/>
        <v>218.5</v>
      </c>
      <c r="AT193" s="66" t="str">
        <f t="shared" si="124"/>
        <v/>
      </c>
      <c r="AU193" s="67" t="str">
        <f t="shared" si="125"/>
        <v/>
      </c>
      <c r="AV193" s="61">
        <v>1</v>
      </c>
      <c r="AW193" s="66">
        <f t="shared" si="108"/>
        <v>218.5</v>
      </c>
      <c r="AX193" s="66" t="str">
        <f t="shared" si="109"/>
        <v/>
      </c>
      <c r="AY193" s="67" t="str">
        <f t="shared" si="110"/>
        <v/>
      </c>
      <c r="AZ193" s="61">
        <v>-1</v>
      </c>
      <c r="BA193" s="66" t="str">
        <f t="shared" si="111"/>
        <v/>
      </c>
      <c r="BB193" s="66" t="str">
        <f t="shared" si="112"/>
        <v/>
      </c>
      <c r="BC193" s="67">
        <f t="shared" si="113"/>
        <v>-218.5</v>
      </c>
    </row>
    <row r="194" spans="30:55">
      <c r="AD194" s="68" t="str">
        <v>06</v>
      </c>
      <c r="AE194" s="61">
        <v>254.70000000000002</v>
      </c>
      <c r="AF194" s="61">
        <v>1</v>
      </c>
      <c r="AG194" s="66">
        <f t="shared" si="114"/>
        <v>254.70000000000002</v>
      </c>
      <c r="AH194" s="66" t="str">
        <f t="shared" si="115"/>
        <v/>
      </c>
      <c r="AI194" s="67" t="str">
        <f t="shared" si="116"/>
        <v/>
      </c>
      <c r="AJ194" s="61">
        <v>-1</v>
      </c>
      <c r="AK194" s="66" t="str">
        <f t="shared" si="117"/>
        <v/>
      </c>
      <c r="AL194" s="66" t="str">
        <f t="shared" si="118"/>
        <v/>
      </c>
      <c r="AM194" s="67">
        <f t="shared" si="119"/>
        <v>-254.70000000000002</v>
      </c>
      <c r="AN194" s="61">
        <v>-1</v>
      </c>
      <c r="AO194" s="66" t="str">
        <f t="shared" si="120"/>
        <v/>
      </c>
      <c r="AP194" s="66" t="str">
        <f t="shared" si="121"/>
        <v/>
      </c>
      <c r="AQ194" s="67">
        <f t="shared" si="122"/>
        <v>-254.70000000000002</v>
      </c>
      <c r="AR194" s="61">
        <v>-1</v>
      </c>
      <c r="AS194" s="66" t="str">
        <f t="shared" si="123"/>
        <v/>
      </c>
      <c r="AT194" s="66" t="str">
        <f t="shared" si="124"/>
        <v/>
      </c>
      <c r="AU194" s="67">
        <f t="shared" si="125"/>
        <v>-254.70000000000002</v>
      </c>
      <c r="AV194" s="61">
        <v>1</v>
      </c>
      <c r="AW194" s="66">
        <f t="shared" si="108"/>
        <v>254.70000000000002</v>
      </c>
      <c r="AX194" s="66" t="str">
        <f t="shared" si="109"/>
        <v/>
      </c>
      <c r="AY194" s="67" t="str">
        <f t="shared" si="110"/>
        <v/>
      </c>
      <c r="AZ194" s="61">
        <v>1</v>
      </c>
      <c r="BA194" s="66">
        <f t="shared" si="111"/>
        <v>254.70000000000002</v>
      </c>
      <c r="BB194" s="66" t="str">
        <f t="shared" si="112"/>
        <v/>
      </c>
      <c r="BC194" s="67" t="str">
        <f t="shared" si="113"/>
        <v/>
      </c>
    </row>
    <row r="195" spans="30:55">
      <c r="AD195" s="68" t="str">
        <v>07</v>
      </c>
      <c r="AE195" s="61">
        <v>275.8</v>
      </c>
      <c r="AF195" s="61">
        <v>1</v>
      </c>
      <c r="AG195" s="66">
        <f t="shared" si="114"/>
        <v>275.8</v>
      </c>
      <c r="AH195" s="66" t="str">
        <f t="shared" si="115"/>
        <v/>
      </c>
      <c r="AI195" s="67" t="str">
        <f t="shared" si="116"/>
        <v/>
      </c>
      <c r="AJ195" s="61">
        <v>-1</v>
      </c>
      <c r="AK195" s="66" t="str">
        <f t="shared" si="117"/>
        <v/>
      </c>
      <c r="AL195" s="66" t="str">
        <f t="shared" si="118"/>
        <v/>
      </c>
      <c r="AM195" s="67">
        <f t="shared" si="119"/>
        <v>-275.8</v>
      </c>
      <c r="AN195" s="61">
        <v>-1</v>
      </c>
      <c r="AO195" s="66" t="str">
        <f t="shared" si="120"/>
        <v/>
      </c>
      <c r="AP195" s="66" t="str">
        <f t="shared" si="121"/>
        <v/>
      </c>
      <c r="AQ195" s="67">
        <f t="shared" si="122"/>
        <v>-275.8</v>
      </c>
      <c r="AR195" s="61">
        <v>-1</v>
      </c>
      <c r="AS195" s="66" t="str">
        <f t="shared" si="123"/>
        <v/>
      </c>
      <c r="AT195" s="66" t="str">
        <f t="shared" si="124"/>
        <v/>
      </c>
      <c r="AU195" s="67">
        <f t="shared" si="125"/>
        <v>-275.8</v>
      </c>
      <c r="AV195" s="61">
        <v>0</v>
      </c>
      <c r="AW195" s="66" t="str">
        <f t="shared" si="108"/>
        <v/>
      </c>
      <c r="AX195" s="66">
        <f t="shared" si="109"/>
        <v>0</v>
      </c>
      <c r="AY195" s="67" t="str">
        <f t="shared" si="110"/>
        <v/>
      </c>
      <c r="AZ195" s="61">
        <v>1</v>
      </c>
      <c r="BA195" s="66">
        <f t="shared" si="111"/>
        <v>275.8</v>
      </c>
      <c r="BB195" s="66" t="str">
        <f t="shared" si="112"/>
        <v/>
      </c>
      <c r="BC195" s="67" t="str">
        <f t="shared" si="113"/>
        <v/>
      </c>
    </row>
    <row r="196" spans="30:55">
      <c r="AD196" s="68" t="str">
        <v>08</v>
      </c>
      <c r="AE196" s="61">
        <v>277.3</v>
      </c>
      <c r="AF196" s="61">
        <v>1</v>
      </c>
      <c r="AG196" s="66">
        <f t="shared" si="114"/>
        <v>277.3</v>
      </c>
      <c r="AH196" s="66" t="str">
        <f t="shared" si="115"/>
        <v/>
      </c>
      <c r="AI196" s="67" t="str">
        <f t="shared" si="116"/>
        <v/>
      </c>
      <c r="AJ196" s="61">
        <v>-1</v>
      </c>
      <c r="AK196" s="66" t="str">
        <f t="shared" si="117"/>
        <v/>
      </c>
      <c r="AL196" s="66" t="str">
        <f t="shared" si="118"/>
        <v/>
      </c>
      <c r="AM196" s="67">
        <f t="shared" si="119"/>
        <v>-277.3</v>
      </c>
      <c r="AN196" s="61">
        <v>-1</v>
      </c>
      <c r="AO196" s="66" t="str">
        <f t="shared" si="120"/>
        <v/>
      </c>
      <c r="AP196" s="66" t="str">
        <f t="shared" si="121"/>
        <v/>
      </c>
      <c r="AQ196" s="67">
        <f t="shared" si="122"/>
        <v>-277.3</v>
      </c>
      <c r="AR196" s="61">
        <v>-1</v>
      </c>
      <c r="AS196" s="66" t="str">
        <f t="shared" si="123"/>
        <v/>
      </c>
      <c r="AT196" s="66" t="str">
        <f t="shared" si="124"/>
        <v/>
      </c>
      <c r="AU196" s="67">
        <f t="shared" si="125"/>
        <v>-277.3</v>
      </c>
      <c r="AV196" s="61">
        <v>-1</v>
      </c>
      <c r="AW196" s="66" t="str">
        <f t="shared" si="108"/>
        <v/>
      </c>
      <c r="AX196" s="66" t="str">
        <f t="shared" si="109"/>
        <v/>
      </c>
      <c r="AY196" s="67">
        <f t="shared" si="110"/>
        <v>-277.3</v>
      </c>
      <c r="AZ196" s="61">
        <v>1</v>
      </c>
      <c r="BA196" s="66">
        <f t="shared" si="111"/>
        <v>277.3</v>
      </c>
      <c r="BB196" s="66" t="str">
        <f t="shared" si="112"/>
        <v/>
      </c>
      <c r="BC196" s="67" t="str">
        <f t="shared" si="113"/>
        <v/>
      </c>
    </row>
    <row r="197" spans="30:55">
      <c r="AD197" s="68" t="str">
        <v>09</v>
      </c>
      <c r="AE197" s="61">
        <v>259.8</v>
      </c>
      <c r="AF197" s="61">
        <v>1</v>
      </c>
      <c r="AG197" s="66">
        <f t="shared" si="114"/>
        <v>259.8</v>
      </c>
      <c r="AH197" s="66" t="str">
        <f t="shared" si="115"/>
        <v/>
      </c>
      <c r="AI197" s="67" t="str">
        <f t="shared" si="116"/>
        <v/>
      </c>
      <c r="AJ197" s="61">
        <v>-1</v>
      </c>
      <c r="AK197" s="66" t="str">
        <f t="shared" si="117"/>
        <v/>
      </c>
      <c r="AL197" s="66" t="str">
        <f t="shared" si="118"/>
        <v/>
      </c>
      <c r="AM197" s="67">
        <f t="shared" si="119"/>
        <v>-259.8</v>
      </c>
      <c r="AN197" s="61">
        <v>1</v>
      </c>
      <c r="AO197" s="66">
        <f t="shared" si="120"/>
        <v>259.8</v>
      </c>
      <c r="AP197" s="66" t="str">
        <f t="shared" si="121"/>
        <v/>
      </c>
      <c r="AQ197" s="67" t="str">
        <f t="shared" si="122"/>
        <v/>
      </c>
      <c r="AR197" s="61">
        <v>-1</v>
      </c>
      <c r="AS197" s="66" t="str">
        <f t="shared" si="123"/>
        <v/>
      </c>
      <c r="AT197" s="66" t="str">
        <f t="shared" si="124"/>
        <v/>
      </c>
      <c r="AU197" s="67">
        <f t="shared" si="125"/>
        <v>-259.8</v>
      </c>
      <c r="AV197" s="61">
        <v>-1</v>
      </c>
      <c r="AW197" s="66" t="str">
        <f t="shared" si="108"/>
        <v/>
      </c>
      <c r="AX197" s="66" t="str">
        <f t="shared" si="109"/>
        <v/>
      </c>
      <c r="AY197" s="67">
        <f t="shared" si="110"/>
        <v>-259.8</v>
      </c>
      <c r="AZ197" s="61">
        <v>-1</v>
      </c>
      <c r="BA197" s="66" t="str">
        <f t="shared" si="111"/>
        <v/>
      </c>
      <c r="BB197" s="66" t="str">
        <f t="shared" si="112"/>
        <v/>
      </c>
      <c r="BC197" s="67">
        <f t="shared" si="113"/>
        <v>-259.8</v>
      </c>
    </row>
    <row r="198" spans="30:55">
      <c r="AD198" s="68" t="str">
        <v>10</v>
      </c>
      <c r="AE198" s="61">
        <v>227.8</v>
      </c>
      <c r="AF198" s="61">
        <v>1</v>
      </c>
      <c r="AG198" s="66">
        <f t="shared" si="114"/>
        <v>227.8</v>
      </c>
      <c r="AH198" s="66" t="str">
        <f t="shared" si="115"/>
        <v/>
      </c>
      <c r="AI198" s="67" t="str">
        <f t="shared" si="116"/>
        <v/>
      </c>
      <c r="AJ198" s="61">
        <v>-1</v>
      </c>
      <c r="AK198" s="66" t="str">
        <f t="shared" si="117"/>
        <v/>
      </c>
      <c r="AL198" s="66" t="str">
        <f t="shared" si="118"/>
        <v/>
      </c>
      <c r="AM198" s="67">
        <f t="shared" si="119"/>
        <v>-227.8</v>
      </c>
      <c r="AN198" s="61">
        <v>1</v>
      </c>
      <c r="AO198" s="66">
        <f t="shared" si="120"/>
        <v>227.8</v>
      </c>
      <c r="AP198" s="66" t="str">
        <f t="shared" si="121"/>
        <v/>
      </c>
      <c r="AQ198" s="67" t="str">
        <f t="shared" si="122"/>
        <v/>
      </c>
      <c r="AR198" s="61">
        <v>-1</v>
      </c>
      <c r="AS198" s="66" t="str">
        <f t="shared" si="123"/>
        <v/>
      </c>
      <c r="AT198" s="66" t="str">
        <f t="shared" si="124"/>
        <v/>
      </c>
      <c r="AU198" s="67">
        <f t="shared" si="125"/>
        <v>-227.8</v>
      </c>
      <c r="AV198" s="61">
        <v>0</v>
      </c>
      <c r="AW198" s="66" t="str">
        <f t="shared" si="108"/>
        <v/>
      </c>
      <c r="AX198" s="66">
        <f t="shared" si="109"/>
        <v>0</v>
      </c>
      <c r="AY198" s="67" t="str">
        <f t="shared" si="110"/>
        <v/>
      </c>
      <c r="AZ198" s="61">
        <v>-1</v>
      </c>
      <c r="BA198" s="66" t="str">
        <f t="shared" si="111"/>
        <v/>
      </c>
      <c r="BB198" s="66" t="str">
        <f t="shared" si="112"/>
        <v/>
      </c>
      <c r="BC198" s="67">
        <f t="shared" si="113"/>
        <v>-227.8</v>
      </c>
    </row>
    <row r="199" spans="30:55">
      <c r="AD199" s="68" t="str">
        <v>11</v>
      </c>
      <c r="AE199" s="61">
        <v>188.7</v>
      </c>
      <c r="AF199" s="61">
        <v>1</v>
      </c>
      <c r="AG199" s="66">
        <f t="shared" si="114"/>
        <v>188.7</v>
      </c>
      <c r="AH199" s="66" t="str">
        <f t="shared" si="115"/>
        <v/>
      </c>
      <c r="AI199" s="67" t="str">
        <f t="shared" si="116"/>
        <v/>
      </c>
      <c r="AJ199" s="61">
        <v>-1</v>
      </c>
      <c r="AK199" s="66" t="str">
        <f t="shared" si="117"/>
        <v/>
      </c>
      <c r="AL199" s="66" t="str">
        <f t="shared" si="118"/>
        <v/>
      </c>
      <c r="AM199" s="67">
        <f t="shared" si="119"/>
        <v>-188.7</v>
      </c>
      <c r="AN199" s="61">
        <v>1</v>
      </c>
      <c r="AO199" s="66">
        <f t="shared" si="120"/>
        <v>188.7</v>
      </c>
      <c r="AP199" s="66" t="str">
        <f t="shared" si="121"/>
        <v/>
      </c>
      <c r="AQ199" s="67" t="str">
        <f t="shared" si="122"/>
        <v/>
      </c>
      <c r="AR199" s="61">
        <v>-1</v>
      </c>
      <c r="AS199" s="66" t="str">
        <f t="shared" si="123"/>
        <v/>
      </c>
      <c r="AT199" s="66" t="str">
        <f t="shared" si="124"/>
        <v/>
      </c>
      <c r="AU199" s="67">
        <f t="shared" si="125"/>
        <v>-188.7</v>
      </c>
      <c r="AV199" s="61">
        <v>1</v>
      </c>
      <c r="AW199" s="66">
        <f t="shared" si="108"/>
        <v>188.7</v>
      </c>
      <c r="AX199" s="66" t="str">
        <f t="shared" si="109"/>
        <v/>
      </c>
      <c r="AY199" s="67" t="str">
        <f t="shared" si="110"/>
        <v/>
      </c>
      <c r="AZ199" s="61">
        <v>-1</v>
      </c>
      <c r="BA199" s="66" t="str">
        <f t="shared" si="111"/>
        <v/>
      </c>
      <c r="BB199" s="66" t="str">
        <f t="shared" si="112"/>
        <v/>
      </c>
      <c r="BC199" s="67">
        <f t="shared" si="113"/>
        <v>-188.7</v>
      </c>
    </row>
    <row r="200" spans="30:55">
      <c r="AD200" s="68" t="str">
        <v>12</v>
      </c>
      <c r="AE200" s="61">
        <v>156.20000000000002</v>
      </c>
      <c r="AF200" s="61">
        <v>1</v>
      </c>
      <c r="AG200" s="66">
        <f t="shared" si="114"/>
        <v>156.20000000000002</v>
      </c>
      <c r="AH200" s="66" t="str">
        <f t="shared" si="115"/>
        <v/>
      </c>
      <c r="AI200" s="67" t="str">
        <f t="shared" si="116"/>
        <v/>
      </c>
      <c r="AJ200" s="61">
        <v>1</v>
      </c>
      <c r="AK200" s="66">
        <f t="shared" si="117"/>
        <v>156.20000000000002</v>
      </c>
      <c r="AL200" s="66" t="str">
        <f t="shared" si="118"/>
        <v/>
      </c>
      <c r="AM200" s="67" t="str">
        <f t="shared" si="119"/>
        <v/>
      </c>
      <c r="AN200" s="61">
        <v>1</v>
      </c>
      <c r="AO200" s="66">
        <f t="shared" si="120"/>
        <v>156.20000000000002</v>
      </c>
      <c r="AP200" s="66" t="str">
        <f t="shared" si="121"/>
        <v/>
      </c>
      <c r="AQ200" s="67" t="str">
        <f t="shared" si="122"/>
        <v/>
      </c>
      <c r="AR200" s="61">
        <v>1</v>
      </c>
      <c r="AS200" s="66">
        <f t="shared" si="123"/>
        <v>156.20000000000002</v>
      </c>
      <c r="AT200" s="66" t="str">
        <f t="shared" si="124"/>
        <v/>
      </c>
      <c r="AU200" s="67" t="str">
        <f t="shared" si="125"/>
        <v/>
      </c>
      <c r="AV200" s="61">
        <v>1</v>
      </c>
      <c r="AW200" s="66">
        <f t="shared" si="108"/>
        <v>156.20000000000002</v>
      </c>
      <c r="AX200" s="66" t="str">
        <f t="shared" si="109"/>
        <v/>
      </c>
      <c r="AY200" s="67" t="str">
        <f t="shared" si="110"/>
        <v/>
      </c>
      <c r="AZ200" s="61">
        <v>1</v>
      </c>
      <c r="BA200" s="66">
        <f t="shared" si="111"/>
        <v>156.20000000000002</v>
      </c>
      <c r="BB200" s="66" t="str">
        <f t="shared" si="112"/>
        <v/>
      </c>
      <c r="BC200" s="67" t="str">
        <f t="shared" si="113"/>
        <v/>
      </c>
    </row>
    <row r="201" spans="30:55">
      <c r="AD201" s="68" t="str">
        <v>13</v>
      </c>
      <c r="AE201" s="61">
        <v>134.9</v>
      </c>
      <c r="AF201" s="61">
        <v>1</v>
      </c>
      <c r="AG201" s="66">
        <f t="shared" si="114"/>
        <v>134.9</v>
      </c>
      <c r="AH201" s="66" t="str">
        <f t="shared" si="115"/>
        <v/>
      </c>
      <c r="AI201" s="67" t="str">
        <f t="shared" si="116"/>
        <v/>
      </c>
      <c r="AJ201" s="61">
        <v>1</v>
      </c>
      <c r="AK201" s="66">
        <f t="shared" si="117"/>
        <v>134.9</v>
      </c>
      <c r="AL201" s="66" t="str">
        <f t="shared" si="118"/>
        <v/>
      </c>
      <c r="AM201" s="67" t="str">
        <f t="shared" si="119"/>
        <v/>
      </c>
      <c r="AN201" s="61">
        <v>1</v>
      </c>
      <c r="AO201" s="66">
        <f t="shared" si="120"/>
        <v>134.9</v>
      </c>
      <c r="AP201" s="66" t="str">
        <f t="shared" si="121"/>
        <v/>
      </c>
      <c r="AQ201" s="67" t="str">
        <f t="shared" si="122"/>
        <v/>
      </c>
      <c r="AR201" s="61">
        <v>1</v>
      </c>
      <c r="AS201" s="66">
        <f t="shared" si="123"/>
        <v>134.9</v>
      </c>
      <c r="AT201" s="66" t="str">
        <f t="shared" si="124"/>
        <v/>
      </c>
      <c r="AU201" s="67" t="str">
        <f t="shared" si="125"/>
        <v/>
      </c>
      <c r="AV201" s="61">
        <v>0</v>
      </c>
      <c r="AW201" s="66" t="str">
        <f t="shared" si="108"/>
        <v/>
      </c>
      <c r="AX201" s="66">
        <f t="shared" si="109"/>
        <v>0</v>
      </c>
      <c r="AY201" s="67" t="str">
        <f t="shared" si="110"/>
        <v/>
      </c>
      <c r="AZ201" s="61">
        <v>1</v>
      </c>
      <c r="BA201" s="66">
        <f t="shared" si="111"/>
        <v>134.9</v>
      </c>
      <c r="BB201" s="66" t="str">
        <f t="shared" si="112"/>
        <v/>
      </c>
      <c r="BC201" s="67" t="str">
        <f t="shared" si="113"/>
        <v/>
      </c>
    </row>
    <row r="202" spans="30:55">
      <c r="AD202" s="68" t="str">
        <v>14</v>
      </c>
      <c r="AE202" s="61">
        <v>128</v>
      </c>
      <c r="AF202" s="61">
        <v>1</v>
      </c>
      <c r="AG202" s="66">
        <f t="shared" si="114"/>
        <v>128</v>
      </c>
      <c r="AH202" s="66" t="str">
        <f t="shared" si="115"/>
        <v/>
      </c>
      <c r="AI202" s="67" t="str">
        <f t="shared" si="116"/>
        <v/>
      </c>
      <c r="AJ202" s="61">
        <v>1</v>
      </c>
      <c r="AK202" s="66">
        <f t="shared" si="117"/>
        <v>128</v>
      </c>
      <c r="AL202" s="66" t="str">
        <f t="shared" si="118"/>
        <v/>
      </c>
      <c r="AM202" s="67" t="str">
        <f t="shared" si="119"/>
        <v/>
      </c>
      <c r="AN202" s="61">
        <v>1</v>
      </c>
      <c r="AO202" s="66">
        <f t="shared" si="120"/>
        <v>128</v>
      </c>
      <c r="AP202" s="66" t="str">
        <f t="shared" si="121"/>
        <v/>
      </c>
      <c r="AQ202" s="67" t="str">
        <f t="shared" si="122"/>
        <v/>
      </c>
      <c r="AR202" s="61">
        <v>1</v>
      </c>
      <c r="AS202" s="66">
        <f t="shared" si="123"/>
        <v>128</v>
      </c>
      <c r="AT202" s="66" t="str">
        <f t="shared" si="124"/>
        <v/>
      </c>
      <c r="AU202" s="67" t="str">
        <f t="shared" si="125"/>
        <v/>
      </c>
      <c r="AV202" s="61">
        <v>-1</v>
      </c>
      <c r="AW202" s="66" t="str">
        <f t="shared" si="108"/>
        <v/>
      </c>
      <c r="AX202" s="66" t="str">
        <f t="shared" si="109"/>
        <v/>
      </c>
      <c r="AY202" s="67">
        <f t="shared" si="110"/>
        <v>-128</v>
      </c>
      <c r="AZ202" s="61">
        <v>1</v>
      </c>
      <c r="BA202" s="66">
        <f t="shared" si="111"/>
        <v>128</v>
      </c>
      <c r="BB202" s="66" t="str">
        <f t="shared" si="112"/>
        <v/>
      </c>
      <c r="BC202" s="67" t="str">
        <f t="shared" si="113"/>
        <v/>
      </c>
    </row>
    <row r="203" spans="30:55">
      <c r="AD203" s="68" t="str">
        <v>15</v>
      </c>
      <c r="AE203" s="61">
        <v>135</v>
      </c>
      <c r="AF203" s="61">
        <v>1</v>
      </c>
      <c r="AG203" s="66">
        <f t="shared" si="114"/>
        <v>135</v>
      </c>
      <c r="AH203" s="66" t="str">
        <f t="shared" si="115"/>
        <v/>
      </c>
      <c r="AI203" s="67" t="str">
        <f t="shared" si="116"/>
        <v/>
      </c>
      <c r="AJ203" s="61">
        <v>1</v>
      </c>
      <c r="AK203" s="66">
        <f t="shared" si="117"/>
        <v>135</v>
      </c>
      <c r="AL203" s="66" t="str">
        <f t="shared" si="118"/>
        <v/>
      </c>
      <c r="AM203" s="67" t="str">
        <f t="shared" si="119"/>
        <v/>
      </c>
      <c r="AN203" s="61">
        <v>-1</v>
      </c>
      <c r="AO203" s="66" t="str">
        <f t="shared" si="120"/>
        <v/>
      </c>
      <c r="AP203" s="66" t="str">
        <f t="shared" si="121"/>
        <v/>
      </c>
      <c r="AQ203" s="67">
        <f t="shared" si="122"/>
        <v>-135</v>
      </c>
      <c r="AR203" s="61">
        <v>1</v>
      </c>
      <c r="AS203" s="66">
        <f t="shared" si="123"/>
        <v>135</v>
      </c>
      <c r="AT203" s="66" t="str">
        <f t="shared" si="124"/>
        <v/>
      </c>
      <c r="AU203" s="67" t="str">
        <f t="shared" si="125"/>
        <v/>
      </c>
      <c r="AV203" s="61">
        <v>-1</v>
      </c>
      <c r="AW203" s="66" t="str">
        <f t="shared" si="108"/>
        <v/>
      </c>
      <c r="AX203" s="66" t="str">
        <f t="shared" si="109"/>
        <v/>
      </c>
      <c r="AY203" s="67">
        <f t="shared" si="110"/>
        <v>-135</v>
      </c>
      <c r="AZ203" s="61">
        <v>-1</v>
      </c>
      <c r="BA203" s="66" t="str">
        <f t="shared" si="111"/>
        <v/>
      </c>
      <c r="BB203" s="66" t="str">
        <f t="shared" si="112"/>
        <v/>
      </c>
      <c r="BC203" s="67">
        <f t="shared" si="113"/>
        <v>-135</v>
      </c>
    </row>
    <row r="204" spans="30:55">
      <c r="AD204" s="68" t="str">
        <v>16</v>
      </c>
      <c r="AE204" s="61">
        <v>152.69999999999999</v>
      </c>
      <c r="AF204" s="61">
        <v>1</v>
      </c>
      <c r="AG204" s="66">
        <f t="shared" si="114"/>
        <v>152.69999999999999</v>
      </c>
      <c r="AH204" s="66" t="str">
        <f t="shared" si="115"/>
        <v/>
      </c>
      <c r="AI204" s="67" t="str">
        <f t="shared" si="116"/>
        <v/>
      </c>
      <c r="AJ204" s="61">
        <v>1</v>
      </c>
      <c r="AK204" s="66">
        <f t="shared" si="117"/>
        <v>152.69999999999999</v>
      </c>
      <c r="AL204" s="66" t="str">
        <f t="shared" si="118"/>
        <v/>
      </c>
      <c r="AM204" s="67" t="str">
        <f t="shared" si="119"/>
        <v/>
      </c>
      <c r="AN204" s="61">
        <v>-1</v>
      </c>
      <c r="AO204" s="66" t="str">
        <f t="shared" si="120"/>
        <v/>
      </c>
      <c r="AP204" s="66" t="str">
        <f t="shared" si="121"/>
        <v/>
      </c>
      <c r="AQ204" s="67">
        <f t="shared" si="122"/>
        <v>-152.69999999999999</v>
      </c>
      <c r="AR204" s="61">
        <v>1</v>
      </c>
      <c r="AS204" s="66">
        <f t="shared" si="123"/>
        <v>152.69999999999999</v>
      </c>
      <c r="AT204" s="66" t="str">
        <f t="shared" si="124"/>
        <v/>
      </c>
      <c r="AU204" s="67" t="str">
        <f t="shared" si="125"/>
        <v/>
      </c>
      <c r="AV204" s="61">
        <v>0</v>
      </c>
      <c r="AW204" s="66" t="str">
        <f t="shared" si="108"/>
        <v/>
      </c>
      <c r="AX204" s="66">
        <f t="shared" si="109"/>
        <v>0</v>
      </c>
      <c r="AY204" s="67" t="str">
        <f t="shared" si="110"/>
        <v/>
      </c>
      <c r="AZ204" s="61">
        <v>-1</v>
      </c>
      <c r="BA204" s="66" t="str">
        <f t="shared" si="111"/>
        <v/>
      </c>
      <c r="BB204" s="66" t="str">
        <f t="shared" si="112"/>
        <v/>
      </c>
      <c r="BC204" s="67">
        <f t="shared" si="113"/>
        <v>-152.69999999999999</v>
      </c>
    </row>
    <row r="205" spans="30:55">
      <c r="AD205" s="68" t="str">
        <v>17</v>
      </c>
      <c r="AE205" s="61">
        <v>168</v>
      </c>
      <c r="AF205" s="61">
        <v>1</v>
      </c>
      <c r="AG205" s="66">
        <f t="shared" si="114"/>
        <v>168</v>
      </c>
      <c r="AH205" s="66" t="str">
        <f t="shared" si="115"/>
        <v/>
      </c>
      <c r="AI205" s="67" t="str">
        <f t="shared" si="116"/>
        <v/>
      </c>
      <c r="AJ205" s="61">
        <v>1</v>
      </c>
      <c r="AK205" s="66">
        <f t="shared" si="117"/>
        <v>168</v>
      </c>
      <c r="AL205" s="66" t="str">
        <f t="shared" si="118"/>
        <v/>
      </c>
      <c r="AM205" s="67" t="str">
        <f t="shared" si="119"/>
        <v/>
      </c>
      <c r="AN205" s="61">
        <v>-1</v>
      </c>
      <c r="AO205" s="66" t="str">
        <f t="shared" si="120"/>
        <v/>
      </c>
      <c r="AP205" s="66" t="str">
        <f t="shared" si="121"/>
        <v/>
      </c>
      <c r="AQ205" s="67">
        <f t="shared" si="122"/>
        <v>-168</v>
      </c>
      <c r="AR205" s="61">
        <v>1</v>
      </c>
      <c r="AS205" s="66">
        <f t="shared" si="123"/>
        <v>168</v>
      </c>
      <c r="AT205" s="66" t="str">
        <f t="shared" si="124"/>
        <v/>
      </c>
      <c r="AU205" s="67" t="str">
        <f t="shared" si="125"/>
        <v/>
      </c>
      <c r="AV205" s="61">
        <v>1</v>
      </c>
      <c r="AW205" s="66">
        <f t="shared" si="108"/>
        <v>168</v>
      </c>
      <c r="AX205" s="66" t="str">
        <f t="shared" si="109"/>
        <v/>
      </c>
      <c r="AY205" s="67" t="str">
        <f t="shared" si="110"/>
        <v/>
      </c>
      <c r="AZ205" s="61">
        <v>-1</v>
      </c>
      <c r="BA205" s="66" t="str">
        <f t="shared" si="111"/>
        <v/>
      </c>
      <c r="BB205" s="66" t="str">
        <f t="shared" si="112"/>
        <v/>
      </c>
      <c r="BC205" s="67">
        <f t="shared" si="113"/>
        <v>-168</v>
      </c>
    </row>
    <row r="206" spans="30:55">
      <c r="AD206" s="68" t="str">
        <v>18</v>
      </c>
      <c r="AE206" s="61">
        <v>177.89999999999998</v>
      </c>
      <c r="AF206" s="61">
        <v>-1</v>
      </c>
      <c r="AG206" s="66" t="str">
        <f t="shared" si="114"/>
        <v/>
      </c>
      <c r="AH206" s="66" t="str">
        <f t="shared" si="115"/>
        <v/>
      </c>
      <c r="AI206" s="67">
        <f t="shared" si="116"/>
        <v>-177.89999999999998</v>
      </c>
      <c r="AJ206" s="61">
        <v>1</v>
      </c>
      <c r="AK206" s="66">
        <f t="shared" si="117"/>
        <v>177.89999999999998</v>
      </c>
      <c r="AL206" s="66" t="str">
        <f t="shared" si="118"/>
        <v/>
      </c>
      <c r="AM206" s="67" t="str">
        <f t="shared" si="119"/>
        <v/>
      </c>
      <c r="AN206" s="61">
        <v>-1</v>
      </c>
      <c r="AO206" s="66" t="str">
        <f t="shared" si="120"/>
        <v/>
      </c>
      <c r="AP206" s="66" t="str">
        <f t="shared" si="121"/>
        <v/>
      </c>
      <c r="AQ206" s="67">
        <f t="shared" si="122"/>
        <v>-177.89999999999998</v>
      </c>
      <c r="AR206" s="61">
        <v>-1</v>
      </c>
      <c r="AS206" s="66" t="str">
        <f t="shared" si="123"/>
        <v/>
      </c>
      <c r="AT206" s="66" t="str">
        <f t="shared" si="124"/>
        <v/>
      </c>
      <c r="AU206" s="67">
        <f t="shared" si="125"/>
        <v>-177.89999999999998</v>
      </c>
      <c r="AV206" s="61">
        <v>1</v>
      </c>
      <c r="AW206" s="66">
        <f t="shared" si="108"/>
        <v>177.89999999999998</v>
      </c>
      <c r="AX206" s="66" t="str">
        <f t="shared" si="109"/>
        <v/>
      </c>
      <c r="AY206" s="67" t="str">
        <f t="shared" si="110"/>
        <v/>
      </c>
      <c r="AZ206" s="61">
        <v>1</v>
      </c>
      <c r="BA206" s="66">
        <f t="shared" si="111"/>
        <v>177.89999999999998</v>
      </c>
      <c r="BB206" s="66" t="str">
        <f t="shared" si="112"/>
        <v/>
      </c>
      <c r="BC206" s="67" t="str">
        <f t="shared" si="113"/>
        <v/>
      </c>
    </row>
    <row r="207" spans="30:55">
      <c r="AD207" s="68" t="str">
        <v>19</v>
      </c>
      <c r="AE207" s="61">
        <v>176.6</v>
      </c>
      <c r="AF207" s="61">
        <v>-1</v>
      </c>
      <c r="AG207" s="66" t="str">
        <f t="shared" si="114"/>
        <v/>
      </c>
      <c r="AH207" s="66" t="str">
        <f t="shared" si="115"/>
        <v/>
      </c>
      <c r="AI207" s="67">
        <f t="shared" si="116"/>
        <v>-176.6</v>
      </c>
      <c r="AJ207" s="61">
        <v>1</v>
      </c>
      <c r="AK207" s="66">
        <f t="shared" si="117"/>
        <v>176.6</v>
      </c>
      <c r="AL207" s="66" t="str">
        <f t="shared" si="118"/>
        <v/>
      </c>
      <c r="AM207" s="67" t="str">
        <f t="shared" si="119"/>
        <v/>
      </c>
      <c r="AN207" s="61">
        <v>-1</v>
      </c>
      <c r="AO207" s="66" t="str">
        <f t="shared" si="120"/>
        <v/>
      </c>
      <c r="AP207" s="66" t="str">
        <f t="shared" si="121"/>
        <v/>
      </c>
      <c r="AQ207" s="67">
        <f t="shared" si="122"/>
        <v>-176.6</v>
      </c>
      <c r="AR207" s="61">
        <v>-1</v>
      </c>
      <c r="AS207" s="66" t="str">
        <f t="shared" si="123"/>
        <v/>
      </c>
      <c r="AT207" s="66" t="str">
        <f t="shared" si="124"/>
        <v/>
      </c>
      <c r="AU207" s="67">
        <f t="shared" si="125"/>
        <v>-176.6</v>
      </c>
      <c r="AV207" s="61">
        <v>0</v>
      </c>
      <c r="AW207" s="66" t="str">
        <f t="shared" si="108"/>
        <v/>
      </c>
      <c r="AX207" s="66">
        <f t="shared" si="109"/>
        <v>0</v>
      </c>
      <c r="AY207" s="67" t="str">
        <f t="shared" si="110"/>
        <v/>
      </c>
      <c r="AZ207" s="61">
        <v>1</v>
      </c>
      <c r="BA207" s="66">
        <f t="shared" si="111"/>
        <v>176.6</v>
      </c>
      <c r="BB207" s="66" t="str">
        <f t="shared" si="112"/>
        <v/>
      </c>
      <c r="BC207" s="67" t="str">
        <f t="shared" si="113"/>
        <v/>
      </c>
    </row>
    <row r="208" spans="30:55">
      <c r="AD208" s="68" t="str">
        <v>20</v>
      </c>
      <c r="AE208" s="61">
        <v>168.3</v>
      </c>
      <c r="AF208" s="61">
        <v>-1</v>
      </c>
      <c r="AG208" s="66" t="str">
        <f t="shared" si="114"/>
        <v/>
      </c>
      <c r="AH208" s="66" t="str">
        <f t="shared" si="115"/>
        <v/>
      </c>
      <c r="AI208" s="67">
        <f t="shared" si="116"/>
        <v>-168.3</v>
      </c>
      <c r="AJ208" s="61">
        <v>1</v>
      </c>
      <c r="AK208" s="66">
        <f t="shared" si="117"/>
        <v>168.3</v>
      </c>
      <c r="AL208" s="66" t="str">
        <f t="shared" si="118"/>
        <v/>
      </c>
      <c r="AM208" s="67" t="str">
        <f t="shared" si="119"/>
        <v/>
      </c>
      <c r="AN208" s="61">
        <v>-1</v>
      </c>
      <c r="AO208" s="66" t="str">
        <f t="shared" si="120"/>
        <v/>
      </c>
      <c r="AP208" s="66" t="str">
        <f t="shared" si="121"/>
        <v/>
      </c>
      <c r="AQ208" s="67">
        <f t="shared" si="122"/>
        <v>-168.3</v>
      </c>
      <c r="AR208" s="61">
        <v>-1</v>
      </c>
      <c r="AS208" s="66" t="str">
        <f t="shared" si="123"/>
        <v/>
      </c>
      <c r="AT208" s="66" t="str">
        <f t="shared" si="124"/>
        <v/>
      </c>
      <c r="AU208" s="67">
        <f t="shared" si="125"/>
        <v>-168.3</v>
      </c>
      <c r="AV208" s="61">
        <v>-1</v>
      </c>
      <c r="AW208" s="66" t="str">
        <f t="shared" si="108"/>
        <v/>
      </c>
      <c r="AX208" s="66" t="str">
        <f t="shared" si="109"/>
        <v/>
      </c>
      <c r="AY208" s="67">
        <f t="shared" si="110"/>
        <v>-168.3</v>
      </c>
      <c r="AZ208" s="61">
        <v>1</v>
      </c>
      <c r="BA208" s="66">
        <f t="shared" si="111"/>
        <v>168.3</v>
      </c>
      <c r="BB208" s="66" t="str">
        <f t="shared" si="112"/>
        <v/>
      </c>
      <c r="BC208" s="67" t="str">
        <f t="shared" si="113"/>
        <v/>
      </c>
    </row>
    <row r="209" spans="29:55">
      <c r="AD209" s="68" t="str">
        <v>21</v>
      </c>
      <c r="AE209" s="61">
        <v>147.5</v>
      </c>
      <c r="AF209" s="61">
        <v>-1</v>
      </c>
      <c r="AG209" s="66" t="str">
        <f t="shared" si="114"/>
        <v/>
      </c>
      <c r="AH209" s="66" t="str">
        <f t="shared" si="115"/>
        <v/>
      </c>
      <c r="AI209" s="67">
        <f t="shared" si="116"/>
        <v>-147.5</v>
      </c>
      <c r="AJ209" s="61">
        <v>1</v>
      </c>
      <c r="AK209" s="66">
        <f t="shared" si="117"/>
        <v>147.5</v>
      </c>
      <c r="AL209" s="66" t="str">
        <f t="shared" si="118"/>
        <v/>
      </c>
      <c r="AM209" s="67" t="str">
        <f t="shared" si="119"/>
        <v/>
      </c>
      <c r="AN209" s="61">
        <v>1</v>
      </c>
      <c r="AO209" s="66">
        <f t="shared" si="120"/>
        <v>147.5</v>
      </c>
      <c r="AP209" s="66" t="str">
        <f t="shared" si="121"/>
        <v/>
      </c>
      <c r="AQ209" s="67" t="str">
        <f t="shared" si="122"/>
        <v/>
      </c>
      <c r="AR209" s="61">
        <v>-1</v>
      </c>
      <c r="AS209" s="66" t="str">
        <f t="shared" si="123"/>
        <v/>
      </c>
      <c r="AT209" s="66" t="str">
        <f t="shared" si="124"/>
        <v/>
      </c>
      <c r="AU209" s="67">
        <f t="shared" si="125"/>
        <v>-147.5</v>
      </c>
      <c r="AV209" s="61">
        <v>-1</v>
      </c>
      <c r="AW209" s="66" t="str">
        <f t="shared" si="108"/>
        <v/>
      </c>
      <c r="AX209" s="66" t="str">
        <f t="shared" si="109"/>
        <v/>
      </c>
      <c r="AY209" s="67">
        <f t="shared" si="110"/>
        <v>-147.5</v>
      </c>
      <c r="AZ209" s="61">
        <v>-1</v>
      </c>
      <c r="BA209" s="66" t="str">
        <f t="shared" si="111"/>
        <v/>
      </c>
      <c r="BB209" s="66" t="str">
        <f t="shared" si="112"/>
        <v/>
      </c>
      <c r="BC209" s="67">
        <f t="shared" si="113"/>
        <v>-147.5</v>
      </c>
    </row>
    <row r="210" spans="29:55">
      <c r="AD210" s="68" t="str">
        <v>22</v>
      </c>
      <c r="AE210" s="61">
        <v>126.29999999999998</v>
      </c>
      <c r="AF210" s="61">
        <v>-1</v>
      </c>
      <c r="AG210" s="66" t="str">
        <f t="shared" si="114"/>
        <v/>
      </c>
      <c r="AH210" s="66" t="str">
        <f t="shared" si="115"/>
        <v/>
      </c>
      <c r="AI210" s="67">
        <f t="shared" si="116"/>
        <v>-126.29999999999998</v>
      </c>
      <c r="AJ210" s="61">
        <v>1</v>
      </c>
      <c r="AK210" s="66">
        <f t="shared" si="117"/>
        <v>126.29999999999998</v>
      </c>
      <c r="AL210" s="66" t="str">
        <f t="shared" si="118"/>
        <v/>
      </c>
      <c r="AM210" s="67" t="str">
        <f t="shared" si="119"/>
        <v/>
      </c>
      <c r="AN210" s="61">
        <v>1</v>
      </c>
      <c r="AO210" s="66">
        <f t="shared" si="120"/>
        <v>126.29999999999998</v>
      </c>
      <c r="AP210" s="66" t="str">
        <f t="shared" si="121"/>
        <v/>
      </c>
      <c r="AQ210" s="67" t="str">
        <f t="shared" si="122"/>
        <v/>
      </c>
      <c r="AR210" s="61">
        <v>-1</v>
      </c>
      <c r="AS210" s="66" t="str">
        <f t="shared" si="123"/>
        <v/>
      </c>
      <c r="AT210" s="66" t="str">
        <f t="shared" si="124"/>
        <v/>
      </c>
      <c r="AU210" s="67">
        <f t="shared" si="125"/>
        <v>-126.29999999999998</v>
      </c>
      <c r="AV210" s="61">
        <v>0</v>
      </c>
      <c r="AW210" s="66" t="str">
        <f t="shared" si="108"/>
        <v/>
      </c>
      <c r="AX210" s="66">
        <f t="shared" si="109"/>
        <v>0</v>
      </c>
      <c r="AY210" s="67" t="str">
        <f t="shared" si="110"/>
        <v/>
      </c>
      <c r="AZ210" s="61">
        <v>-1</v>
      </c>
      <c r="BA210" s="66" t="str">
        <f t="shared" si="111"/>
        <v/>
      </c>
      <c r="BB210" s="66" t="str">
        <f t="shared" si="112"/>
        <v/>
      </c>
      <c r="BC210" s="67">
        <f t="shared" si="113"/>
        <v>-126.29999999999998</v>
      </c>
    </row>
    <row r="211" spans="29:55">
      <c r="AD211" s="68" t="str">
        <v>23</v>
      </c>
      <c r="AE211" s="61">
        <v>102.3</v>
      </c>
      <c r="AF211" s="61">
        <v>-1</v>
      </c>
      <c r="AG211" s="66" t="str">
        <f t="shared" si="114"/>
        <v/>
      </c>
      <c r="AH211" s="66" t="str">
        <f t="shared" si="115"/>
        <v/>
      </c>
      <c r="AI211" s="67">
        <f t="shared" si="116"/>
        <v>-102.3</v>
      </c>
      <c r="AJ211" s="61">
        <v>1</v>
      </c>
      <c r="AK211" s="66">
        <f t="shared" si="117"/>
        <v>102.3</v>
      </c>
      <c r="AL211" s="66" t="str">
        <f t="shared" si="118"/>
        <v/>
      </c>
      <c r="AM211" s="67" t="str">
        <f t="shared" si="119"/>
        <v/>
      </c>
      <c r="AN211" s="61">
        <v>1</v>
      </c>
      <c r="AO211" s="66">
        <f t="shared" si="120"/>
        <v>102.3</v>
      </c>
      <c r="AP211" s="66" t="str">
        <f t="shared" si="121"/>
        <v/>
      </c>
      <c r="AQ211" s="67" t="str">
        <f t="shared" si="122"/>
        <v/>
      </c>
      <c r="AR211" s="61">
        <v>-1</v>
      </c>
      <c r="AS211" s="66" t="str">
        <f t="shared" si="123"/>
        <v/>
      </c>
      <c r="AT211" s="66" t="str">
        <f t="shared" si="124"/>
        <v/>
      </c>
      <c r="AU211" s="67">
        <f t="shared" si="125"/>
        <v>-102.3</v>
      </c>
      <c r="AV211" s="61">
        <v>1</v>
      </c>
      <c r="AW211" s="66">
        <f t="shared" si="108"/>
        <v>102.3</v>
      </c>
      <c r="AX211" s="66" t="str">
        <f t="shared" si="109"/>
        <v/>
      </c>
      <c r="AY211" s="67" t="str">
        <f t="shared" si="110"/>
        <v/>
      </c>
      <c r="AZ211" s="61">
        <v>-1</v>
      </c>
      <c r="BA211" s="66" t="str">
        <f t="shared" si="111"/>
        <v/>
      </c>
      <c r="BB211" s="66" t="str">
        <f t="shared" si="112"/>
        <v/>
      </c>
      <c r="BC211" s="67">
        <f t="shared" si="113"/>
        <v>-102.3</v>
      </c>
    </row>
    <row r="212" spans="29:55" ht="15.75" thickBot="1">
      <c r="AC212" s="476">
        <f>AD184</f>
        <v>44715</v>
      </c>
      <c r="AD212" s="69" t="s">
        <v>85</v>
      </c>
      <c r="AE212" s="70">
        <f>SUM(AE188:AE211)</f>
        <v>4026.3</v>
      </c>
      <c r="AF212" s="70"/>
      <c r="AG212" s="71">
        <f>ABS(SUM(AG188:AG211))</f>
        <v>2358.9</v>
      </c>
      <c r="AH212" s="70"/>
      <c r="AI212" s="72">
        <f>ABS(SUM(AI188:AI211))</f>
        <v>1667.3999999999999</v>
      </c>
      <c r="AJ212" s="70"/>
      <c r="AK212" s="71">
        <f>ABS(SUM(AK188:AK211))</f>
        <v>1773.6999999999996</v>
      </c>
      <c r="AL212" s="70"/>
      <c r="AM212" s="72">
        <f>ABS(SUM(AM188:AM211))</f>
        <v>2252.6</v>
      </c>
      <c r="AN212" s="70"/>
      <c r="AO212" s="71">
        <f>ABS(SUM(AO188:AO211))</f>
        <v>1715.6000000000001</v>
      </c>
      <c r="AP212" s="70"/>
      <c r="AQ212" s="72">
        <f>ABS(SUM(AQ188:AQ211))</f>
        <v>2310.7000000000003</v>
      </c>
      <c r="AR212" s="70"/>
      <c r="AS212" s="71">
        <f>ABS(SUM(AS188:AS211))</f>
        <v>1643.3000000000002</v>
      </c>
      <c r="AT212" s="70"/>
      <c r="AU212" s="72">
        <f>ABS(SUM(AU188:AU211))</f>
        <v>2383</v>
      </c>
      <c r="AV212" s="70"/>
      <c r="AW212" s="71">
        <f>ABS(SUM(AW188:AW211))</f>
        <v>1340.3</v>
      </c>
      <c r="AX212" s="70"/>
      <c r="AY212" s="72">
        <f>ABS(SUM(AY188:AY211))</f>
        <v>1341.1</v>
      </c>
      <c r="AZ212" s="70"/>
      <c r="BA212" s="71">
        <f>ABS(SUM(BA188:BA211))</f>
        <v>1993.8</v>
      </c>
      <c r="BB212" s="70"/>
      <c r="BC212" s="72">
        <f>ABS(SUM(BC188:BC211))</f>
        <v>2032.5</v>
      </c>
    </row>
    <row r="214" spans="29:55" ht="15" thickBot="1">
      <c r="AD214" s="476">
        <f>skemA1!B12</f>
        <v>44716</v>
      </c>
    </row>
    <row r="215" spans="29:55" ht="15" thickBot="1">
      <c r="AD215" s="677" t="s">
        <v>75</v>
      </c>
      <c r="AE215" s="60" t="s">
        <v>558</v>
      </c>
      <c r="AF215" s="672" t="s">
        <v>559</v>
      </c>
      <c r="AG215" s="672"/>
      <c r="AH215" s="672"/>
      <c r="AI215" s="673"/>
      <c r="AJ215" s="672" t="s">
        <v>562</v>
      </c>
      <c r="AK215" s="672"/>
      <c r="AL215" s="672"/>
      <c r="AM215" s="673"/>
      <c r="AN215" s="672" t="s">
        <v>563</v>
      </c>
      <c r="AO215" s="672"/>
      <c r="AP215" s="672"/>
      <c r="AQ215" s="673"/>
      <c r="AR215" s="672" t="s">
        <v>564</v>
      </c>
      <c r="AS215" s="672"/>
      <c r="AT215" s="672"/>
      <c r="AU215" s="673"/>
      <c r="AV215" s="672" t="s">
        <v>565</v>
      </c>
      <c r="AW215" s="672"/>
      <c r="AX215" s="672"/>
      <c r="AY215" s="673"/>
      <c r="AZ215" s="672" t="s">
        <v>566</v>
      </c>
      <c r="BA215" s="672"/>
      <c r="BB215" s="672"/>
      <c r="BC215" s="673"/>
    </row>
    <row r="216" spans="29:55" ht="15" thickBot="1">
      <c r="AD216" s="677"/>
      <c r="AE216" s="61"/>
      <c r="AF216" s="674" t="s">
        <v>561</v>
      </c>
      <c r="AG216" s="670" t="s">
        <v>560</v>
      </c>
      <c r="AH216" s="670"/>
      <c r="AI216" s="671"/>
      <c r="AJ216" s="674" t="s">
        <v>561</v>
      </c>
      <c r="AK216" s="670" t="s">
        <v>560</v>
      </c>
      <c r="AL216" s="670"/>
      <c r="AM216" s="671"/>
      <c r="AN216" s="674" t="s">
        <v>561</v>
      </c>
      <c r="AO216" s="670" t="s">
        <v>560</v>
      </c>
      <c r="AP216" s="670"/>
      <c r="AQ216" s="671"/>
      <c r="AR216" s="674" t="s">
        <v>561</v>
      </c>
      <c r="AS216" s="670" t="s">
        <v>560</v>
      </c>
      <c r="AT216" s="670"/>
      <c r="AU216" s="671"/>
      <c r="AV216" s="674" t="s">
        <v>561</v>
      </c>
      <c r="AW216" s="670" t="s">
        <v>560</v>
      </c>
      <c r="AX216" s="670"/>
      <c r="AY216" s="671"/>
      <c r="AZ216" s="674" t="s">
        <v>561</v>
      </c>
      <c r="BA216" s="670" t="s">
        <v>560</v>
      </c>
      <c r="BB216" s="670"/>
      <c r="BC216" s="671"/>
    </row>
    <row r="217" spans="29:55">
      <c r="AD217" s="677"/>
      <c r="AE217" s="62"/>
      <c r="AF217" s="674"/>
      <c r="AG217" s="63" t="s">
        <v>76</v>
      </c>
      <c r="AH217" s="63">
        <v>0</v>
      </c>
      <c r="AI217" s="64" t="s">
        <v>77</v>
      </c>
      <c r="AJ217" s="674"/>
      <c r="AK217" s="63" t="s">
        <v>76</v>
      </c>
      <c r="AL217" s="63">
        <v>0</v>
      </c>
      <c r="AM217" s="64" t="s">
        <v>77</v>
      </c>
      <c r="AN217" s="674"/>
      <c r="AO217" s="63" t="s">
        <v>76</v>
      </c>
      <c r="AP217" s="63">
        <v>0</v>
      </c>
      <c r="AQ217" s="64" t="s">
        <v>77</v>
      </c>
      <c r="AR217" s="674"/>
      <c r="AS217" s="63" t="s">
        <v>76</v>
      </c>
      <c r="AT217" s="63">
        <v>0</v>
      </c>
      <c r="AU217" s="64" t="s">
        <v>77</v>
      </c>
      <c r="AV217" s="674"/>
      <c r="AW217" s="63" t="s">
        <v>76</v>
      </c>
      <c r="AX217" s="63">
        <v>0</v>
      </c>
      <c r="AY217" s="64" t="s">
        <v>77</v>
      </c>
      <c r="AZ217" s="674"/>
      <c r="BA217" s="63" t="s">
        <v>76</v>
      </c>
      <c r="BB217" s="63">
        <v>0</v>
      </c>
      <c r="BC217" s="64" t="s">
        <v>77</v>
      </c>
    </row>
    <row r="218" spans="29:55">
      <c r="AD218" s="65" t="str">
        <f t="array" ref="AD218:AD241">TRANSPOSE($C$5:$Z$5)</f>
        <v>00</v>
      </c>
      <c r="AE218" s="66">
        <f t="array" ref="AE218:AE241">TRANSPOSE(skemA1!$C$12:$Z$12)</f>
        <v>79.7</v>
      </c>
      <c r="AF218" s="66">
        <f t="array" ref="AF218:AF241">TRANSPOSE($C$6:$Z$6)</f>
        <v>-1</v>
      </c>
      <c r="AG218" s="66" t="str">
        <f>IF(AF218&gt;0,AF218*$AE218,"")</f>
        <v/>
      </c>
      <c r="AH218" s="66" t="str">
        <f>IF(AF218=0,AF218*$AE218,"")</f>
        <v/>
      </c>
      <c r="AI218" s="67">
        <f>IF(AF218&lt;0,AF218*$AE218,"")</f>
        <v>-79.7</v>
      </c>
      <c r="AJ218" s="66">
        <f t="array" ref="AJ218:AJ241">TRANSPOSE($C$7:$Z$7)</f>
        <v>-1</v>
      </c>
      <c r="AK218" s="66" t="str">
        <f>IF(AJ218&gt;0,AJ218*$AE218,"")</f>
        <v/>
      </c>
      <c r="AL218" s="66" t="str">
        <f>IF(AJ218=0,AJ218*$AE218,"")</f>
        <v/>
      </c>
      <c r="AM218" s="67">
        <f>IF(AJ218&lt;0,AJ218*$AE218,"")</f>
        <v>-79.7</v>
      </c>
      <c r="AN218" s="66">
        <f t="array" ref="AN218:AN241">TRANSPOSE($C$8:$Z$8)</f>
        <v>1</v>
      </c>
      <c r="AO218" s="66">
        <f>IF(AN218&gt;0,AN218*$AE218,"")</f>
        <v>79.7</v>
      </c>
      <c r="AP218" s="66" t="str">
        <f>IF(AN218=0,AN218*$AE218,"")</f>
        <v/>
      </c>
      <c r="AQ218" s="67" t="str">
        <f>IF(AN218&lt;0,AN218*$AE218,"")</f>
        <v/>
      </c>
      <c r="AR218" s="66">
        <f t="array" ref="AR218:AR241">TRANSPOSE($C$9:$Z$9)</f>
        <v>1</v>
      </c>
      <c r="AS218" s="66">
        <f>IF(AR218&gt;0,AR218*$AE218,"")</f>
        <v>79.7</v>
      </c>
      <c r="AT218" s="66" t="str">
        <f>IF(AR218=0,AR218*$AE218,"")</f>
        <v/>
      </c>
      <c r="AU218" s="67" t="str">
        <f>IF(AR218&lt;0,AR218*$AE218,"")</f>
        <v/>
      </c>
      <c r="AV218" s="66">
        <f t="array" ref="AV218:AV241">TRANSPOSE($C$10:$Z$10)</f>
        <v>1</v>
      </c>
      <c r="AW218" s="66">
        <f t="shared" ref="AW218:AW241" si="126">IF(AV218&gt;0,AV218*$AE218,"")</f>
        <v>79.7</v>
      </c>
      <c r="AX218" s="66" t="str">
        <f t="shared" ref="AX218:AX241" si="127">IF(AV218=0,AV218*$AE218,"")</f>
        <v/>
      </c>
      <c r="AY218" s="67" t="str">
        <f t="shared" ref="AY218:AY241" si="128">IF(AV218&lt;0,AV218*$AE218,"")</f>
        <v/>
      </c>
      <c r="AZ218" s="66">
        <f t="array" ref="AZ218:AZ241">TRANSPOSE($C$11:$Z$11)</f>
        <v>1</v>
      </c>
      <c r="BA218" s="66">
        <f t="shared" ref="BA218:BA241" si="129">IF(AZ218&gt;0,AZ218*$AE218,"")</f>
        <v>79.7</v>
      </c>
      <c r="BB218" s="66" t="str">
        <f t="shared" ref="BB218:BB241" si="130">IF(AZ218=0,AZ218*$AE218,"")</f>
        <v/>
      </c>
      <c r="BC218" s="67" t="str">
        <f t="shared" ref="BC218:BC241" si="131">IF(AZ218&lt;0,AZ218*$AE218,"")</f>
        <v/>
      </c>
    </row>
    <row r="219" spans="29:55">
      <c r="AD219" s="68" t="str">
        <v>01</v>
      </c>
      <c r="AE219" s="61">
        <v>73.400000000000006</v>
      </c>
      <c r="AF219" s="61">
        <v>-1</v>
      </c>
      <c r="AG219" s="66" t="str">
        <f t="shared" ref="AG219:AG241" si="132">IF(AF219&gt;0,AF219*$AE219,"")</f>
        <v/>
      </c>
      <c r="AH219" s="66" t="str">
        <f t="shared" ref="AH219:AH241" si="133">IF(AF219=0,AF219*$AE219,"")</f>
        <v/>
      </c>
      <c r="AI219" s="67">
        <f t="shared" ref="AI219:AI241" si="134">IF(AF219&lt;0,AF219*$AE219,"")</f>
        <v>-73.400000000000006</v>
      </c>
      <c r="AJ219" s="61">
        <v>-1</v>
      </c>
      <c r="AK219" s="66" t="str">
        <f t="shared" ref="AK219:AK241" si="135">IF(AJ219&gt;0,AJ219*$AE219,"")</f>
        <v/>
      </c>
      <c r="AL219" s="66" t="str">
        <f t="shared" ref="AL219:AL241" si="136">IF(AJ219=0,AJ219*$AE219,"")</f>
        <v/>
      </c>
      <c r="AM219" s="67">
        <f t="shared" ref="AM219:AM241" si="137">IF(AJ219&lt;0,AJ219*$AE219,"")</f>
        <v>-73.400000000000006</v>
      </c>
      <c r="AN219" s="61">
        <v>1</v>
      </c>
      <c r="AO219" s="66">
        <f t="shared" ref="AO219:AO241" si="138">IF(AN219&gt;0,AN219*$AE219,"")</f>
        <v>73.400000000000006</v>
      </c>
      <c r="AP219" s="66" t="str">
        <f t="shared" ref="AP219:AP241" si="139">IF(AN219=0,AN219*$AE219,"")</f>
        <v/>
      </c>
      <c r="AQ219" s="67" t="str">
        <f t="shared" ref="AQ219:AQ241" si="140">IF(AN219&lt;0,AN219*$AE219,"")</f>
        <v/>
      </c>
      <c r="AR219" s="61">
        <v>1</v>
      </c>
      <c r="AS219" s="66">
        <f t="shared" ref="AS219:AS241" si="141">IF(AR219&gt;0,AR219*$AE219,"")</f>
        <v>73.400000000000006</v>
      </c>
      <c r="AT219" s="66" t="str">
        <f t="shared" ref="AT219:AT241" si="142">IF(AR219=0,AR219*$AE219,"")</f>
        <v/>
      </c>
      <c r="AU219" s="67" t="str">
        <f t="shared" ref="AU219:AU241" si="143">IF(AR219&lt;0,AR219*$AE219,"")</f>
        <v/>
      </c>
      <c r="AV219" s="61">
        <v>0</v>
      </c>
      <c r="AW219" s="66" t="str">
        <f t="shared" si="126"/>
        <v/>
      </c>
      <c r="AX219" s="66">
        <f t="shared" si="127"/>
        <v>0</v>
      </c>
      <c r="AY219" s="67" t="str">
        <f t="shared" si="128"/>
        <v/>
      </c>
      <c r="AZ219" s="61">
        <v>1</v>
      </c>
      <c r="BA219" s="66">
        <f t="shared" si="129"/>
        <v>73.400000000000006</v>
      </c>
      <c r="BB219" s="66" t="str">
        <f t="shared" si="130"/>
        <v/>
      </c>
      <c r="BC219" s="67" t="str">
        <f t="shared" si="131"/>
        <v/>
      </c>
    </row>
    <row r="220" spans="29:55">
      <c r="AD220" s="68" t="str">
        <v>02</v>
      </c>
      <c r="AE220" s="61">
        <v>85.7</v>
      </c>
      <c r="AF220" s="61">
        <v>-1</v>
      </c>
      <c r="AG220" s="66" t="str">
        <f t="shared" si="132"/>
        <v/>
      </c>
      <c r="AH220" s="66" t="str">
        <f t="shared" si="133"/>
        <v/>
      </c>
      <c r="AI220" s="67">
        <f t="shared" si="134"/>
        <v>-85.7</v>
      </c>
      <c r="AJ220" s="61">
        <v>-1</v>
      </c>
      <c r="AK220" s="66" t="str">
        <f t="shared" si="135"/>
        <v/>
      </c>
      <c r="AL220" s="66" t="str">
        <f t="shared" si="136"/>
        <v/>
      </c>
      <c r="AM220" s="67">
        <f t="shared" si="137"/>
        <v>-85.7</v>
      </c>
      <c r="AN220" s="61">
        <v>1</v>
      </c>
      <c r="AO220" s="66">
        <f t="shared" si="138"/>
        <v>85.7</v>
      </c>
      <c r="AP220" s="66" t="str">
        <f t="shared" si="139"/>
        <v/>
      </c>
      <c r="AQ220" s="67" t="str">
        <f t="shared" si="140"/>
        <v/>
      </c>
      <c r="AR220" s="61">
        <v>1</v>
      </c>
      <c r="AS220" s="66">
        <f t="shared" si="141"/>
        <v>85.7</v>
      </c>
      <c r="AT220" s="66" t="str">
        <f t="shared" si="142"/>
        <v/>
      </c>
      <c r="AU220" s="67" t="str">
        <f t="shared" si="143"/>
        <v/>
      </c>
      <c r="AV220" s="61">
        <v>-1</v>
      </c>
      <c r="AW220" s="66" t="str">
        <f t="shared" si="126"/>
        <v/>
      </c>
      <c r="AX220" s="66" t="str">
        <f t="shared" si="127"/>
        <v/>
      </c>
      <c r="AY220" s="67">
        <f t="shared" si="128"/>
        <v>-85.7</v>
      </c>
      <c r="AZ220" s="61">
        <v>1</v>
      </c>
      <c r="BA220" s="66">
        <f t="shared" si="129"/>
        <v>85.7</v>
      </c>
      <c r="BB220" s="66" t="str">
        <f t="shared" si="130"/>
        <v/>
      </c>
      <c r="BC220" s="67" t="str">
        <f t="shared" si="131"/>
        <v/>
      </c>
    </row>
    <row r="221" spans="29:55">
      <c r="AD221" s="68" t="str">
        <v>03</v>
      </c>
      <c r="AE221" s="61">
        <v>115.99999999999999</v>
      </c>
      <c r="AF221" s="61">
        <v>-1</v>
      </c>
      <c r="AG221" s="66" t="str">
        <f t="shared" si="132"/>
        <v/>
      </c>
      <c r="AH221" s="66" t="str">
        <f t="shared" si="133"/>
        <v/>
      </c>
      <c r="AI221" s="67">
        <f t="shared" si="134"/>
        <v>-115.99999999999999</v>
      </c>
      <c r="AJ221" s="61">
        <v>-1</v>
      </c>
      <c r="AK221" s="66" t="str">
        <f t="shared" si="135"/>
        <v/>
      </c>
      <c r="AL221" s="66" t="str">
        <f t="shared" si="136"/>
        <v/>
      </c>
      <c r="AM221" s="67">
        <f t="shared" si="137"/>
        <v>-115.99999999999999</v>
      </c>
      <c r="AN221" s="61">
        <v>-1</v>
      </c>
      <c r="AO221" s="66" t="str">
        <f t="shared" si="138"/>
        <v/>
      </c>
      <c r="AP221" s="66" t="str">
        <f t="shared" si="139"/>
        <v/>
      </c>
      <c r="AQ221" s="67">
        <f t="shared" si="140"/>
        <v>-115.99999999999999</v>
      </c>
      <c r="AR221" s="61">
        <v>1</v>
      </c>
      <c r="AS221" s="66">
        <f t="shared" si="141"/>
        <v>115.99999999999999</v>
      </c>
      <c r="AT221" s="66" t="str">
        <f t="shared" si="142"/>
        <v/>
      </c>
      <c r="AU221" s="67" t="str">
        <f t="shared" si="143"/>
        <v/>
      </c>
      <c r="AV221" s="61">
        <v>-1</v>
      </c>
      <c r="AW221" s="66" t="str">
        <f t="shared" si="126"/>
        <v/>
      </c>
      <c r="AX221" s="66" t="str">
        <f t="shared" si="127"/>
        <v/>
      </c>
      <c r="AY221" s="67">
        <f t="shared" si="128"/>
        <v>-115.99999999999999</v>
      </c>
      <c r="AZ221" s="61">
        <v>-1</v>
      </c>
      <c r="BA221" s="66" t="str">
        <f t="shared" si="129"/>
        <v/>
      </c>
      <c r="BB221" s="66" t="str">
        <f t="shared" si="130"/>
        <v/>
      </c>
      <c r="BC221" s="67">
        <f t="shared" si="131"/>
        <v>-115.99999999999999</v>
      </c>
    </row>
    <row r="222" spans="29:55">
      <c r="AD222" s="68" t="str">
        <v>04</v>
      </c>
      <c r="AE222" s="61">
        <v>154</v>
      </c>
      <c r="AF222" s="61">
        <v>-1</v>
      </c>
      <c r="AG222" s="66" t="str">
        <f t="shared" si="132"/>
        <v/>
      </c>
      <c r="AH222" s="66" t="str">
        <f t="shared" si="133"/>
        <v/>
      </c>
      <c r="AI222" s="67">
        <f t="shared" si="134"/>
        <v>-154</v>
      </c>
      <c r="AJ222" s="61">
        <v>-1</v>
      </c>
      <c r="AK222" s="66" t="str">
        <f t="shared" si="135"/>
        <v/>
      </c>
      <c r="AL222" s="66" t="str">
        <f t="shared" si="136"/>
        <v/>
      </c>
      <c r="AM222" s="67">
        <f t="shared" si="137"/>
        <v>-154</v>
      </c>
      <c r="AN222" s="61">
        <v>-1</v>
      </c>
      <c r="AO222" s="66" t="str">
        <f t="shared" si="138"/>
        <v/>
      </c>
      <c r="AP222" s="66" t="str">
        <f t="shared" si="139"/>
        <v/>
      </c>
      <c r="AQ222" s="67">
        <f t="shared" si="140"/>
        <v>-154</v>
      </c>
      <c r="AR222" s="61">
        <v>1</v>
      </c>
      <c r="AS222" s="66">
        <f t="shared" si="141"/>
        <v>154</v>
      </c>
      <c r="AT222" s="66" t="str">
        <f t="shared" si="142"/>
        <v/>
      </c>
      <c r="AU222" s="67" t="str">
        <f t="shared" si="143"/>
        <v/>
      </c>
      <c r="AV222" s="61">
        <v>0</v>
      </c>
      <c r="AW222" s="66" t="str">
        <f t="shared" si="126"/>
        <v/>
      </c>
      <c r="AX222" s="66">
        <f t="shared" si="127"/>
        <v>0</v>
      </c>
      <c r="AY222" s="67" t="str">
        <f t="shared" si="128"/>
        <v/>
      </c>
      <c r="AZ222" s="61">
        <v>-1</v>
      </c>
      <c r="BA222" s="66" t="str">
        <f t="shared" si="129"/>
        <v/>
      </c>
      <c r="BB222" s="66" t="str">
        <f t="shared" si="130"/>
        <v/>
      </c>
      <c r="BC222" s="67">
        <f t="shared" si="131"/>
        <v>-154</v>
      </c>
    </row>
    <row r="223" spans="29:55">
      <c r="AD223" s="68" t="str">
        <v>05</v>
      </c>
      <c r="AE223" s="61">
        <v>198.9</v>
      </c>
      <c r="AF223" s="61">
        <v>-1</v>
      </c>
      <c r="AG223" s="66" t="str">
        <f t="shared" si="132"/>
        <v/>
      </c>
      <c r="AH223" s="66" t="str">
        <f t="shared" si="133"/>
        <v/>
      </c>
      <c r="AI223" s="67">
        <f t="shared" si="134"/>
        <v>-198.9</v>
      </c>
      <c r="AJ223" s="61">
        <v>-1</v>
      </c>
      <c r="AK223" s="66" t="str">
        <f t="shared" si="135"/>
        <v/>
      </c>
      <c r="AL223" s="66" t="str">
        <f t="shared" si="136"/>
        <v/>
      </c>
      <c r="AM223" s="67">
        <f t="shared" si="137"/>
        <v>-198.9</v>
      </c>
      <c r="AN223" s="61">
        <v>-1</v>
      </c>
      <c r="AO223" s="66" t="str">
        <f t="shared" si="138"/>
        <v/>
      </c>
      <c r="AP223" s="66" t="str">
        <f t="shared" si="139"/>
        <v/>
      </c>
      <c r="AQ223" s="67">
        <f t="shared" si="140"/>
        <v>-198.9</v>
      </c>
      <c r="AR223" s="61">
        <v>1</v>
      </c>
      <c r="AS223" s="66">
        <f t="shared" si="141"/>
        <v>198.9</v>
      </c>
      <c r="AT223" s="66" t="str">
        <f t="shared" si="142"/>
        <v/>
      </c>
      <c r="AU223" s="67" t="str">
        <f t="shared" si="143"/>
        <v/>
      </c>
      <c r="AV223" s="61">
        <v>1</v>
      </c>
      <c r="AW223" s="66">
        <f t="shared" si="126"/>
        <v>198.9</v>
      </c>
      <c r="AX223" s="66" t="str">
        <f t="shared" si="127"/>
        <v/>
      </c>
      <c r="AY223" s="67" t="str">
        <f t="shared" si="128"/>
        <v/>
      </c>
      <c r="AZ223" s="61">
        <v>-1</v>
      </c>
      <c r="BA223" s="66" t="str">
        <f t="shared" si="129"/>
        <v/>
      </c>
      <c r="BB223" s="66" t="str">
        <f t="shared" si="130"/>
        <v/>
      </c>
      <c r="BC223" s="67">
        <f t="shared" si="131"/>
        <v>-198.9</v>
      </c>
    </row>
    <row r="224" spans="29:55">
      <c r="AD224" s="68" t="str">
        <v>06</v>
      </c>
      <c r="AE224" s="61">
        <v>235.6</v>
      </c>
      <c r="AF224" s="61">
        <v>1</v>
      </c>
      <c r="AG224" s="66">
        <f t="shared" si="132"/>
        <v>235.6</v>
      </c>
      <c r="AH224" s="66" t="str">
        <f t="shared" si="133"/>
        <v/>
      </c>
      <c r="AI224" s="67" t="str">
        <f t="shared" si="134"/>
        <v/>
      </c>
      <c r="AJ224" s="61">
        <v>-1</v>
      </c>
      <c r="AK224" s="66" t="str">
        <f t="shared" si="135"/>
        <v/>
      </c>
      <c r="AL224" s="66" t="str">
        <f t="shared" si="136"/>
        <v/>
      </c>
      <c r="AM224" s="67">
        <f t="shared" si="137"/>
        <v>-235.6</v>
      </c>
      <c r="AN224" s="61">
        <v>-1</v>
      </c>
      <c r="AO224" s="66" t="str">
        <f t="shared" si="138"/>
        <v/>
      </c>
      <c r="AP224" s="66" t="str">
        <f t="shared" si="139"/>
        <v/>
      </c>
      <c r="AQ224" s="67">
        <f t="shared" si="140"/>
        <v>-235.6</v>
      </c>
      <c r="AR224" s="61">
        <v>-1</v>
      </c>
      <c r="AS224" s="66" t="str">
        <f t="shared" si="141"/>
        <v/>
      </c>
      <c r="AT224" s="66" t="str">
        <f t="shared" si="142"/>
        <v/>
      </c>
      <c r="AU224" s="67">
        <f t="shared" si="143"/>
        <v>-235.6</v>
      </c>
      <c r="AV224" s="61">
        <v>1</v>
      </c>
      <c r="AW224" s="66">
        <f t="shared" si="126"/>
        <v>235.6</v>
      </c>
      <c r="AX224" s="66" t="str">
        <f t="shared" si="127"/>
        <v/>
      </c>
      <c r="AY224" s="67" t="str">
        <f t="shared" si="128"/>
        <v/>
      </c>
      <c r="AZ224" s="61">
        <v>1</v>
      </c>
      <c r="BA224" s="66">
        <f t="shared" si="129"/>
        <v>235.6</v>
      </c>
      <c r="BB224" s="66" t="str">
        <f t="shared" si="130"/>
        <v/>
      </c>
      <c r="BC224" s="67" t="str">
        <f t="shared" si="131"/>
        <v/>
      </c>
    </row>
    <row r="225" spans="30:55">
      <c r="AD225" s="68" t="str">
        <v>07</v>
      </c>
      <c r="AE225" s="61">
        <v>259.5</v>
      </c>
      <c r="AF225" s="61">
        <v>1</v>
      </c>
      <c r="AG225" s="66">
        <f t="shared" si="132"/>
        <v>259.5</v>
      </c>
      <c r="AH225" s="66" t="str">
        <f t="shared" si="133"/>
        <v/>
      </c>
      <c r="AI225" s="67" t="str">
        <f t="shared" si="134"/>
        <v/>
      </c>
      <c r="AJ225" s="61">
        <v>-1</v>
      </c>
      <c r="AK225" s="66" t="str">
        <f t="shared" si="135"/>
        <v/>
      </c>
      <c r="AL225" s="66" t="str">
        <f t="shared" si="136"/>
        <v/>
      </c>
      <c r="AM225" s="67">
        <f t="shared" si="137"/>
        <v>-259.5</v>
      </c>
      <c r="AN225" s="61">
        <v>-1</v>
      </c>
      <c r="AO225" s="66" t="str">
        <f t="shared" si="138"/>
        <v/>
      </c>
      <c r="AP225" s="66" t="str">
        <f t="shared" si="139"/>
        <v/>
      </c>
      <c r="AQ225" s="67">
        <f t="shared" si="140"/>
        <v>-259.5</v>
      </c>
      <c r="AR225" s="61">
        <v>-1</v>
      </c>
      <c r="AS225" s="66" t="str">
        <f t="shared" si="141"/>
        <v/>
      </c>
      <c r="AT225" s="66" t="str">
        <f t="shared" si="142"/>
        <v/>
      </c>
      <c r="AU225" s="67">
        <f t="shared" si="143"/>
        <v>-259.5</v>
      </c>
      <c r="AV225" s="61">
        <v>0</v>
      </c>
      <c r="AW225" s="66" t="str">
        <f t="shared" si="126"/>
        <v/>
      </c>
      <c r="AX225" s="66">
        <f t="shared" si="127"/>
        <v>0</v>
      </c>
      <c r="AY225" s="67" t="str">
        <f t="shared" si="128"/>
        <v/>
      </c>
      <c r="AZ225" s="61">
        <v>1</v>
      </c>
      <c r="BA225" s="66">
        <f t="shared" si="129"/>
        <v>259.5</v>
      </c>
      <c r="BB225" s="66" t="str">
        <f t="shared" si="130"/>
        <v/>
      </c>
      <c r="BC225" s="67" t="str">
        <f t="shared" si="131"/>
        <v/>
      </c>
    </row>
    <row r="226" spans="30:55">
      <c r="AD226" s="68" t="str">
        <v>08</v>
      </c>
      <c r="AE226" s="61">
        <v>268.89999999999998</v>
      </c>
      <c r="AF226" s="61">
        <v>1</v>
      </c>
      <c r="AG226" s="66">
        <f t="shared" si="132"/>
        <v>268.89999999999998</v>
      </c>
      <c r="AH226" s="66" t="str">
        <f t="shared" si="133"/>
        <v/>
      </c>
      <c r="AI226" s="67" t="str">
        <f t="shared" si="134"/>
        <v/>
      </c>
      <c r="AJ226" s="61">
        <v>-1</v>
      </c>
      <c r="AK226" s="66" t="str">
        <f t="shared" si="135"/>
        <v/>
      </c>
      <c r="AL226" s="66" t="str">
        <f t="shared" si="136"/>
        <v/>
      </c>
      <c r="AM226" s="67">
        <f t="shared" si="137"/>
        <v>-268.89999999999998</v>
      </c>
      <c r="AN226" s="61">
        <v>-1</v>
      </c>
      <c r="AO226" s="66" t="str">
        <f t="shared" si="138"/>
        <v/>
      </c>
      <c r="AP226" s="66" t="str">
        <f t="shared" si="139"/>
        <v/>
      </c>
      <c r="AQ226" s="67">
        <f t="shared" si="140"/>
        <v>-268.89999999999998</v>
      </c>
      <c r="AR226" s="61">
        <v>-1</v>
      </c>
      <c r="AS226" s="66" t="str">
        <f t="shared" si="141"/>
        <v/>
      </c>
      <c r="AT226" s="66" t="str">
        <f t="shared" si="142"/>
        <v/>
      </c>
      <c r="AU226" s="67">
        <f t="shared" si="143"/>
        <v>-268.89999999999998</v>
      </c>
      <c r="AV226" s="61">
        <v>-1</v>
      </c>
      <c r="AW226" s="66" t="str">
        <f t="shared" si="126"/>
        <v/>
      </c>
      <c r="AX226" s="66" t="str">
        <f t="shared" si="127"/>
        <v/>
      </c>
      <c r="AY226" s="67">
        <f t="shared" si="128"/>
        <v>-268.89999999999998</v>
      </c>
      <c r="AZ226" s="61">
        <v>1</v>
      </c>
      <c r="BA226" s="66">
        <f t="shared" si="129"/>
        <v>268.89999999999998</v>
      </c>
      <c r="BB226" s="66" t="str">
        <f t="shared" si="130"/>
        <v/>
      </c>
      <c r="BC226" s="67" t="str">
        <f t="shared" si="131"/>
        <v/>
      </c>
    </row>
    <row r="227" spans="30:55">
      <c r="AD227" s="68" t="str">
        <v>09</v>
      </c>
      <c r="AE227" s="61">
        <v>258.59999999999997</v>
      </c>
      <c r="AF227" s="61">
        <v>1</v>
      </c>
      <c r="AG227" s="66">
        <f t="shared" si="132"/>
        <v>258.59999999999997</v>
      </c>
      <c r="AH227" s="66" t="str">
        <f t="shared" si="133"/>
        <v/>
      </c>
      <c r="AI227" s="67" t="str">
        <f t="shared" si="134"/>
        <v/>
      </c>
      <c r="AJ227" s="61">
        <v>-1</v>
      </c>
      <c r="AK227" s="66" t="str">
        <f t="shared" si="135"/>
        <v/>
      </c>
      <c r="AL227" s="66" t="str">
        <f t="shared" si="136"/>
        <v/>
      </c>
      <c r="AM227" s="67">
        <f t="shared" si="137"/>
        <v>-258.59999999999997</v>
      </c>
      <c r="AN227" s="61">
        <v>1</v>
      </c>
      <c r="AO227" s="66">
        <f t="shared" si="138"/>
        <v>258.59999999999997</v>
      </c>
      <c r="AP227" s="66" t="str">
        <f t="shared" si="139"/>
        <v/>
      </c>
      <c r="AQ227" s="67" t="str">
        <f t="shared" si="140"/>
        <v/>
      </c>
      <c r="AR227" s="61">
        <v>-1</v>
      </c>
      <c r="AS227" s="66" t="str">
        <f t="shared" si="141"/>
        <v/>
      </c>
      <c r="AT227" s="66" t="str">
        <f t="shared" si="142"/>
        <v/>
      </c>
      <c r="AU227" s="67">
        <f t="shared" si="143"/>
        <v>-258.59999999999997</v>
      </c>
      <c r="AV227" s="61">
        <v>-1</v>
      </c>
      <c r="AW227" s="66" t="str">
        <f t="shared" si="126"/>
        <v/>
      </c>
      <c r="AX227" s="66" t="str">
        <f t="shared" si="127"/>
        <v/>
      </c>
      <c r="AY227" s="67">
        <f t="shared" si="128"/>
        <v>-258.59999999999997</v>
      </c>
      <c r="AZ227" s="61">
        <v>-1</v>
      </c>
      <c r="BA227" s="66" t="str">
        <f t="shared" si="129"/>
        <v/>
      </c>
      <c r="BB227" s="66" t="str">
        <f t="shared" si="130"/>
        <v/>
      </c>
      <c r="BC227" s="67">
        <f t="shared" si="131"/>
        <v>-258.59999999999997</v>
      </c>
    </row>
    <row r="228" spans="30:55">
      <c r="AD228" s="68" t="str">
        <v>10</v>
      </c>
      <c r="AE228" s="61">
        <v>233.9</v>
      </c>
      <c r="AF228" s="61">
        <v>1</v>
      </c>
      <c r="AG228" s="66">
        <f t="shared" si="132"/>
        <v>233.9</v>
      </c>
      <c r="AH228" s="66" t="str">
        <f t="shared" si="133"/>
        <v/>
      </c>
      <c r="AI228" s="67" t="str">
        <f t="shared" si="134"/>
        <v/>
      </c>
      <c r="AJ228" s="61">
        <v>-1</v>
      </c>
      <c r="AK228" s="66" t="str">
        <f t="shared" si="135"/>
        <v/>
      </c>
      <c r="AL228" s="66" t="str">
        <f t="shared" si="136"/>
        <v/>
      </c>
      <c r="AM228" s="67">
        <f t="shared" si="137"/>
        <v>-233.9</v>
      </c>
      <c r="AN228" s="61">
        <v>1</v>
      </c>
      <c r="AO228" s="66">
        <f t="shared" si="138"/>
        <v>233.9</v>
      </c>
      <c r="AP228" s="66" t="str">
        <f t="shared" si="139"/>
        <v/>
      </c>
      <c r="AQ228" s="67" t="str">
        <f t="shared" si="140"/>
        <v/>
      </c>
      <c r="AR228" s="61">
        <v>-1</v>
      </c>
      <c r="AS228" s="66" t="str">
        <f t="shared" si="141"/>
        <v/>
      </c>
      <c r="AT228" s="66" t="str">
        <f t="shared" si="142"/>
        <v/>
      </c>
      <c r="AU228" s="67">
        <f t="shared" si="143"/>
        <v>-233.9</v>
      </c>
      <c r="AV228" s="61">
        <v>0</v>
      </c>
      <c r="AW228" s="66" t="str">
        <f t="shared" si="126"/>
        <v/>
      </c>
      <c r="AX228" s="66">
        <f t="shared" si="127"/>
        <v>0</v>
      </c>
      <c r="AY228" s="67" t="str">
        <f t="shared" si="128"/>
        <v/>
      </c>
      <c r="AZ228" s="61">
        <v>-1</v>
      </c>
      <c r="BA228" s="66" t="str">
        <f t="shared" si="129"/>
        <v/>
      </c>
      <c r="BB228" s="66" t="str">
        <f t="shared" si="130"/>
        <v/>
      </c>
      <c r="BC228" s="67">
        <f t="shared" si="131"/>
        <v>-233.9</v>
      </c>
    </row>
    <row r="229" spans="30:55">
      <c r="AD229" s="68" t="str">
        <v>11</v>
      </c>
      <c r="AE229" s="61">
        <v>199.10000000000002</v>
      </c>
      <c r="AF229" s="61">
        <v>1</v>
      </c>
      <c r="AG229" s="66">
        <f t="shared" si="132"/>
        <v>199.10000000000002</v>
      </c>
      <c r="AH229" s="66" t="str">
        <f t="shared" si="133"/>
        <v/>
      </c>
      <c r="AI229" s="67" t="str">
        <f t="shared" si="134"/>
        <v/>
      </c>
      <c r="AJ229" s="61">
        <v>-1</v>
      </c>
      <c r="AK229" s="66" t="str">
        <f t="shared" si="135"/>
        <v/>
      </c>
      <c r="AL229" s="66" t="str">
        <f t="shared" si="136"/>
        <v/>
      </c>
      <c r="AM229" s="67">
        <f t="shared" si="137"/>
        <v>-199.10000000000002</v>
      </c>
      <c r="AN229" s="61">
        <v>1</v>
      </c>
      <c r="AO229" s="66">
        <f t="shared" si="138"/>
        <v>199.10000000000002</v>
      </c>
      <c r="AP229" s="66" t="str">
        <f t="shared" si="139"/>
        <v/>
      </c>
      <c r="AQ229" s="67" t="str">
        <f t="shared" si="140"/>
        <v/>
      </c>
      <c r="AR229" s="61">
        <v>-1</v>
      </c>
      <c r="AS229" s="66" t="str">
        <f t="shared" si="141"/>
        <v/>
      </c>
      <c r="AT229" s="66" t="str">
        <f t="shared" si="142"/>
        <v/>
      </c>
      <c r="AU229" s="67">
        <f t="shared" si="143"/>
        <v>-199.10000000000002</v>
      </c>
      <c r="AV229" s="61">
        <v>1</v>
      </c>
      <c r="AW229" s="66">
        <f t="shared" si="126"/>
        <v>199.10000000000002</v>
      </c>
      <c r="AX229" s="66" t="str">
        <f t="shared" si="127"/>
        <v/>
      </c>
      <c r="AY229" s="67" t="str">
        <f t="shared" si="128"/>
        <v/>
      </c>
      <c r="AZ229" s="61">
        <v>-1</v>
      </c>
      <c r="BA229" s="66" t="str">
        <f t="shared" si="129"/>
        <v/>
      </c>
      <c r="BB229" s="66" t="str">
        <f t="shared" si="130"/>
        <v/>
      </c>
      <c r="BC229" s="67">
        <f t="shared" si="131"/>
        <v>-199.10000000000002</v>
      </c>
    </row>
    <row r="230" spans="30:55">
      <c r="AD230" s="68" t="str">
        <v>12</v>
      </c>
      <c r="AE230" s="61">
        <v>169.79999999999998</v>
      </c>
      <c r="AF230" s="61">
        <v>1</v>
      </c>
      <c r="AG230" s="66">
        <f t="shared" si="132"/>
        <v>169.79999999999998</v>
      </c>
      <c r="AH230" s="66" t="str">
        <f t="shared" si="133"/>
        <v/>
      </c>
      <c r="AI230" s="67" t="str">
        <f t="shared" si="134"/>
        <v/>
      </c>
      <c r="AJ230" s="61">
        <v>1</v>
      </c>
      <c r="AK230" s="66">
        <f t="shared" si="135"/>
        <v>169.79999999999998</v>
      </c>
      <c r="AL230" s="66" t="str">
        <f t="shared" si="136"/>
        <v/>
      </c>
      <c r="AM230" s="67" t="str">
        <f t="shared" si="137"/>
        <v/>
      </c>
      <c r="AN230" s="61">
        <v>1</v>
      </c>
      <c r="AO230" s="66">
        <f t="shared" si="138"/>
        <v>169.79999999999998</v>
      </c>
      <c r="AP230" s="66" t="str">
        <f t="shared" si="139"/>
        <v/>
      </c>
      <c r="AQ230" s="67" t="str">
        <f t="shared" si="140"/>
        <v/>
      </c>
      <c r="AR230" s="61">
        <v>1</v>
      </c>
      <c r="AS230" s="66">
        <f t="shared" si="141"/>
        <v>169.79999999999998</v>
      </c>
      <c r="AT230" s="66" t="str">
        <f t="shared" si="142"/>
        <v/>
      </c>
      <c r="AU230" s="67" t="str">
        <f t="shared" si="143"/>
        <v/>
      </c>
      <c r="AV230" s="61">
        <v>1</v>
      </c>
      <c r="AW230" s="66">
        <f t="shared" si="126"/>
        <v>169.79999999999998</v>
      </c>
      <c r="AX230" s="66" t="str">
        <f t="shared" si="127"/>
        <v/>
      </c>
      <c r="AY230" s="67" t="str">
        <f t="shared" si="128"/>
        <v/>
      </c>
      <c r="AZ230" s="61">
        <v>1</v>
      </c>
      <c r="BA230" s="66">
        <f t="shared" si="129"/>
        <v>169.79999999999998</v>
      </c>
      <c r="BB230" s="66" t="str">
        <f t="shared" si="130"/>
        <v/>
      </c>
      <c r="BC230" s="67" t="str">
        <f t="shared" si="131"/>
        <v/>
      </c>
    </row>
    <row r="231" spans="30:55">
      <c r="AD231" s="68" t="str">
        <v>13</v>
      </c>
      <c r="AE231" s="61">
        <v>143.55000000000001</v>
      </c>
      <c r="AF231" s="61">
        <v>1</v>
      </c>
      <c r="AG231" s="66">
        <f t="shared" si="132"/>
        <v>143.55000000000001</v>
      </c>
      <c r="AH231" s="66" t="str">
        <f t="shared" si="133"/>
        <v/>
      </c>
      <c r="AI231" s="67" t="str">
        <f t="shared" si="134"/>
        <v/>
      </c>
      <c r="AJ231" s="61">
        <v>1</v>
      </c>
      <c r="AK231" s="66">
        <f t="shared" si="135"/>
        <v>143.55000000000001</v>
      </c>
      <c r="AL231" s="66" t="str">
        <f t="shared" si="136"/>
        <v/>
      </c>
      <c r="AM231" s="67" t="str">
        <f t="shared" si="137"/>
        <v/>
      </c>
      <c r="AN231" s="61">
        <v>1</v>
      </c>
      <c r="AO231" s="66">
        <f t="shared" si="138"/>
        <v>143.55000000000001</v>
      </c>
      <c r="AP231" s="66" t="str">
        <f t="shared" si="139"/>
        <v/>
      </c>
      <c r="AQ231" s="67" t="str">
        <f t="shared" si="140"/>
        <v/>
      </c>
      <c r="AR231" s="61">
        <v>1</v>
      </c>
      <c r="AS231" s="66">
        <f t="shared" si="141"/>
        <v>143.55000000000001</v>
      </c>
      <c r="AT231" s="66" t="str">
        <f t="shared" si="142"/>
        <v/>
      </c>
      <c r="AU231" s="67" t="str">
        <f t="shared" si="143"/>
        <v/>
      </c>
      <c r="AV231" s="61">
        <v>0</v>
      </c>
      <c r="AW231" s="66" t="str">
        <f t="shared" si="126"/>
        <v/>
      </c>
      <c r="AX231" s="66">
        <f t="shared" si="127"/>
        <v>0</v>
      </c>
      <c r="AY231" s="67" t="str">
        <f t="shared" si="128"/>
        <v/>
      </c>
      <c r="AZ231" s="61">
        <v>1</v>
      </c>
      <c r="BA231" s="66">
        <f t="shared" si="129"/>
        <v>143.55000000000001</v>
      </c>
      <c r="BB231" s="66" t="str">
        <f t="shared" si="130"/>
        <v/>
      </c>
      <c r="BC231" s="67" t="str">
        <f t="shared" si="131"/>
        <v/>
      </c>
    </row>
    <row r="232" spans="30:55">
      <c r="AD232" s="68" t="str">
        <v>14</v>
      </c>
      <c r="AE232" s="61">
        <v>131.9</v>
      </c>
      <c r="AF232" s="61">
        <v>1</v>
      </c>
      <c r="AG232" s="66">
        <f t="shared" si="132"/>
        <v>131.9</v>
      </c>
      <c r="AH232" s="66" t="str">
        <f t="shared" si="133"/>
        <v/>
      </c>
      <c r="AI232" s="67" t="str">
        <f t="shared" si="134"/>
        <v/>
      </c>
      <c r="AJ232" s="61">
        <v>1</v>
      </c>
      <c r="AK232" s="66">
        <f t="shared" si="135"/>
        <v>131.9</v>
      </c>
      <c r="AL232" s="66" t="str">
        <f t="shared" si="136"/>
        <v/>
      </c>
      <c r="AM232" s="67" t="str">
        <f t="shared" si="137"/>
        <v/>
      </c>
      <c r="AN232" s="61">
        <v>1</v>
      </c>
      <c r="AO232" s="66">
        <f t="shared" si="138"/>
        <v>131.9</v>
      </c>
      <c r="AP232" s="66" t="str">
        <f t="shared" si="139"/>
        <v/>
      </c>
      <c r="AQ232" s="67" t="str">
        <f t="shared" si="140"/>
        <v/>
      </c>
      <c r="AR232" s="61">
        <v>1</v>
      </c>
      <c r="AS232" s="66">
        <f t="shared" si="141"/>
        <v>131.9</v>
      </c>
      <c r="AT232" s="66" t="str">
        <f t="shared" si="142"/>
        <v/>
      </c>
      <c r="AU232" s="67" t="str">
        <f t="shared" si="143"/>
        <v/>
      </c>
      <c r="AV232" s="61">
        <v>-1</v>
      </c>
      <c r="AW232" s="66" t="str">
        <f t="shared" si="126"/>
        <v/>
      </c>
      <c r="AX232" s="66" t="str">
        <f t="shared" si="127"/>
        <v/>
      </c>
      <c r="AY232" s="67">
        <f t="shared" si="128"/>
        <v>-131.9</v>
      </c>
      <c r="AZ232" s="61">
        <v>1</v>
      </c>
      <c r="BA232" s="66">
        <f t="shared" si="129"/>
        <v>131.9</v>
      </c>
      <c r="BB232" s="66" t="str">
        <f t="shared" si="130"/>
        <v/>
      </c>
      <c r="BC232" s="67" t="str">
        <f t="shared" si="131"/>
        <v/>
      </c>
    </row>
    <row r="233" spans="30:55">
      <c r="AD233" s="68" t="str">
        <v>15</v>
      </c>
      <c r="AE233" s="61">
        <v>130.4</v>
      </c>
      <c r="AF233" s="61">
        <v>1</v>
      </c>
      <c r="AG233" s="66">
        <f t="shared" si="132"/>
        <v>130.4</v>
      </c>
      <c r="AH233" s="66" t="str">
        <f t="shared" si="133"/>
        <v/>
      </c>
      <c r="AI233" s="67" t="str">
        <f t="shared" si="134"/>
        <v/>
      </c>
      <c r="AJ233" s="61">
        <v>1</v>
      </c>
      <c r="AK233" s="66">
        <f t="shared" si="135"/>
        <v>130.4</v>
      </c>
      <c r="AL233" s="66" t="str">
        <f t="shared" si="136"/>
        <v/>
      </c>
      <c r="AM233" s="67" t="str">
        <f t="shared" si="137"/>
        <v/>
      </c>
      <c r="AN233" s="61">
        <v>-1</v>
      </c>
      <c r="AO233" s="66" t="str">
        <f t="shared" si="138"/>
        <v/>
      </c>
      <c r="AP233" s="66" t="str">
        <f t="shared" si="139"/>
        <v/>
      </c>
      <c r="AQ233" s="67">
        <f t="shared" si="140"/>
        <v>-130.4</v>
      </c>
      <c r="AR233" s="61">
        <v>1</v>
      </c>
      <c r="AS233" s="66">
        <f t="shared" si="141"/>
        <v>130.4</v>
      </c>
      <c r="AT233" s="66" t="str">
        <f t="shared" si="142"/>
        <v/>
      </c>
      <c r="AU233" s="67" t="str">
        <f t="shared" si="143"/>
        <v/>
      </c>
      <c r="AV233" s="61">
        <v>-1</v>
      </c>
      <c r="AW233" s="66" t="str">
        <f t="shared" si="126"/>
        <v/>
      </c>
      <c r="AX233" s="66" t="str">
        <f t="shared" si="127"/>
        <v/>
      </c>
      <c r="AY233" s="67">
        <f t="shared" si="128"/>
        <v>-130.4</v>
      </c>
      <c r="AZ233" s="61">
        <v>-1</v>
      </c>
      <c r="BA233" s="66" t="str">
        <f t="shared" si="129"/>
        <v/>
      </c>
      <c r="BB233" s="66" t="str">
        <f t="shared" si="130"/>
        <v/>
      </c>
      <c r="BC233" s="67">
        <f t="shared" si="131"/>
        <v>-130.4</v>
      </c>
    </row>
    <row r="234" spans="30:55">
      <c r="AD234" s="68" t="str">
        <v>16</v>
      </c>
      <c r="AE234" s="61">
        <v>142.1</v>
      </c>
      <c r="AF234" s="61">
        <v>1</v>
      </c>
      <c r="AG234" s="66">
        <f t="shared" si="132"/>
        <v>142.1</v>
      </c>
      <c r="AH234" s="66" t="str">
        <f t="shared" si="133"/>
        <v/>
      </c>
      <c r="AI234" s="67" t="str">
        <f t="shared" si="134"/>
        <v/>
      </c>
      <c r="AJ234" s="61">
        <v>1</v>
      </c>
      <c r="AK234" s="66">
        <f t="shared" si="135"/>
        <v>142.1</v>
      </c>
      <c r="AL234" s="66" t="str">
        <f t="shared" si="136"/>
        <v/>
      </c>
      <c r="AM234" s="67" t="str">
        <f t="shared" si="137"/>
        <v/>
      </c>
      <c r="AN234" s="61">
        <v>-1</v>
      </c>
      <c r="AO234" s="66" t="str">
        <f t="shared" si="138"/>
        <v/>
      </c>
      <c r="AP234" s="66" t="str">
        <f t="shared" si="139"/>
        <v/>
      </c>
      <c r="AQ234" s="67">
        <f t="shared" si="140"/>
        <v>-142.1</v>
      </c>
      <c r="AR234" s="61">
        <v>1</v>
      </c>
      <c r="AS234" s="66">
        <f t="shared" si="141"/>
        <v>142.1</v>
      </c>
      <c r="AT234" s="66" t="str">
        <f t="shared" si="142"/>
        <v/>
      </c>
      <c r="AU234" s="67" t="str">
        <f t="shared" si="143"/>
        <v/>
      </c>
      <c r="AV234" s="61">
        <v>0</v>
      </c>
      <c r="AW234" s="66" t="str">
        <f t="shared" si="126"/>
        <v/>
      </c>
      <c r="AX234" s="66">
        <f t="shared" si="127"/>
        <v>0</v>
      </c>
      <c r="AY234" s="67" t="str">
        <f t="shared" si="128"/>
        <v/>
      </c>
      <c r="AZ234" s="61">
        <v>-1</v>
      </c>
      <c r="BA234" s="66" t="str">
        <f t="shared" si="129"/>
        <v/>
      </c>
      <c r="BB234" s="66" t="str">
        <f t="shared" si="130"/>
        <v/>
      </c>
      <c r="BC234" s="67">
        <f t="shared" si="131"/>
        <v>-142.1</v>
      </c>
    </row>
    <row r="235" spans="30:55">
      <c r="AD235" s="68" t="str">
        <v>17</v>
      </c>
      <c r="AE235" s="61">
        <v>159.4</v>
      </c>
      <c r="AF235" s="61">
        <v>1</v>
      </c>
      <c r="AG235" s="66">
        <f t="shared" si="132"/>
        <v>159.4</v>
      </c>
      <c r="AH235" s="66" t="str">
        <f t="shared" si="133"/>
        <v/>
      </c>
      <c r="AI235" s="67" t="str">
        <f t="shared" si="134"/>
        <v/>
      </c>
      <c r="AJ235" s="61">
        <v>1</v>
      </c>
      <c r="AK235" s="66">
        <f t="shared" si="135"/>
        <v>159.4</v>
      </c>
      <c r="AL235" s="66" t="str">
        <f t="shared" si="136"/>
        <v/>
      </c>
      <c r="AM235" s="67" t="str">
        <f t="shared" si="137"/>
        <v/>
      </c>
      <c r="AN235" s="61">
        <v>-1</v>
      </c>
      <c r="AO235" s="66" t="str">
        <f t="shared" si="138"/>
        <v/>
      </c>
      <c r="AP235" s="66" t="str">
        <f t="shared" si="139"/>
        <v/>
      </c>
      <c r="AQ235" s="67">
        <f t="shared" si="140"/>
        <v>-159.4</v>
      </c>
      <c r="AR235" s="61">
        <v>1</v>
      </c>
      <c r="AS235" s="66">
        <f t="shared" si="141"/>
        <v>159.4</v>
      </c>
      <c r="AT235" s="66" t="str">
        <f t="shared" si="142"/>
        <v/>
      </c>
      <c r="AU235" s="67" t="str">
        <f t="shared" si="143"/>
        <v/>
      </c>
      <c r="AV235" s="61">
        <v>1</v>
      </c>
      <c r="AW235" s="66">
        <f t="shared" si="126"/>
        <v>159.4</v>
      </c>
      <c r="AX235" s="66" t="str">
        <f t="shared" si="127"/>
        <v/>
      </c>
      <c r="AY235" s="67" t="str">
        <f t="shared" si="128"/>
        <v/>
      </c>
      <c r="AZ235" s="61">
        <v>-1</v>
      </c>
      <c r="BA235" s="66" t="str">
        <f t="shared" si="129"/>
        <v/>
      </c>
      <c r="BB235" s="66" t="str">
        <f t="shared" si="130"/>
        <v/>
      </c>
      <c r="BC235" s="67">
        <f t="shared" si="131"/>
        <v>-159.4</v>
      </c>
    </row>
    <row r="236" spans="30:55">
      <c r="AD236" s="68" t="str">
        <v>18</v>
      </c>
      <c r="AE236" s="61">
        <v>174.8</v>
      </c>
      <c r="AF236" s="61">
        <v>-1</v>
      </c>
      <c r="AG236" s="66" t="str">
        <f t="shared" si="132"/>
        <v/>
      </c>
      <c r="AH236" s="66" t="str">
        <f t="shared" si="133"/>
        <v/>
      </c>
      <c r="AI236" s="67">
        <f t="shared" si="134"/>
        <v>-174.8</v>
      </c>
      <c r="AJ236" s="61">
        <v>1</v>
      </c>
      <c r="AK236" s="66">
        <f t="shared" si="135"/>
        <v>174.8</v>
      </c>
      <c r="AL236" s="66" t="str">
        <f t="shared" si="136"/>
        <v/>
      </c>
      <c r="AM236" s="67" t="str">
        <f t="shared" si="137"/>
        <v/>
      </c>
      <c r="AN236" s="61">
        <v>-1</v>
      </c>
      <c r="AO236" s="66" t="str">
        <f t="shared" si="138"/>
        <v/>
      </c>
      <c r="AP236" s="66" t="str">
        <f t="shared" si="139"/>
        <v/>
      </c>
      <c r="AQ236" s="67">
        <f t="shared" si="140"/>
        <v>-174.8</v>
      </c>
      <c r="AR236" s="61">
        <v>-1</v>
      </c>
      <c r="AS236" s="66" t="str">
        <f t="shared" si="141"/>
        <v/>
      </c>
      <c r="AT236" s="66" t="str">
        <f t="shared" si="142"/>
        <v/>
      </c>
      <c r="AU236" s="67">
        <f t="shared" si="143"/>
        <v>-174.8</v>
      </c>
      <c r="AV236" s="61">
        <v>1</v>
      </c>
      <c r="AW236" s="66">
        <f t="shared" si="126"/>
        <v>174.8</v>
      </c>
      <c r="AX236" s="66" t="str">
        <f t="shared" si="127"/>
        <v/>
      </c>
      <c r="AY236" s="67" t="str">
        <f t="shared" si="128"/>
        <v/>
      </c>
      <c r="AZ236" s="61">
        <v>1</v>
      </c>
      <c r="BA236" s="66">
        <f t="shared" si="129"/>
        <v>174.8</v>
      </c>
      <c r="BB236" s="66" t="str">
        <f t="shared" si="130"/>
        <v/>
      </c>
      <c r="BC236" s="67" t="str">
        <f t="shared" si="131"/>
        <v/>
      </c>
    </row>
    <row r="237" spans="30:55">
      <c r="AD237" s="68" t="str">
        <v>19</v>
      </c>
      <c r="AE237" s="61">
        <v>182</v>
      </c>
      <c r="AF237" s="61">
        <v>-1</v>
      </c>
      <c r="AG237" s="66" t="str">
        <f t="shared" si="132"/>
        <v/>
      </c>
      <c r="AH237" s="66" t="str">
        <f t="shared" si="133"/>
        <v/>
      </c>
      <c r="AI237" s="67">
        <f t="shared" si="134"/>
        <v>-182</v>
      </c>
      <c r="AJ237" s="61">
        <v>1</v>
      </c>
      <c r="AK237" s="66">
        <f t="shared" si="135"/>
        <v>182</v>
      </c>
      <c r="AL237" s="66" t="str">
        <f t="shared" si="136"/>
        <v/>
      </c>
      <c r="AM237" s="67" t="str">
        <f t="shared" si="137"/>
        <v/>
      </c>
      <c r="AN237" s="61">
        <v>-1</v>
      </c>
      <c r="AO237" s="66" t="str">
        <f t="shared" si="138"/>
        <v/>
      </c>
      <c r="AP237" s="66" t="str">
        <f t="shared" si="139"/>
        <v/>
      </c>
      <c r="AQ237" s="67">
        <f t="shared" si="140"/>
        <v>-182</v>
      </c>
      <c r="AR237" s="61">
        <v>-1</v>
      </c>
      <c r="AS237" s="66" t="str">
        <f t="shared" si="141"/>
        <v/>
      </c>
      <c r="AT237" s="66" t="str">
        <f t="shared" si="142"/>
        <v/>
      </c>
      <c r="AU237" s="67">
        <f t="shared" si="143"/>
        <v>-182</v>
      </c>
      <c r="AV237" s="61">
        <v>0</v>
      </c>
      <c r="AW237" s="66" t="str">
        <f t="shared" si="126"/>
        <v/>
      </c>
      <c r="AX237" s="66">
        <f t="shared" si="127"/>
        <v>0</v>
      </c>
      <c r="AY237" s="67" t="str">
        <f t="shared" si="128"/>
        <v/>
      </c>
      <c r="AZ237" s="61">
        <v>1</v>
      </c>
      <c r="BA237" s="66">
        <f t="shared" si="129"/>
        <v>182</v>
      </c>
      <c r="BB237" s="66" t="str">
        <f t="shared" si="130"/>
        <v/>
      </c>
      <c r="BC237" s="67" t="str">
        <f t="shared" si="131"/>
        <v/>
      </c>
    </row>
    <row r="238" spans="30:55">
      <c r="AD238" s="68" t="str">
        <v>20</v>
      </c>
      <c r="AE238" s="61">
        <v>177.1</v>
      </c>
      <c r="AF238" s="61">
        <v>-1</v>
      </c>
      <c r="AG238" s="66" t="str">
        <f t="shared" si="132"/>
        <v/>
      </c>
      <c r="AH238" s="66" t="str">
        <f t="shared" si="133"/>
        <v/>
      </c>
      <c r="AI238" s="67">
        <f t="shared" si="134"/>
        <v>-177.1</v>
      </c>
      <c r="AJ238" s="61">
        <v>1</v>
      </c>
      <c r="AK238" s="66">
        <f t="shared" si="135"/>
        <v>177.1</v>
      </c>
      <c r="AL238" s="66" t="str">
        <f t="shared" si="136"/>
        <v/>
      </c>
      <c r="AM238" s="67" t="str">
        <f t="shared" si="137"/>
        <v/>
      </c>
      <c r="AN238" s="61">
        <v>-1</v>
      </c>
      <c r="AO238" s="66" t="str">
        <f t="shared" si="138"/>
        <v/>
      </c>
      <c r="AP238" s="66" t="str">
        <f t="shared" si="139"/>
        <v/>
      </c>
      <c r="AQ238" s="67">
        <f t="shared" si="140"/>
        <v>-177.1</v>
      </c>
      <c r="AR238" s="61">
        <v>-1</v>
      </c>
      <c r="AS238" s="66" t="str">
        <f t="shared" si="141"/>
        <v/>
      </c>
      <c r="AT238" s="66" t="str">
        <f t="shared" si="142"/>
        <v/>
      </c>
      <c r="AU238" s="67">
        <f t="shared" si="143"/>
        <v>-177.1</v>
      </c>
      <c r="AV238" s="61">
        <v>-1</v>
      </c>
      <c r="AW238" s="66" t="str">
        <f t="shared" si="126"/>
        <v/>
      </c>
      <c r="AX238" s="66" t="str">
        <f t="shared" si="127"/>
        <v/>
      </c>
      <c r="AY238" s="67">
        <f t="shared" si="128"/>
        <v>-177.1</v>
      </c>
      <c r="AZ238" s="61">
        <v>1</v>
      </c>
      <c r="BA238" s="66">
        <f t="shared" si="129"/>
        <v>177.1</v>
      </c>
      <c r="BB238" s="66" t="str">
        <f t="shared" si="130"/>
        <v/>
      </c>
      <c r="BC238" s="67" t="str">
        <f t="shared" si="131"/>
        <v/>
      </c>
    </row>
    <row r="239" spans="30:55">
      <c r="AD239" s="68" t="str">
        <v>21</v>
      </c>
      <c r="AE239" s="61">
        <v>158.80000000000001</v>
      </c>
      <c r="AF239" s="61">
        <v>-1</v>
      </c>
      <c r="AG239" s="66" t="str">
        <f t="shared" si="132"/>
        <v/>
      </c>
      <c r="AH239" s="66" t="str">
        <f t="shared" si="133"/>
        <v/>
      </c>
      <c r="AI239" s="67">
        <f t="shared" si="134"/>
        <v>-158.80000000000001</v>
      </c>
      <c r="AJ239" s="61">
        <v>1</v>
      </c>
      <c r="AK239" s="66">
        <f t="shared" si="135"/>
        <v>158.80000000000001</v>
      </c>
      <c r="AL239" s="66" t="str">
        <f t="shared" si="136"/>
        <v/>
      </c>
      <c r="AM239" s="67" t="str">
        <f t="shared" si="137"/>
        <v/>
      </c>
      <c r="AN239" s="61">
        <v>1</v>
      </c>
      <c r="AO239" s="66">
        <f t="shared" si="138"/>
        <v>158.80000000000001</v>
      </c>
      <c r="AP239" s="66" t="str">
        <f t="shared" si="139"/>
        <v/>
      </c>
      <c r="AQ239" s="67" t="str">
        <f t="shared" si="140"/>
        <v/>
      </c>
      <c r="AR239" s="61">
        <v>-1</v>
      </c>
      <c r="AS239" s="66" t="str">
        <f t="shared" si="141"/>
        <v/>
      </c>
      <c r="AT239" s="66" t="str">
        <f t="shared" si="142"/>
        <v/>
      </c>
      <c r="AU239" s="67">
        <f t="shared" si="143"/>
        <v>-158.80000000000001</v>
      </c>
      <c r="AV239" s="61">
        <v>-1</v>
      </c>
      <c r="AW239" s="66" t="str">
        <f t="shared" si="126"/>
        <v/>
      </c>
      <c r="AX239" s="66" t="str">
        <f t="shared" si="127"/>
        <v/>
      </c>
      <c r="AY239" s="67">
        <f t="shared" si="128"/>
        <v>-158.80000000000001</v>
      </c>
      <c r="AZ239" s="61">
        <v>-1</v>
      </c>
      <c r="BA239" s="66" t="str">
        <f t="shared" si="129"/>
        <v/>
      </c>
      <c r="BB239" s="66" t="str">
        <f t="shared" si="130"/>
        <v/>
      </c>
      <c r="BC239" s="67">
        <f t="shared" si="131"/>
        <v>-158.80000000000001</v>
      </c>
    </row>
    <row r="240" spans="30:55">
      <c r="AD240" s="68" t="str">
        <v>22</v>
      </c>
      <c r="AE240" s="61">
        <v>136</v>
      </c>
      <c r="AF240" s="61">
        <v>-1</v>
      </c>
      <c r="AG240" s="66" t="str">
        <f t="shared" si="132"/>
        <v/>
      </c>
      <c r="AH240" s="66" t="str">
        <f t="shared" si="133"/>
        <v/>
      </c>
      <c r="AI240" s="67">
        <f t="shared" si="134"/>
        <v>-136</v>
      </c>
      <c r="AJ240" s="61">
        <v>1</v>
      </c>
      <c r="AK240" s="66">
        <f t="shared" si="135"/>
        <v>136</v>
      </c>
      <c r="AL240" s="66" t="str">
        <f t="shared" si="136"/>
        <v/>
      </c>
      <c r="AM240" s="67" t="str">
        <f t="shared" si="137"/>
        <v/>
      </c>
      <c r="AN240" s="61">
        <v>1</v>
      </c>
      <c r="AO240" s="66">
        <f t="shared" si="138"/>
        <v>136</v>
      </c>
      <c r="AP240" s="66" t="str">
        <f t="shared" si="139"/>
        <v/>
      </c>
      <c r="AQ240" s="67" t="str">
        <f t="shared" si="140"/>
        <v/>
      </c>
      <c r="AR240" s="61">
        <v>-1</v>
      </c>
      <c r="AS240" s="66" t="str">
        <f t="shared" si="141"/>
        <v/>
      </c>
      <c r="AT240" s="66" t="str">
        <f t="shared" si="142"/>
        <v/>
      </c>
      <c r="AU240" s="67">
        <f t="shared" si="143"/>
        <v>-136</v>
      </c>
      <c r="AV240" s="61">
        <v>0</v>
      </c>
      <c r="AW240" s="66" t="str">
        <f t="shared" si="126"/>
        <v/>
      </c>
      <c r="AX240" s="66">
        <f t="shared" si="127"/>
        <v>0</v>
      </c>
      <c r="AY240" s="67" t="str">
        <f t="shared" si="128"/>
        <v/>
      </c>
      <c r="AZ240" s="61">
        <v>-1</v>
      </c>
      <c r="BA240" s="66" t="str">
        <f t="shared" si="129"/>
        <v/>
      </c>
      <c r="BB240" s="66" t="str">
        <f t="shared" si="130"/>
        <v/>
      </c>
      <c r="BC240" s="67">
        <f t="shared" si="131"/>
        <v>-136</v>
      </c>
    </row>
    <row r="241" spans="29:55">
      <c r="AD241" s="68" t="str">
        <v>23</v>
      </c>
      <c r="AE241" s="61">
        <v>112.4</v>
      </c>
      <c r="AF241" s="61">
        <v>-1</v>
      </c>
      <c r="AG241" s="66" t="str">
        <f t="shared" si="132"/>
        <v/>
      </c>
      <c r="AH241" s="66" t="str">
        <f t="shared" si="133"/>
        <v/>
      </c>
      <c r="AI241" s="67">
        <f t="shared" si="134"/>
        <v>-112.4</v>
      </c>
      <c r="AJ241" s="61">
        <v>1</v>
      </c>
      <c r="AK241" s="66">
        <f t="shared" si="135"/>
        <v>112.4</v>
      </c>
      <c r="AL241" s="66" t="str">
        <f t="shared" si="136"/>
        <v/>
      </c>
      <c r="AM241" s="67" t="str">
        <f t="shared" si="137"/>
        <v/>
      </c>
      <c r="AN241" s="61">
        <v>1</v>
      </c>
      <c r="AO241" s="66">
        <f t="shared" si="138"/>
        <v>112.4</v>
      </c>
      <c r="AP241" s="66" t="str">
        <f t="shared" si="139"/>
        <v/>
      </c>
      <c r="AQ241" s="67" t="str">
        <f t="shared" si="140"/>
        <v/>
      </c>
      <c r="AR241" s="61">
        <v>-1</v>
      </c>
      <c r="AS241" s="66" t="str">
        <f t="shared" si="141"/>
        <v/>
      </c>
      <c r="AT241" s="66" t="str">
        <f t="shared" si="142"/>
        <v/>
      </c>
      <c r="AU241" s="67">
        <f t="shared" si="143"/>
        <v>-112.4</v>
      </c>
      <c r="AV241" s="61">
        <v>1</v>
      </c>
      <c r="AW241" s="66">
        <f t="shared" si="126"/>
        <v>112.4</v>
      </c>
      <c r="AX241" s="66" t="str">
        <f t="shared" si="127"/>
        <v/>
      </c>
      <c r="AY241" s="67" t="str">
        <f t="shared" si="128"/>
        <v/>
      </c>
      <c r="AZ241" s="61">
        <v>-1</v>
      </c>
      <c r="BA241" s="66" t="str">
        <f t="shared" si="129"/>
        <v/>
      </c>
      <c r="BB241" s="66" t="str">
        <f t="shared" si="130"/>
        <v/>
      </c>
      <c r="BC241" s="67">
        <f t="shared" si="131"/>
        <v>-112.4</v>
      </c>
    </row>
    <row r="242" spans="29:55" ht="15.75" thickBot="1">
      <c r="AC242" s="476">
        <f>AD214</f>
        <v>44716</v>
      </c>
      <c r="AD242" s="69" t="s">
        <v>85</v>
      </c>
      <c r="AE242" s="70">
        <f>SUM(AE218:AE241)</f>
        <v>3981.5500000000011</v>
      </c>
      <c r="AF242" s="70"/>
      <c r="AG242" s="71">
        <f>ABS(SUM(AG218:AG241))</f>
        <v>2332.75</v>
      </c>
      <c r="AH242" s="70"/>
      <c r="AI242" s="72">
        <f>ABS(SUM(AI218:AI241))</f>
        <v>1648.8</v>
      </c>
      <c r="AJ242" s="70"/>
      <c r="AK242" s="71">
        <f>ABS(SUM(AK218:AK241))</f>
        <v>1818.25</v>
      </c>
      <c r="AL242" s="70"/>
      <c r="AM242" s="72">
        <f>ABS(SUM(AM218:AM241))</f>
        <v>2163.3000000000002</v>
      </c>
      <c r="AN242" s="70"/>
      <c r="AO242" s="71">
        <f>ABS(SUM(AO218:AO241))</f>
        <v>1782.8500000000001</v>
      </c>
      <c r="AP242" s="70"/>
      <c r="AQ242" s="72">
        <f>ABS(SUM(AQ218:AQ241))</f>
        <v>2198.7000000000003</v>
      </c>
      <c r="AR242" s="70"/>
      <c r="AS242" s="71">
        <f>ABS(SUM(AS218:AS241))</f>
        <v>1584.8500000000001</v>
      </c>
      <c r="AT242" s="70"/>
      <c r="AU242" s="72">
        <f>ABS(SUM(AU218:AU241))</f>
        <v>2396.6999999999998</v>
      </c>
      <c r="AV242" s="70"/>
      <c r="AW242" s="71">
        <f>ABS(SUM(AW218:AW241))</f>
        <v>1329.7</v>
      </c>
      <c r="AX242" s="70"/>
      <c r="AY242" s="72">
        <f>ABS(SUM(AY218:AY241))</f>
        <v>1327.3999999999999</v>
      </c>
      <c r="AZ242" s="70"/>
      <c r="BA242" s="71">
        <f>ABS(SUM(BA218:BA241))</f>
        <v>1981.9499999999998</v>
      </c>
      <c r="BB242" s="70"/>
      <c r="BC242" s="72">
        <f>ABS(SUM(BC218:BC241))</f>
        <v>1999.6000000000001</v>
      </c>
    </row>
    <row r="244" spans="29:55" ht="15" thickBot="1">
      <c r="AD244" s="476">
        <f>skemA1!B13</f>
        <v>44717</v>
      </c>
    </row>
    <row r="245" spans="29:55" ht="15" thickBot="1">
      <c r="AD245" s="677" t="s">
        <v>75</v>
      </c>
      <c r="AE245" s="60" t="s">
        <v>558</v>
      </c>
      <c r="AF245" s="672" t="s">
        <v>559</v>
      </c>
      <c r="AG245" s="672"/>
      <c r="AH245" s="672"/>
      <c r="AI245" s="673"/>
      <c r="AJ245" s="672" t="s">
        <v>562</v>
      </c>
      <c r="AK245" s="672"/>
      <c r="AL245" s="672"/>
      <c r="AM245" s="673"/>
      <c r="AN245" s="672" t="s">
        <v>563</v>
      </c>
      <c r="AO245" s="672"/>
      <c r="AP245" s="672"/>
      <c r="AQ245" s="673"/>
      <c r="AR245" s="672" t="s">
        <v>564</v>
      </c>
      <c r="AS245" s="672"/>
      <c r="AT245" s="672"/>
      <c r="AU245" s="673"/>
      <c r="AV245" s="672" t="s">
        <v>565</v>
      </c>
      <c r="AW245" s="672"/>
      <c r="AX245" s="672"/>
      <c r="AY245" s="673"/>
      <c r="AZ245" s="672" t="s">
        <v>566</v>
      </c>
      <c r="BA245" s="672"/>
      <c r="BB245" s="672"/>
      <c r="BC245" s="673"/>
    </row>
    <row r="246" spans="29:55" ht="15" thickBot="1">
      <c r="AD246" s="677"/>
      <c r="AE246" s="61"/>
      <c r="AF246" s="674" t="s">
        <v>561</v>
      </c>
      <c r="AG246" s="670" t="s">
        <v>560</v>
      </c>
      <c r="AH246" s="670"/>
      <c r="AI246" s="671"/>
      <c r="AJ246" s="674" t="s">
        <v>561</v>
      </c>
      <c r="AK246" s="670" t="s">
        <v>560</v>
      </c>
      <c r="AL246" s="670"/>
      <c r="AM246" s="671"/>
      <c r="AN246" s="674" t="s">
        <v>561</v>
      </c>
      <c r="AO246" s="670" t="s">
        <v>560</v>
      </c>
      <c r="AP246" s="670"/>
      <c r="AQ246" s="671"/>
      <c r="AR246" s="674" t="s">
        <v>561</v>
      </c>
      <c r="AS246" s="670" t="s">
        <v>560</v>
      </c>
      <c r="AT246" s="670"/>
      <c r="AU246" s="671"/>
      <c r="AV246" s="674" t="s">
        <v>561</v>
      </c>
      <c r="AW246" s="670" t="s">
        <v>560</v>
      </c>
      <c r="AX246" s="670"/>
      <c r="AY246" s="671"/>
      <c r="AZ246" s="674" t="s">
        <v>561</v>
      </c>
      <c r="BA246" s="670" t="s">
        <v>560</v>
      </c>
      <c r="BB246" s="670"/>
      <c r="BC246" s="671"/>
    </row>
    <row r="247" spans="29:55">
      <c r="AD247" s="677"/>
      <c r="AE247" s="62"/>
      <c r="AF247" s="674"/>
      <c r="AG247" s="63" t="s">
        <v>76</v>
      </c>
      <c r="AH247" s="63">
        <v>0</v>
      </c>
      <c r="AI247" s="64" t="s">
        <v>77</v>
      </c>
      <c r="AJ247" s="674"/>
      <c r="AK247" s="63" t="s">
        <v>76</v>
      </c>
      <c r="AL247" s="63">
        <v>0</v>
      </c>
      <c r="AM247" s="64" t="s">
        <v>77</v>
      </c>
      <c r="AN247" s="674"/>
      <c r="AO247" s="63" t="s">
        <v>76</v>
      </c>
      <c r="AP247" s="63">
        <v>0</v>
      </c>
      <c r="AQ247" s="64" t="s">
        <v>77</v>
      </c>
      <c r="AR247" s="674"/>
      <c r="AS247" s="63" t="s">
        <v>76</v>
      </c>
      <c r="AT247" s="63">
        <v>0</v>
      </c>
      <c r="AU247" s="64" t="s">
        <v>77</v>
      </c>
      <c r="AV247" s="674"/>
      <c r="AW247" s="63" t="s">
        <v>76</v>
      </c>
      <c r="AX247" s="63">
        <v>0</v>
      </c>
      <c r="AY247" s="64" t="s">
        <v>77</v>
      </c>
      <c r="AZ247" s="674"/>
      <c r="BA247" s="63" t="s">
        <v>76</v>
      </c>
      <c r="BB247" s="63">
        <v>0</v>
      </c>
      <c r="BC247" s="64" t="s">
        <v>77</v>
      </c>
    </row>
    <row r="248" spans="29:55">
      <c r="AD248" s="65" t="str">
        <f t="array" ref="AD248:AD271">TRANSPOSE($C$5:$Z$5)</f>
        <v>00</v>
      </c>
      <c r="AE248" s="66">
        <f t="array" ref="AE248:AE271">TRANSPOSE(skemA1!$C$13:$Z$13)</f>
        <v>90.5</v>
      </c>
      <c r="AF248" s="66">
        <f t="array" ref="AF248:AF271">TRANSPOSE($C$6:$Z$6)</f>
        <v>-1</v>
      </c>
      <c r="AG248" s="66" t="str">
        <f>IF(AF248&gt;0,AF248*$AE248,"")</f>
        <v/>
      </c>
      <c r="AH248" s="66" t="str">
        <f>IF(AF248=0,AF248*$AE248,"")</f>
        <v/>
      </c>
      <c r="AI248" s="67">
        <f>IF(AF248&lt;0,AF248*$AE248,"")</f>
        <v>-90.5</v>
      </c>
      <c r="AJ248" s="66">
        <f t="array" ref="AJ248:AJ271">TRANSPOSE($C$7:$Z$7)</f>
        <v>-1</v>
      </c>
      <c r="AK248" s="66" t="str">
        <f>IF(AJ248&gt;0,AJ248*$AE248,"")</f>
        <v/>
      </c>
      <c r="AL248" s="66" t="str">
        <f>IF(AJ248=0,AJ248*$AE248,"")</f>
        <v/>
      </c>
      <c r="AM248" s="67">
        <f>IF(AJ248&lt;0,AJ248*$AE248,"")</f>
        <v>-90.5</v>
      </c>
      <c r="AN248" s="66">
        <f t="array" ref="AN248:AN271">TRANSPOSE($C$8:$Z$8)</f>
        <v>1</v>
      </c>
      <c r="AO248" s="66">
        <f>IF(AN248&gt;0,AN248*$AE248,"")</f>
        <v>90.5</v>
      </c>
      <c r="AP248" s="66" t="str">
        <f>IF(AN248=0,AN248*$AE248,"")</f>
        <v/>
      </c>
      <c r="AQ248" s="67" t="str">
        <f>IF(AN248&lt;0,AN248*$AE248,"")</f>
        <v/>
      </c>
      <c r="AR248" s="66">
        <f t="array" ref="AR248:AR271">TRANSPOSE($C$9:$Z$9)</f>
        <v>1</v>
      </c>
      <c r="AS248" s="66">
        <f>IF(AR248&gt;0,AR248*$AE248,"")</f>
        <v>90.5</v>
      </c>
      <c r="AT248" s="66" t="str">
        <f>IF(AR248=0,AR248*$AE248,"")</f>
        <v/>
      </c>
      <c r="AU248" s="67" t="str">
        <f>IF(AR248&lt;0,AR248*$AE248,"")</f>
        <v/>
      </c>
      <c r="AV248" s="66">
        <f t="array" ref="AV248:AV271">TRANSPOSE($C$10:$Z$10)</f>
        <v>1</v>
      </c>
      <c r="AW248" s="66">
        <f t="shared" ref="AW248:AW271" si="144">IF(AV248&gt;0,AV248*$AE248,"")</f>
        <v>90.5</v>
      </c>
      <c r="AX248" s="66" t="str">
        <f t="shared" ref="AX248:AX271" si="145">IF(AV248=0,AV248*$AE248,"")</f>
        <v/>
      </c>
      <c r="AY248" s="67" t="str">
        <f t="shared" ref="AY248:AY271" si="146">IF(AV248&lt;0,AV248*$AE248,"")</f>
        <v/>
      </c>
      <c r="AZ248" s="66">
        <f t="array" ref="AZ248:AZ271">TRANSPOSE($C$11:$Z$11)</f>
        <v>1</v>
      </c>
      <c r="BA248" s="66">
        <f t="shared" ref="BA248:BA271" si="147">IF(AZ248&gt;0,AZ248*$AE248,"")</f>
        <v>90.5</v>
      </c>
      <c r="BB248" s="66" t="str">
        <f t="shared" ref="BB248:BB271" si="148">IF(AZ248=0,AZ248*$AE248,"")</f>
        <v/>
      </c>
      <c r="BC248" s="67" t="str">
        <f t="shared" ref="BC248:BC271" si="149">IF(AZ248&lt;0,AZ248*$AE248,"")</f>
        <v/>
      </c>
    </row>
    <row r="249" spans="29:55">
      <c r="AD249" s="68" t="str">
        <v>01</v>
      </c>
      <c r="AE249" s="61">
        <v>78.600000000000009</v>
      </c>
      <c r="AF249" s="61">
        <v>-1</v>
      </c>
      <c r="AG249" s="66" t="str">
        <f t="shared" ref="AG249:AG271" si="150">IF(AF249&gt;0,AF249*$AE249,"")</f>
        <v/>
      </c>
      <c r="AH249" s="66" t="str">
        <f t="shared" ref="AH249:AH271" si="151">IF(AF249=0,AF249*$AE249,"")</f>
        <v/>
      </c>
      <c r="AI249" s="67">
        <f t="shared" ref="AI249:AI271" si="152">IF(AF249&lt;0,AF249*$AE249,"")</f>
        <v>-78.600000000000009</v>
      </c>
      <c r="AJ249" s="61">
        <v>-1</v>
      </c>
      <c r="AK249" s="66" t="str">
        <f t="shared" ref="AK249:AK271" si="153">IF(AJ249&gt;0,AJ249*$AE249,"")</f>
        <v/>
      </c>
      <c r="AL249" s="66" t="str">
        <f t="shared" ref="AL249:AL271" si="154">IF(AJ249=0,AJ249*$AE249,"")</f>
        <v/>
      </c>
      <c r="AM249" s="67">
        <f t="shared" ref="AM249:AM271" si="155">IF(AJ249&lt;0,AJ249*$AE249,"")</f>
        <v>-78.600000000000009</v>
      </c>
      <c r="AN249" s="61">
        <v>1</v>
      </c>
      <c r="AO249" s="66">
        <f t="shared" ref="AO249:AO271" si="156">IF(AN249&gt;0,AN249*$AE249,"")</f>
        <v>78.600000000000009</v>
      </c>
      <c r="AP249" s="66" t="str">
        <f t="shared" ref="AP249:AP271" si="157">IF(AN249=0,AN249*$AE249,"")</f>
        <v/>
      </c>
      <c r="AQ249" s="67" t="str">
        <f t="shared" ref="AQ249:AQ271" si="158">IF(AN249&lt;0,AN249*$AE249,"")</f>
        <v/>
      </c>
      <c r="AR249" s="61">
        <v>1</v>
      </c>
      <c r="AS249" s="66">
        <f t="shared" ref="AS249:AS271" si="159">IF(AR249&gt;0,AR249*$AE249,"")</f>
        <v>78.600000000000009</v>
      </c>
      <c r="AT249" s="66" t="str">
        <f t="shared" ref="AT249:AT271" si="160">IF(AR249=0,AR249*$AE249,"")</f>
        <v/>
      </c>
      <c r="AU249" s="67" t="str">
        <f t="shared" ref="AU249:AU271" si="161">IF(AR249&lt;0,AR249*$AE249,"")</f>
        <v/>
      </c>
      <c r="AV249" s="61">
        <v>0</v>
      </c>
      <c r="AW249" s="66" t="str">
        <f t="shared" si="144"/>
        <v/>
      </c>
      <c r="AX249" s="66">
        <f t="shared" si="145"/>
        <v>0</v>
      </c>
      <c r="AY249" s="67" t="str">
        <f t="shared" si="146"/>
        <v/>
      </c>
      <c r="AZ249" s="61">
        <v>1</v>
      </c>
      <c r="BA249" s="66">
        <f t="shared" si="147"/>
        <v>78.600000000000009</v>
      </c>
      <c r="BB249" s="66" t="str">
        <f t="shared" si="148"/>
        <v/>
      </c>
      <c r="BC249" s="67" t="str">
        <f t="shared" si="149"/>
        <v/>
      </c>
    </row>
    <row r="250" spans="29:55">
      <c r="AD250" s="68" t="str">
        <v>02</v>
      </c>
      <c r="AE250" s="61">
        <v>84.5</v>
      </c>
      <c r="AF250" s="61">
        <v>-1</v>
      </c>
      <c r="AG250" s="66" t="str">
        <f t="shared" si="150"/>
        <v/>
      </c>
      <c r="AH250" s="66" t="str">
        <f t="shared" si="151"/>
        <v/>
      </c>
      <c r="AI250" s="67">
        <f t="shared" si="152"/>
        <v>-84.5</v>
      </c>
      <c r="AJ250" s="61">
        <v>-1</v>
      </c>
      <c r="AK250" s="66" t="str">
        <f t="shared" si="153"/>
        <v/>
      </c>
      <c r="AL250" s="66" t="str">
        <f t="shared" si="154"/>
        <v/>
      </c>
      <c r="AM250" s="67">
        <f t="shared" si="155"/>
        <v>-84.5</v>
      </c>
      <c r="AN250" s="61">
        <v>1</v>
      </c>
      <c r="AO250" s="66">
        <f t="shared" si="156"/>
        <v>84.5</v>
      </c>
      <c r="AP250" s="66" t="str">
        <f t="shared" si="157"/>
        <v/>
      </c>
      <c r="AQ250" s="67" t="str">
        <f t="shared" si="158"/>
        <v/>
      </c>
      <c r="AR250" s="61">
        <v>1</v>
      </c>
      <c r="AS250" s="66">
        <f t="shared" si="159"/>
        <v>84.5</v>
      </c>
      <c r="AT250" s="66" t="str">
        <f t="shared" si="160"/>
        <v/>
      </c>
      <c r="AU250" s="67" t="str">
        <f t="shared" si="161"/>
        <v/>
      </c>
      <c r="AV250" s="61">
        <v>-1</v>
      </c>
      <c r="AW250" s="66" t="str">
        <f t="shared" si="144"/>
        <v/>
      </c>
      <c r="AX250" s="66" t="str">
        <f t="shared" si="145"/>
        <v/>
      </c>
      <c r="AY250" s="67">
        <f t="shared" si="146"/>
        <v>-84.5</v>
      </c>
      <c r="AZ250" s="61">
        <v>1</v>
      </c>
      <c r="BA250" s="66">
        <f t="shared" si="147"/>
        <v>84.5</v>
      </c>
      <c r="BB250" s="66" t="str">
        <f t="shared" si="148"/>
        <v/>
      </c>
      <c r="BC250" s="67" t="str">
        <f t="shared" si="149"/>
        <v/>
      </c>
    </row>
    <row r="251" spans="29:55">
      <c r="AD251" s="68" t="str">
        <v>03</v>
      </c>
      <c r="AE251" s="61">
        <v>107</v>
      </c>
      <c r="AF251" s="61">
        <v>-1</v>
      </c>
      <c r="AG251" s="66" t="str">
        <f t="shared" si="150"/>
        <v/>
      </c>
      <c r="AH251" s="66" t="str">
        <f t="shared" si="151"/>
        <v/>
      </c>
      <c r="AI251" s="67">
        <f t="shared" si="152"/>
        <v>-107</v>
      </c>
      <c r="AJ251" s="61">
        <v>-1</v>
      </c>
      <c r="AK251" s="66" t="str">
        <f t="shared" si="153"/>
        <v/>
      </c>
      <c r="AL251" s="66" t="str">
        <f t="shared" si="154"/>
        <v/>
      </c>
      <c r="AM251" s="67">
        <f t="shared" si="155"/>
        <v>-107</v>
      </c>
      <c r="AN251" s="61">
        <v>-1</v>
      </c>
      <c r="AO251" s="66" t="str">
        <f t="shared" si="156"/>
        <v/>
      </c>
      <c r="AP251" s="66" t="str">
        <f t="shared" si="157"/>
        <v/>
      </c>
      <c r="AQ251" s="67">
        <f t="shared" si="158"/>
        <v>-107</v>
      </c>
      <c r="AR251" s="61">
        <v>1</v>
      </c>
      <c r="AS251" s="66">
        <f t="shared" si="159"/>
        <v>107</v>
      </c>
      <c r="AT251" s="66" t="str">
        <f t="shared" si="160"/>
        <v/>
      </c>
      <c r="AU251" s="67" t="str">
        <f t="shared" si="161"/>
        <v/>
      </c>
      <c r="AV251" s="61">
        <v>-1</v>
      </c>
      <c r="AW251" s="66" t="str">
        <f t="shared" si="144"/>
        <v/>
      </c>
      <c r="AX251" s="66" t="str">
        <f t="shared" si="145"/>
        <v/>
      </c>
      <c r="AY251" s="67">
        <f t="shared" si="146"/>
        <v>-107</v>
      </c>
      <c r="AZ251" s="61">
        <v>-1</v>
      </c>
      <c r="BA251" s="66" t="str">
        <f t="shared" si="147"/>
        <v/>
      </c>
      <c r="BB251" s="66" t="str">
        <f t="shared" si="148"/>
        <v/>
      </c>
      <c r="BC251" s="67">
        <f t="shared" si="149"/>
        <v>-107</v>
      </c>
    </row>
    <row r="252" spans="29:55">
      <c r="AD252" s="68" t="str">
        <v>04</v>
      </c>
      <c r="AE252" s="61">
        <v>141.30000000000001</v>
      </c>
      <c r="AF252" s="61">
        <v>-1</v>
      </c>
      <c r="AG252" s="66" t="str">
        <f t="shared" si="150"/>
        <v/>
      </c>
      <c r="AH252" s="66" t="str">
        <f t="shared" si="151"/>
        <v/>
      </c>
      <c r="AI252" s="67">
        <f t="shared" si="152"/>
        <v>-141.30000000000001</v>
      </c>
      <c r="AJ252" s="61">
        <v>-1</v>
      </c>
      <c r="AK252" s="66" t="str">
        <f t="shared" si="153"/>
        <v/>
      </c>
      <c r="AL252" s="66" t="str">
        <f t="shared" si="154"/>
        <v/>
      </c>
      <c r="AM252" s="67">
        <f t="shared" si="155"/>
        <v>-141.30000000000001</v>
      </c>
      <c r="AN252" s="61">
        <v>-1</v>
      </c>
      <c r="AO252" s="66" t="str">
        <f t="shared" si="156"/>
        <v/>
      </c>
      <c r="AP252" s="66" t="str">
        <f t="shared" si="157"/>
        <v/>
      </c>
      <c r="AQ252" s="67">
        <f t="shared" si="158"/>
        <v>-141.30000000000001</v>
      </c>
      <c r="AR252" s="61">
        <v>1</v>
      </c>
      <c r="AS252" s="66">
        <f t="shared" si="159"/>
        <v>141.30000000000001</v>
      </c>
      <c r="AT252" s="66" t="str">
        <f t="shared" si="160"/>
        <v/>
      </c>
      <c r="AU252" s="67" t="str">
        <f t="shared" si="161"/>
        <v/>
      </c>
      <c r="AV252" s="61">
        <v>0</v>
      </c>
      <c r="AW252" s="66" t="str">
        <f t="shared" si="144"/>
        <v/>
      </c>
      <c r="AX252" s="66">
        <f t="shared" si="145"/>
        <v>0</v>
      </c>
      <c r="AY252" s="67" t="str">
        <f t="shared" si="146"/>
        <v/>
      </c>
      <c r="AZ252" s="61">
        <v>-1</v>
      </c>
      <c r="BA252" s="66" t="str">
        <f t="shared" si="147"/>
        <v/>
      </c>
      <c r="BB252" s="66" t="str">
        <f t="shared" si="148"/>
        <v/>
      </c>
      <c r="BC252" s="67">
        <f t="shared" si="149"/>
        <v>-141.30000000000001</v>
      </c>
    </row>
    <row r="253" spans="29:55">
      <c r="AD253" s="68" t="str">
        <v>05</v>
      </c>
      <c r="AE253" s="61">
        <v>179.20000000000002</v>
      </c>
      <c r="AF253" s="61">
        <v>-1</v>
      </c>
      <c r="AG253" s="66" t="str">
        <f t="shared" si="150"/>
        <v/>
      </c>
      <c r="AH253" s="66" t="str">
        <f t="shared" si="151"/>
        <v/>
      </c>
      <c r="AI253" s="67">
        <f t="shared" si="152"/>
        <v>-179.20000000000002</v>
      </c>
      <c r="AJ253" s="61">
        <v>-1</v>
      </c>
      <c r="AK253" s="66" t="str">
        <f t="shared" si="153"/>
        <v/>
      </c>
      <c r="AL253" s="66" t="str">
        <f t="shared" si="154"/>
        <v/>
      </c>
      <c r="AM253" s="67">
        <f t="shared" si="155"/>
        <v>-179.20000000000002</v>
      </c>
      <c r="AN253" s="61">
        <v>-1</v>
      </c>
      <c r="AO253" s="66" t="str">
        <f t="shared" si="156"/>
        <v/>
      </c>
      <c r="AP253" s="66" t="str">
        <f t="shared" si="157"/>
        <v/>
      </c>
      <c r="AQ253" s="67">
        <f t="shared" si="158"/>
        <v>-179.20000000000002</v>
      </c>
      <c r="AR253" s="61">
        <v>1</v>
      </c>
      <c r="AS253" s="66">
        <f t="shared" si="159"/>
        <v>179.20000000000002</v>
      </c>
      <c r="AT253" s="66" t="str">
        <f t="shared" si="160"/>
        <v/>
      </c>
      <c r="AU253" s="67" t="str">
        <f t="shared" si="161"/>
        <v/>
      </c>
      <c r="AV253" s="61">
        <v>1</v>
      </c>
      <c r="AW253" s="66">
        <f t="shared" si="144"/>
        <v>179.20000000000002</v>
      </c>
      <c r="AX253" s="66" t="str">
        <f t="shared" si="145"/>
        <v/>
      </c>
      <c r="AY253" s="67" t="str">
        <f t="shared" si="146"/>
        <v/>
      </c>
      <c r="AZ253" s="61">
        <v>-1</v>
      </c>
      <c r="BA253" s="66" t="str">
        <f t="shared" si="147"/>
        <v/>
      </c>
      <c r="BB253" s="66" t="str">
        <f t="shared" si="148"/>
        <v/>
      </c>
      <c r="BC253" s="67">
        <f t="shared" si="149"/>
        <v>-179.20000000000002</v>
      </c>
    </row>
    <row r="254" spans="29:55">
      <c r="AD254" s="68" t="str">
        <v>06</v>
      </c>
      <c r="AE254" s="61">
        <v>217.89999999999998</v>
      </c>
      <c r="AF254" s="61">
        <v>1</v>
      </c>
      <c r="AG254" s="66">
        <f t="shared" si="150"/>
        <v>217.89999999999998</v>
      </c>
      <c r="AH254" s="66" t="str">
        <f t="shared" si="151"/>
        <v/>
      </c>
      <c r="AI254" s="67" t="str">
        <f t="shared" si="152"/>
        <v/>
      </c>
      <c r="AJ254" s="61">
        <v>-1</v>
      </c>
      <c r="AK254" s="66" t="str">
        <f t="shared" si="153"/>
        <v/>
      </c>
      <c r="AL254" s="66" t="str">
        <f t="shared" si="154"/>
        <v/>
      </c>
      <c r="AM254" s="67">
        <f t="shared" si="155"/>
        <v>-217.89999999999998</v>
      </c>
      <c r="AN254" s="61">
        <v>-1</v>
      </c>
      <c r="AO254" s="66" t="str">
        <f t="shared" si="156"/>
        <v/>
      </c>
      <c r="AP254" s="66" t="str">
        <f t="shared" si="157"/>
        <v/>
      </c>
      <c r="AQ254" s="67">
        <f t="shared" si="158"/>
        <v>-217.89999999999998</v>
      </c>
      <c r="AR254" s="61">
        <v>-1</v>
      </c>
      <c r="AS254" s="66" t="str">
        <f t="shared" si="159"/>
        <v/>
      </c>
      <c r="AT254" s="66" t="str">
        <f t="shared" si="160"/>
        <v/>
      </c>
      <c r="AU254" s="67">
        <f t="shared" si="161"/>
        <v>-217.89999999999998</v>
      </c>
      <c r="AV254" s="61">
        <v>1</v>
      </c>
      <c r="AW254" s="66">
        <f t="shared" si="144"/>
        <v>217.89999999999998</v>
      </c>
      <c r="AX254" s="66" t="str">
        <f t="shared" si="145"/>
        <v/>
      </c>
      <c r="AY254" s="67" t="str">
        <f t="shared" si="146"/>
        <v/>
      </c>
      <c r="AZ254" s="61">
        <v>1</v>
      </c>
      <c r="BA254" s="66">
        <f t="shared" si="147"/>
        <v>217.89999999999998</v>
      </c>
      <c r="BB254" s="66" t="str">
        <f t="shared" si="148"/>
        <v/>
      </c>
      <c r="BC254" s="67" t="str">
        <f t="shared" si="149"/>
        <v/>
      </c>
    </row>
    <row r="255" spans="29:55">
      <c r="AD255" s="68" t="str">
        <v>07</v>
      </c>
      <c r="AE255" s="61">
        <v>244.20000000000002</v>
      </c>
      <c r="AF255" s="61">
        <v>1</v>
      </c>
      <c r="AG255" s="66">
        <f t="shared" si="150"/>
        <v>244.20000000000002</v>
      </c>
      <c r="AH255" s="66" t="str">
        <f t="shared" si="151"/>
        <v/>
      </c>
      <c r="AI255" s="67" t="str">
        <f t="shared" si="152"/>
        <v/>
      </c>
      <c r="AJ255" s="61">
        <v>-1</v>
      </c>
      <c r="AK255" s="66" t="str">
        <f t="shared" si="153"/>
        <v/>
      </c>
      <c r="AL255" s="66" t="str">
        <f t="shared" si="154"/>
        <v/>
      </c>
      <c r="AM255" s="67">
        <f t="shared" si="155"/>
        <v>-244.20000000000002</v>
      </c>
      <c r="AN255" s="61">
        <v>-1</v>
      </c>
      <c r="AO255" s="66" t="str">
        <f t="shared" si="156"/>
        <v/>
      </c>
      <c r="AP255" s="66" t="str">
        <f t="shared" si="157"/>
        <v/>
      </c>
      <c r="AQ255" s="67">
        <f t="shared" si="158"/>
        <v>-244.20000000000002</v>
      </c>
      <c r="AR255" s="61">
        <v>-1</v>
      </c>
      <c r="AS255" s="66" t="str">
        <f t="shared" si="159"/>
        <v/>
      </c>
      <c r="AT255" s="66" t="str">
        <f t="shared" si="160"/>
        <v/>
      </c>
      <c r="AU255" s="67">
        <f t="shared" si="161"/>
        <v>-244.20000000000002</v>
      </c>
      <c r="AV255" s="61">
        <v>0</v>
      </c>
      <c r="AW255" s="66" t="str">
        <f t="shared" si="144"/>
        <v/>
      </c>
      <c r="AX255" s="66">
        <f t="shared" si="145"/>
        <v>0</v>
      </c>
      <c r="AY255" s="67" t="str">
        <f t="shared" si="146"/>
        <v/>
      </c>
      <c r="AZ255" s="61">
        <v>1</v>
      </c>
      <c r="BA255" s="66">
        <f t="shared" si="147"/>
        <v>244.20000000000002</v>
      </c>
      <c r="BB255" s="66" t="str">
        <f t="shared" si="148"/>
        <v/>
      </c>
      <c r="BC255" s="67" t="str">
        <f t="shared" si="149"/>
        <v/>
      </c>
    </row>
    <row r="256" spans="29:55">
      <c r="AD256" s="68" t="str">
        <v>08</v>
      </c>
      <c r="AE256" s="61">
        <v>256.3</v>
      </c>
      <c r="AF256" s="61">
        <v>1</v>
      </c>
      <c r="AG256" s="66">
        <f t="shared" si="150"/>
        <v>256.3</v>
      </c>
      <c r="AH256" s="66" t="str">
        <f t="shared" si="151"/>
        <v/>
      </c>
      <c r="AI256" s="67" t="str">
        <f t="shared" si="152"/>
        <v/>
      </c>
      <c r="AJ256" s="61">
        <v>-1</v>
      </c>
      <c r="AK256" s="66" t="str">
        <f t="shared" si="153"/>
        <v/>
      </c>
      <c r="AL256" s="66" t="str">
        <f t="shared" si="154"/>
        <v/>
      </c>
      <c r="AM256" s="67">
        <f t="shared" si="155"/>
        <v>-256.3</v>
      </c>
      <c r="AN256" s="61">
        <v>-1</v>
      </c>
      <c r="AO256" s="66" t="str">
        <f t="shared" si="156"/>
        <v/>
      </c>
      <c r="AP256" s="66" t="str">
        <f t="shared" si="157"/>
        <v/>
      </c>
      <c r="AQ256" s="67">
        <f t="shared" si="158"/>
        <v>-256.3</v>
      </c>
      <c r="AR256" s="61">
        <v>-1</v>
      </c>
      <c r="AS256" s="66" t="str">
        <f t="shared" si="159"/>
        <v/>
      </c>
      <c r="AT256" s="66" t="str">
        <f t="shared" si="160"/>
        <v/>
      </c>
      <c r="AU256" s="67">
        <f t="shared" si="161"/>
        <v>-256.3</v>
      </c>
      <c r="AV256" s="61">
        <v>-1</v>
      </c>
      <c r="AW256" s="66" t="str">
        <f t="shared" si="144"/>
        <v/>
      </c>
      <c r="AX256" s="66" t="str">
        <f t="shared" si="145"/>
        <v/>
      </c>
      <c r="AY256" s="67">
        <f t="shared" si="146"/>
        <v>-256.3</v>
      </c>
      <c r="AZ256" s="61">
        <v>1</v>
      </c>
      <c r="BA256" s="66">
        <f t="shared" si="147"/>
        <v>256.3</v>
      </c>
      <c r="BB256" s="66" t="str">
        <f t="shared" si="148"/>
        <v/>
      </c>
      <c r="BC256" s="67" t="str">
        <f t="shared" si="149"/>
        <v/>
      </c>
    </row>
    <row r="257" spans="29:55">
      <c r="AD257" s="68" t="str">
        <v>09</v>
      </c>
      <c r="AE257" s="61">
        <v>255.20000000000002</v>
      </c>
      <c r="AF257" s="61">
        <v>1</v>
      </c>
      <c r="AG257" s="66">
        <f t="shared" si="150"/>
        <v>255.20000000000002</v>
      </c>
      <c r="AH257" s="66" t="str">
        <f t="shared" si="151"/>
        <v/>
      </c>
      <c r="AI257" s="67" t="str">
        <f t="shared" si="152"/>
        <v/>
      </c>
      <c r="AJ257" s="61">
        <v>-1</v>
      </c>
      <c r="AK257" s="66" t="str">
        <f t="shared" si="153"/>
        <v/>
      </c>
      <c r="AL257" s="66" t="str">
        <f t="shared" si="154"/>
        <v/>
      </c>
      <c r="AM257" s="67">
        <f t="shared" si="155"/>
        <v>-255.20000000000002</v>
      </c>
      <c r="AN257" s="61">
        <v>1</v>
      </c>
      <c r="AO257" s="66">
        <f t="shared" si="156"/>
        <v>255.20000000000002</v>
      </c>
      <c r="AP257" s="66" t="str">
        <f t="shared" si="157"/>
        <v/>
      </c>
      <c r="AQ257" s="67" t="str">
        <f t="shared" si="158"/>
        <v/>
      </c>
      <c r="AR257" s="61">
        <v>-1</v>
      </c>
      <c r="AS257" s="66" t="str">
        <f t="shared" si="159"/>
        <v/>
      </c>
      <c r="AT257" s="66" t="str">
        <f t="shared" si="160"/>
        <v/>
      </c>
      <c r="AU257" s="67">
        <f t="shared" si="161"/>
        <v>-255.20000000000002</v>
      </c>
      <c r="AV257" s="61">
        <v>-1</v>
      </c>
      <c r="AW257" s="66" t="str">
        <f t="shared" si="144"/>
        <v/>
      </c>
      <c r="AX257" s="66" t="str">
        <f t="shared" si="145"/>
        <v/>
      </c>
      <c r="AY257" s="67">
        <f t="shared" si="146"/>
        <v>-255.20000000000002</v>
      </c>
      <c r="AZ257" s="61">
        <v>-1</v>
      </c>
      <c r="BA257" s="66" t="str">
        <f t="shared" si="147"/>
        <v/>
      </c>
      <c r="BB257" s="66" t="str">
        <f t="shared" si="148"/>
        <v/>
      </c>
      <c r="BC257" s="67">
        <f t="shared" si="149"/>
        <v>-255.20000000000002</v>
      </c>
    </row>
    <row r="258" spans="29:55">
      <c r="AD258" s="68" t="str">
        <v>10</v>
      </c>
      <c r="AE258" s="61">
        <v>240.60000000000002</v>
      </c>
      <c r="AF258" s="61">
        <v>1</v>
      </c>
      <c r="AG258" s="66">
        <f t="shared" si="150"/>
        <v>240.60000000000002</v>
      </c>
      <c r="AH258" s="66" t="str">
        <f t="shared" si="151"/>
        <v/>
      </c>
      <c r="AI258" s="67" t="str">
        <f t="shared" si="152"/>
        <v/>
      </c>
      <c r="AJ258" s="61">
        <v>-1</v>
      </c>
      <c r="AK258" s="66" t="str">
        <f t="shared" si="153"/>
        <v/>
      </c>
      <c r="AL258" s="66" t="str">
        <f t="shared" si="154"/>
        <v/>
      </c>
      <c r="AM258" s="67">
        <f t="shared" si="155"/>
        <v>-240.60000000000002</v>
      </c>
      <c r="AN258" s="61">
        <v>1</v>
      </c>
      <c r="AO258" s="66">
        <f t="shared" si="156"/>
        <v>240.60000000000002</v>
      </c>
      <c r="AP258" s="66" t="str">
        <f t="shared" si="157"/>
        <v/>
      </c>
      <c r="AQ258" s="67" t="str">
        <f t="shared" si="158"/>
        <v/>
      </c>
      <c r="AR258" s="61">
        <v>-1</v>
      </c>
      <c r="AS258" s="66" t="str">
        <f t="shared" si="159"/>
        <v/>
      </c>
      <c r="AT258" s="66" t="str">
        <f t="shared" si="160"/>
        <v/>
      </c>
      <c r="AU258" s="67">
        <f t="shared" si="161"/>
        <v>-240.60000000000002</v>
      </c>
      <c r="AV258" s="61">
        <v>0</v>
      </c>
      <c r="AW258" s="66" t="str">
        <f t="shared" si="144"/>
        <v/>
      </c>
      <c r="AX258" s="66">
        <f t="shared" si="145"/>
        <v>0</v>
      </c>
      <c r="AY258" s="67" t="str">
        <f t="shared" si="146"/>
        <v/>
      </c>
      <c r="AZ258" s="61">
        <v>-1</v>
      </c>
      <c r="BA258" s="66" t="str">
        <f t="shared" si="147"/>
        <v/>
      </c>
      <c r="BB258" s="66" t="str">
        <f t="shared" si="148"/>
        <v/>
      </c>
      <c r="BC258" s="67">
        <f t="shared" si="149"/>
        <v>-240.60000000000002</v>
      </c>
    </row>
    <row r="259" spans="29:55">
      <c r="AD259" s="68" t="str">
        <v>11</v>
      </c>
      <c r="AE259" s="61">
        <v>211.50000000000003</v>
      </c>
      <c r="AF259" s="61">
        <v>1</v>
      </c>
      <c r="AG259" s="66">
        <f t="shared" si="150"/>
        <v>211.50000000000003</v>
      </c>
      <c r="AH259" s="66" t="str">
        <f t="shared" si="151"/>
        <v/>
      </c>
      <c r="AI259" s="67" t="str">
        <f t="shared" si="152"/>
        <v/>
      </c>
      <c r="AJ259" s="61">
        <v>-1</v>
      </c>
      <c r="AK259" s="66" t="str">
        <f t="shared" si="153"/>
        <v/>
      </c>
      <c r="AL259" s="66" t="str">
        <f t="shared" si="154"/>
        <v/>
      </c>
      <c r="AM259" s="67">
        <f t="shared" si="155"/>
        <v>-211.50000000000003</v>
      </c>
      <c r="AN259" s="61">
        <v>1</v>
      </c>
      <c r="AO259" s="66">
        <f t="shared" si="156"/>
        <v>211.50000000000003</v>
      </c>
      <c r="AP259" s="66" t="str">
        <f t="shared" si="157"/>
        <v/>
      </c>
      <c r="AQ259" s="67" t="str">
        <f t="shared" si="158"/>
        <v/>
      </c>
      <c r="AR259" s="61">
        <v>-1</v>
      </c>
      <c r="AS259" s="66" t="str">
        <f t="shared" si="159"/>
        <v/>
      </c>
      <c r="AT259" s="66" t="str">
        <f t="shared" si="160"/>
        <v/>
      </c>
      <c r="AU259" s="67">
        <f t="shared" si="161"/>
        <v>-211.50000000000003</v>
      </c>
      <c r="AV259" s="61">
        <v>1</v>
      </c>
      <c r="AW259" s="66">
        <f t="shared" si="144"/>
        <v>211.50000000000003</v>
      </c>
      <c r="AX259" s="66" t="str">
        <f t="shared" si="145"/>
        <v/>
      </c>
      <c r="AY259" s="67" t="str">
        <f t="shared" si="146"/>
        <v/>
      </c>
      <c r="AZ259" s="61">
        <v>-1</v>
      </c>
      <c r="BA259" s="66" t="str">
        <f t="shared" si="147"/>
        <v/>
      </c>
      <c r="BB259" s="66" t="str">
        <f t="shared" si="148"/>
        <v/>
      </c>
      <c r="BC259" s="67">
        <f t="shared" si="149"/>
        <v>-211.50000000000003</v>
      </c>
    </row>
    <row r="260" spans="29:55">
      <c r="AD260" s="68" t="str">
        <v>12</v>
      </c>
      <c r="AE260" s="61">
        <v>180.5</v>
      </c>
      <c r="AF260" s="61">
        <v>1</v>
      </c>
      <c r="AG260" s="66">
        <f t="shared" si="150"/>
        <v>180.5</v>
      </c>
      <c r="AH260" s="66" t="str">
        <f t="shared" si="151"/>
        <v/>
      </c>
      <c r="AI260" s="67" t="str">
        <f t="shared" si="152"/>
        <v/>
      </c>
      <c r="AJ260" s="61">
        <v>1</v>
      </c>
      <c r="AK260" s="66">
        <f t="shared" si="153"/>
        <v>180.5</v>
      </c>
      <c r="AL260" s="66" t="str">
        <f t="shared" si="154"/>
        <v/>
      </c>
      <c r="AM260" s="67" t="str">
        <f t="shared" si="155"/>
        <v/>
      </c>
      <c r="AN260" s="61">
        <v>1</v>
      </c>
      <c r="AO260" s="66">
        <f t="shared" si="156"/>
        <v>180.5</v>
      </c>
      <c r="AP260" s="66" t="str">
        <f t="shared" si="157"/>
        <v/>
      </c>
      <c r="AQ260" s="67" t="str">
        <f t="shared" si="158"/>
        <v/>
      </c>
      <c r="AR260" s="61">
        <v>1</v>
      </c>
      <c r="AS260" s="66">
        <f t="shared" si="159"/>
        <v>180.5</v>
      </c>
      <c r="AT260" s="66" t="str">
        <f t="shared" si="160"/>
        <v/>
      </c>
      <c r="AU260" s="67" t="str">
        <f t="shared" si="161"/>
        <v/>
      </c>
      <c r="AV260" s="61">
        <v>1</v>
      </c>
      <c r="AW260" s="66">
        <f t="shared" si="144"/>
        <v>180.5</v>
      </c>
      <c r="AX260" s="66" t="str">
        <f t="shared" si="145"/>
        <v/>
      </c>
      <c r="AY260" s="67" t="str">
        <f t="shared" si="146"/>
        <v/>
      </c>
      <c r="AZ260" s="61">
        <v>1</v>
      </c>
      <c r="BA260" s="66">
        <f t="shared" si="147"/>
        <v>180.5</v>
      </c>
      <c r="BB260" s="66" t="str">
        <f t="shared" si="148"/>
        <v/>
      </c>
      <c r="BC260" s="67" t="str">
        <f t="shared" si="149"/>
        <v/>
      </c>
    </row>
    <row r="261" spans="29:55">
      <c r="AD261" s="68" t="str">
        <v>13</v>
      </c>
      <c r="AE261" s="61">
        <v>156.4</v>
      </c>
      <c r="AF261" s="61">
        <v>1</v>
      </c>
      <c r="AG261" s="66">
        <f t="shared" si="150"/>
        <v>156.4</v>
      </c>
      <c r="AH261" s="66" t="str">
        <f t="shared" si="151"/>
        <v/>
      </c>
      <c r="AI261" s="67" t="str">
        <f t="shared" si="152"/>
        <v/>
      </c>
      <c r="AJ261" s="61">
        <v>1</v>
      </c>
      <c r="AK261" s="66">
        <f t="shared" si="153"/>
        <v>156.4</v>
      </c>
      <c r="AL261" s="66" t="str">
        <f t="shared" si="154"/>
        <v/>
      </c>
      <c r="AM261" s="67" t="str">
        <f t="shared" si="155"/>
        <v/>
      </c>
      <c r="AN261" s="61">
        <v>1</v>
      </c>
      <c r="AO261" s="66">
        <f t="shared" si="156"/>
        <v>156.4</v>
      </c>
      <c r="AP261" s="66" t="str">
        <f t="shared" si="157"/>
        <v/>
      </c>
      <c r="AQ261" s="67" t="str">
        <f t="shared" si="158"/>
        <v/>
      </c>
      <c r="AR261" s="61">
        <v>1</v>
      </c>
      <c r="AS261" s="66">
        <f t="shared" si="159"/>
        <v>156.4</v>
      </c>
      <c r="AT261" s="66" t="str">
        <f t="shared" si="160"/>
        <v/>
      </c>
      <c r="AU261" s="67" t="str">
        <f t="shared" si="161"/>
        <v/>
      </c>
      <c r="AV261" s="61">
        <v>0</v>
      </c>
      <c r="AW261" s="66" t="str">
        <f t="shared" si="144"/>
        <v/>
      </c>
      <c r="AX261" s="66">
        <f t="shared" si="145"/>
        <v>0</v>
      </c>
      <c r="AY261" s="67" t="str">
        <f t="shared" si="146"/>
        <v/>
      </c>
      <c r="AZ261" s="61">
        <v>1</v>
      </c>
      <c r="BA261" s="66">
        <f t="shared" si="147"/>
        <v>156.4</v>
      </c>
      <c r="BB261" s="66" t="str">
        <f t="shared" si="148"/>
        <v/>
      </c>
      <c r="BC261" s="67" t="str">
        <f t="shared" si="149"/>
        <v/>
      </c>
    </row>
    <row r="262" spans="29:55">
      <c r="AD262" s="68" t="str">
        <v>14</v>
      </c>
      <c r="AE262" s="61">
        <v>143.9</v>
      </c>
      <c r="AF262" s="61">
        <v>1</v>
      </c>
      <c r="AG262" s="66">
        <f t="shared" si="150"/>
        <v>143.9</v>
      </c>
      <c r="AH262" s="66" t="str">
        <f t="shared" si="151"/>
        <v/>
      </c>
      <c r="AI262" s="67" t="str">
        <f t="shared" si="152"/>
        <v/>
      </c>
      <c r="AJ262" s="61">
        <v>1</v>
      </c>
      <c r="AK262" s="66">
        <f t="shared" si="153"/>
        <v>143.9</v>
      </c>
      <c r="AL262" s="66" t="str">
        <f t="shared" si="154"/>
        <v/>
      </c>
      <c r="AM262" s="67" t="str">
        <f t="shared" si="155"/>
        <v/>
      </c>
      <c r="AN262" s="61">
        <v>1</v>
      </c>
      <c r="AO262" s="66">
        <f t="shared" si="156"/>
        <v>143.9</v>
      </c>
      <c r="AP262" s="66" t="str">
        <f t="shared" si="157"/>
        <v/>
      </c>
      <c r="AQ262" s="67" t="str">
        <f t="shared" si="158"/>
        <v/>
      </c>
      <c r="AR262" s="61">
        <v>1</v>
      </c>
      <c r="AS262" s="66">
        <f t="shared" si="159"/>
        <v>143.9</v>
      </c>
      <c r="AT262" s="66" t="str">
        <f t="shared" si="160"/>
        <v/>
      </c>
      <c r="AU262" s="67" t="str">
        <f t="shared" si="161"/>
        <v/>
      </c>
      <c r="AV262" s="61">
        <v>-1</v>
      </c>
      <c r="AW262" s="66" t="str">
        <f t="shared" si="144"/>
        <v/>
      </c>
      <c r="AX262" s="66" t="str">
        <f t="shared" si="145"/>
        <v/>
      </c>
      <c r="AY262" s="67">
        <f t="shared" si="146"/>
        <v>-143.9</v>
      </c>
      <c r="AZ262" s="61">
        <v>1</v>
      </c>
      <c r="BA262" s="66">
        <f t="shared" si="147"/>
        <v>143.9</v>
      </c>
      <c r="BB262" s="66" t="str">
        <f t="shared" si="148"/>
        <v/>
      </c>
      <c r="BC262" s="67" t="str">
        <f t="shared" si="149"/>
        <v/>
      </c>
    </row>
    <row r="263" spans="29:55">
      <c r="AD263" s="68" t="str">
        <v>15</v>
      </c>
      <c r="AE263" s="61">
        <v>140.79999999999998</v>
      </c>
      <c r="AF263" s="61">
        <v>1</v>
      </c>
      <c r="AG263" s="66">
        <f t="shared" si="150"/>
        <v>140.79999999999998</v>
      </c>
      <c r="AH263" s="66" t="str">
        <f t="shared" si="151"/>
        <v/>
      </c>
      <c r="AI263" s="67" t="str">
        <f t="shared" si="152"/>
        <v/>
      </c>
      <c r="AJ263" s="61">
        <v>1</v>
      </c>
      <c r="AK263" s="66">
        <f t="shared" si="153"/>
        <v>140.79999999999998</v>
      </c>
      <c r="AL263" s="66" t="str">
        <f t="shared" si="154"/>
        <v/>
      </c>
      <c r="AM263" s="67" t="str">
        <f t="shared" si="155"/>
        <v/>
      </c>
      <c r="AN263" s="61">
        <v>-1</v>
      </c>
      <c r="AO263" s="66" t="str">
        <f t="shared" si="156"/>
        <v/>
      </c>
      <c r="AP263" s="66" t="str">
        <f t="shared" si="157"/>
        <v/>
      </c>
      <c r="AQ263" s="67">
        <f t="shared" si="158"/>
        <v>-140.79999999999998</v>
      </c>
      <c r="AR263" s="61">
        <v>1</v>
      </c>
      <c r="AS263" s="66">
        <f t="shared" si="159"/>
        <v>140.79999999999998</v>
      </c>
      <c r="AT263" s="66" t="str">
        <f t="shared" si="160"/>
        <v/>
      </c>
      <c r="AU263" s="67" t="str">
        <f t="shared" si="161"/>
        <v/>
      </c>
      <c r="AV263" s="61">
        <v>-1</v>
      </c>
      <c r="AW263" s="66" t="str">
        <f t="shared" si="144"/>
        <v/>
      </c>
      <c r="AX263" s="66" t="str">
        <f t="shared" si="145"/>
        <v/>
      </c>
      <c r="AY263" s="67">
        <f t="shared" si="146"/>
        <v>-140.79999999999998</v>
      </c>
      <c r="AZ263" s="61">
        <v>-1</v>
      </c>
      <c r="BA263" s="66" t="str">
        <f t="shared" si="147"/>
        <v/>
      </c>
      <c r="BB263" s="66" t="str">
        <f t="shared" si="148"/>
        <v/>
      </c>
      <c r="BC263" s="67">
        <f t="shared" si="149"/>
        <v>-140.79999999999998</v>
      </c>
    </row>
    <row r="264" spans="29:55">
      <c r="AD264" s="68" t="str">
        <v>16</v>
      </c>
      <c r="AE264" s="61">
        <v>147.9</v>
      </c>
      <c r="AF264" s="61">
        <v>1</v>
      </c>
      <c r="AG264" s="66">
        <f t="shared" si="150"/>
        <v>147.9</v>
      </c>
      <c r="AH264" s="66" t="str">
        <f t="shared" si="151"/>
        <v/>
      </c>
      <c r="AI264" s="67" t="str">
        <f t="shared" si="152"/>
        <v/>
      </c>
      <c r="AJ264" s="61">
        <v>1</v>
      </c>
      <c r="AK264" s="66">
        <f t="shared" si="153"/>
        <v>147.9</v>
      </c>
      <c r="AL264" s="66" t="str">
        <f t="shared" si="154"/>
        <v/>
      </c>
      <c r="AM264" s="67" t="str">
        <f t="shared" si="155"/>
        <v/>
      </c>
      <c r="AN264" s="61">
        <v>-1</v>
      </c>
      <c r="AO264" s="66" t="str">
        <f t="shared" si="156"/>
        <v/>
      </c>
      <c r="AP264" s="66" t="str">
        <f t="shared" si="157"/>
        <v/>
      </c>
      <c r="AQ264" s="67">
        <f t="shared" si="158"/>
        <v>-147.9</v>
      </c>
      <c r="AR264" s="61">
        <v>1</v>
      </c>
      <c r="AS264" s="66">
        <f t="shared" si="159"/>
        <v>147.9</v>
      </c>
      <c r="AT264" s="66" t="str">
        <f t="shared" si="160"/>
        <v/>
      </c>
      <c r="AU264" s="67" t="str">
        <f t="shared" si="161"/>
        <v/>
      </c>
      <c r="AV264" s="61">
        <v>0</v>
      </c>
      <c r="AW264" s="66" t="str">
        <f t="shared" si="144"/>
        <v/>
      </c>
      <c r="AX264" s="66">
        <f t="shared" si="145"/>
        <v>0</v>
      </c>
      <c r="AY264" s="67" t="str">
        <f t="shared" si="146"/>
        <v/>
      </c>
      <c r="AZ264" s="61">
        <v>-1</v>
      </c>
      <c r="BA264" s="66" t="str">
        <f t="shared" si="147"/>
        <v/>
      </c>
      <c r="BB264" s="66" t="str">
        <f t="shared" si="148"/>
        <v/>
      </c>
      <c r="BC264" s="67">
        <f t="shared" si="149"/>
        <v>-147.9</v>
      </c>
    </row>
    <row r="265" spans="29:55">
      <c r="AD265" s="68" t="str">
        <v>17</v>
      </c>
      <c r="AE265" s="61">
        <v>159.30000000000001</v>
      </c>
      <c r="AF265" s="61">
        <v>1</v>
      </c>
      <c r="AG265" s="66">
        <f t="shared" si="150"/>
        <v>159.30000000000001</v>
      </c>
      <c r="AH265" s="66" t="str">
        <f t="shared" si="151"/>
        <v/>
      </c>
      <c r="AI265" s="67" t="str">
        <f t="shared" si="152"/>
        <v/>
      </c>
      <c r="AJ265" s="61">
        <v>1</v>
      </c>
      <c r="AK265" s="66">
        <f t="shared" si="153"/>
        <v>159.30000000000001</v>
      </c>
      <c r="AL265" s="66" t="str">
        <f t="shared" si="154"/>
        <v/>
      </c>
      <c r="AM265" s="67" t="str">
        <f t="shared" si="155"/>
        <v/>
      </c>
      <c r="AN265" s="61">
        <v>-1</v>
      </c>
      <c r="AO265" s="66" t="str">
        <f t="shared" si="156"/>
        <v/>
      </c>
      <c r="AP265" s="66" t="str">
        <f t="shared" si="157"/>
        <v/>
      </c>
      <c r="AQ265" s="67">
        <f t="shared" si="158"/>
        <v>-159.30000000000001</v>
      </c>
      <c r="AR265" s="61">
        <v>1</v>
      </c>
      <c r="AS265" s="66">
        <f t="shared" si="159"/>
        <v>159.30000000000001</v>
      </c>
      <c r="AT265" s="66" t="str">
        <f t="shared" si="160"/>
        <v/>
      </c>
      <c r="AU265" s="67" t="str">
        <f t="shared" si="161"/>
        <v/>
      </c>
      <c r="AV265" s="61">
        <v>1</v>
      </c>
      <c r="AW265" s="66">
        <f t="shared" si="144"/>
        <v>159.30000000000001</v>
      </c>
      <c r="AX265" s="66" t="str">
        <f t="shared" si="145"/>
        <v/>
      </c>
      <c r="AY265" s="67" t="str">
        <f t="shared" si="146"/>
        <v/>
      </c>
      <c r="AZ265" s="61">
        <v>-1</v>
      </c>
      <c r="BA265" s="66" t="str">
        <f t="shared" si="147"/>
        <v/>
      </c>
      <c r="BB265" s="66" t="str">
        <f t="shared" si="148"/>
        <v/>
      </c>
      <c r="BC265" s="67">
        <f t="shared" si="149"/>
        <v>-159.30000000000001</v>
      </c>
    </row>
    <row r="266" spans="29:55">
      <c r="AD266" s="68" t="str">
        <v>18</v>
      </c>
      <c r="AE266" s="61">
        <v>172.10000000000002</v>
      </c>
      <c r="AF266" s="61">
        <v>-1</v>
      </c>
      <c r="AG266" s="66" t="str">
        <f t="shared" si="150"/>
        <v/>
      </c>
      <c r="AH266" s="66" t="str">
        <f t="shared" si="151"/>
        <v/>
      </c>
      <c r="AI266" s="67">
        <f t="shared" si="152"/>
        <v>-172.10000000000002</v>
      </c>
      <c r="AJ266" s="61">
        <v>1</v>
      </c>
      <c r="AK266" s="66">
        <f t="shared" si="153"/>
        <v>172.10000000000002</v>
      </c>
      <c r="AL266" s="66" t="str">
        <f t="shared" si="154"/>
        <v/>
      </c>
      <c r="AM266" s="67" t="str">
        <f t="shared" si="155"/>
        <v/>
      </c>
      <c r="AN266" s="61">
        <v>-1</v>
      </c>
      <c r="AO266" s="66" t="str">
        <f t="shared" si="156"/>
        <v/>
      </c>
      <c r="AP266" s="66" t="str">
        <f t="shared" si="157"/>
        <v/>
      </c>
      <c r="AQ266" s="67">
        <f t="shared" si="158"/>
        <v>-172.10000000000002</v>
      </c>
      <c r="AR266" s="61">
        <v>-1</v>
      </c>
      <c r="AS266" s="66" t="str">
        <f t="shared" si="159"/>
        <v/>
      </c>
      <c r="AT266" s="66" t="str">
        <f t="shared" si="160"/>
        <v/>
      </c>
      <c r="AU266" s="67">
        <f t="shared" si="161"/>
        <v>-172.10000000000002</v>
      </c>
      <c r="AV266" s="61">
        <v>1</v>
      </c>
      <c r="AW266" s="66">
        <f t="shared" si="144"/>
        <v>172.10000000000002</v>
      </c>
      <c r="AX266" s="66" t="str">
        <f t="shared" si="145"/>
        <v/>
      </c>
      <c r="AY266" s="67" t="str">
        <f t="shared" si="146"/>
        <v/>
      </c>
      <c r="AZ266" s="61">
        <v>1</v>
      </c>
      <c r="BA266" s="66">
        <f t="shared" si="147"/>
        <v>172.10000000000002</v>
      </c>
      <c r="BB266" s="66" t="str">
        <f t="shared" si="148"/>
        <v/>
      </c>
      <c r="BC266" s="67" t="str">
        <f t="shared" si="149"/>
        <v/>
      </c>
    </row>
    <row r="267" spans="29:55">
      <c r="AD267" s="68" t="str">
        <v>19</v>
      </c>
      <c r="AE267" s="61">
        <v>180.8</v>
      </c>
      <c r="AF267" s="61">
        <v>-1</v>
      </c>
      <c r="AG267" s="66" t="str">
        <f t="shared" si="150"/>
        <v/>
      </c>
      <c r="AH267" s="66" t="str">
        <f t="shared" si="151"/>
        <v/>
      </c>
      <c r="AI267" s="67">
        <f t="shared" si="152"/>
        <v>-180.8</v>
      </c>
      <c r="AJ267" s="61">
        <v>1</v>
      </c>
      <c r="AK267" s="66">
        <f t="shared" si="153"/>
        <v>180.8</v>
      </c>
      <c r="AL267" s="66" t="str">
        <f t="shared" si="154"/>
        <v/>
      </c>
      <c r="AM267" s="67" t="str">
        <f t="shared" si="155"/>
        <v/>
      </c>
      <c r="AN267" s="61">
        <v>-1</v>
      </c>
      <c r="AO267" s="66" t="str">
        <f t="shared" si="156"/>
        <v/>
      </c>
      <c r="AP267" s="66" t="str">
        <f t="shared" si="157"/>
        <v/>
      </c>
      <c r="AQ267" s="67">
        <f t="shared" si="158"/>
        <v>-180.8</v>
      </c>
      <c r="AR267" s="61">
        <v>-1</v>
      </c>
      <c r="AS267" s="66" t="str">
        <f t="shared" si="159"/>
        <v/>
      </c>
      <c r="AT267" s="66" t="str">
        <f t="shared" si="160"/>
        <v/>
      </c>
      <c r="AU267" s="67">
        <f t="shared" si="161"/>
        <v>-180.8</v>
      </c>
      <c r="AV267" s="61">
        <v>0</v>
      </c>
      <c r="AW267" s="66" t="str">
        <f t="shared" si="144"/>
        <v/>
      </c>
      <c r="AX267" s="66">
        <f t="shared" si="145"/>
        <v>0</v>
      </c>
      <c r="AY267" s="67" t="str">
        <f t="shared" si="146"/>
        <v/>
      </c>
      <c r="AZ267" s="61">
        <v>1</v>
      </c>
      <c r="BA267" s="66">
        <f t="shared" si="147"/>
        <v>180.8</v>
      </c>
      <c r="BB267" s="66" t="str">
        <f t="shared" si="148"/>
        <v/>
      </c>
      <c r="BC267" s="67" t="str">
        <f t="shared" si="149"/>
        <v/>
      </c>
    </row>
    <row r="268" spans="29:55">
      <c r="AD268" s="68" t="str">
        <v>20</v>
      </c>
      <c r="AE268" s="61">
        <v>180.5</v>
      </c>
      <c r="AF268" s="61">
        <v>-1</v>
      </c>
      <c r="AG268" s="66" t="str">
        <f t="shared" si="150"/>
        <v/>
      </c>
      <c r="AH268" s="66" t="str">
        <f t="shared" si="151"/>
        <v/>
      </c>
      <c r="AI268" s="67">
        <f t="shared" si="152"/>
        <v>-180.5</v>
      </c>
      <c r="AJ268" s="61">
        <v>1</v>
      </c>
      <c r="AK268" s="66">
        <f t="shared" si="153"/>
        <v>180.5</v>
      </c>
      <c r="AL268" s="66" t="str">
        <f t="shared" si="154"/>
        <v/>
      </c>
      <c r="AM268" s="67" t="str">
        <f t="shared" si="155"/>
        <v/>
      </c>
      <c r="AN268" s="61">
        <v>-1</v>
      </c>
      <c r="AO268" s="66" t="str">
        <f t="shared" si="156"/>
        <v/>
      </c>
      <c r="AP268" s="66" t="str">
        <f t="shared" si="157"/>
        <v/>
      </c>
      <c r="AQ268" s="67">
        <f t="shared" si="158"/>
        <v>-180.5</v>
      </c>
      <c r="AR268" s="61">
        <v>-1</v>
      </c>
      <c r="AS268" s="66" t="str">
        <f t="shared" si="159"/>
        <v/>
      </c>
      <c r="AT268" s="66" t="str">
        <f t="shared" si="160"/>
        <v/>
      </c>
      <c r="AU268" s="67">
        <f t="shared" si="161"/>
        <v>-180.5</v>
      </c>
      <c r="AV268" s="61">
        <v>-1</v>
      </c>
      <c r="AW268" s="66" t="str">
        <f t="shared" si="144"/>
        <v/>
      </c>
      <c r="AX268" s="66" t="str">
        <f t="shared" si="145"/>
        <v/>
      </c>
      <c r="AY268" s="67">
        <f t="shared" si="146"/>
        <v>-180.5</v>
      </c>
      <c r="AZ268" s="61">
        <v>1</v>
      </c>
      <c r="BA268" s="66">
        <f t="shared" si="147"/>
        <v>180.5</v>
      </c>
      <c r="BB268" s="66" t="str">
        <f t="shared" si="148"/>
        <v/>
      </c>
      <c r="BC268" s="67" t="str">
        <f t="shared" si="149"/>
        <v/>
      </c>
    </row>
    <row r="269" spans="29:55">
      <c r="AD269" s="68" t="str">
        <v>21</v>
      </c>
      <c r="AE269" s="61">
        <v>166.70000000000002</v>
      </c>
      <c r="AF269" s="61">
        <v>-1</v>
      </c>
      <c r="AG269" s="66" t="str">
        <f t="shared" si="150"/>
        <v/>
      </c>
      <c r="AH269" s="66" t="str">
        <f t="shared" si="151"/>
        <v/>
      </c>
      <c r="AI269" s="67">
        <f t="shared" si="152"/>
        <v>-166.70000000000002</v>
      </c>
      <c r="AJ269" s="61">
        <v>1</v>
      </c>
      <c r="AK269" s="66">
        <f t="shared" si="153"/>
        <v>166.70000000000002</v>
      </c>
      <c r="AL269" s="66" t="str">
        <f t="shared" si="154"/>
        <v/>
      </c>
      <c r="AM269" s="67" t="str">
        <f t="shared" si="155"/>
        <v/>
      </c>
      <c r="AN269" s="61">
        <v>1</v>
      </c>
      <c r="AO269" s="66">
        <f t="shared" si="156"/>
        <v>166.70000000000002</v>
      </c>
      <c r="AP269" s="66" t="str">
        <f t="shared" si="157"/>
        <v/>
      </c>
      <c r="AQ269" s="67" t="str">
        <f t="shared" si="158"/>
        <v/>
      </c>
      <c r="AR269" s="61">
        <v>-1</v>
      </c>
      <c r="AS269" s="66" t="str">
        <f t="shared" si="159"/>
        <v/>
      </c>
      <c r="AT269" s="66" t="str">
        <f t="shared" si="160"/>
        <v/>
      </c>
      <c r="AU269" s="67">
        <f t="shared" si="161"/>
        <v>-166.70000000000002</v>
      </c>
      <c r="AV269" s="61">
        <v>-1</v>
      </c>
      <c r="AW269" s="66" t="str">
        <f t="shared" si="144"/>
        <v/>
      </c>
      <c r="AX269" s="66" t="str">
        <f t="shared" si="145"/>
        <v/>
      </c>
      <c r="AY269" s="67">
        <f t="shared" si="146"/>
        <v>-166.70000000000002</v>
      </c>
      <c r="AZ269" s="61">
        <v>-1</v>
      </c>
      <c r="BA269" s="66" t="str">
        <f t="shared" si="147"/>
        <v/>
      </c>
      <c r="BB269" s="66" t="str">
        <f t="shared" si="148"/>
        <v/>
      </c>
      <c r="BC269" s="67">
        <f t="shared" si="149"/>
        <v>-166.70000000000002</v>
      </c>
    </row>
    <row r="270" spans="29:55">
      <c r="AD270" s="68" t="str">
        <v>22</v>
      </c>
      <c r="AE270" s="61">
        <v>146</v>
      </c>
      <c r="AF270" s="61">
        <v>-1</v>
      </c>
      <c r="AG270" s="66" t="str">
        <f t="shared" si="150"/>
        <v/>
      </c>
      <c r="AH270" s="66" t="str">
        <f t="shared" si="151"/>
        <v/>
      </c>
      <c r="AI270" s="67">
        <f t="shared" si="152"/>
        <v>-146</v>
      </c>
      <c r="AJ270" s="61">
        <v>1</v>
      </c>
      <c r="AK270" s="66">
        <f t="shared" si="153"/>
        <v>146</v>
      </c>
      <c r="AL270" s="66" t="str">
        <f t="shared" si="154"/>
        <v/>
      </c>
      <c r="AM270" s="67" t="str">
        <f t="shared" si="155"/>
        <v/>
      </c>
      <c r="AN270" s="61">
        <v>1</v>
      </c>
      <c r="AO270" s="66">
        <f t="shared" si="156"/>
        <v>146</v>
      </c>
      <c r="AP270" s="66" t="str">
        <f t="shared" si="157"/>
        <v/>
      </c>
      <c r="AQ270" s="67" t="str">
        <f t="shared" si="158"/>
        <v/>
      </c>
      <c r="AR270" s="61">
        <v>-1</v>
      </c>
      <c r="AS270" s="66" t="str">
        <f t="shared" si="159"/>
        <v/>
      </c>
      <c r="AT270" s="66" t="str">
        <f t="shared" si="160"/>
        <v/>
      </c>
      <c r="AU270" s="67">
        <f t="shared" si="161"/>
        <v>-146</v>
      </c>
      <c r="AV270" s="61">
        <v>0</v>
      </c>
      <c r="AW270" s="66" t="str">
        <f t="shared" si="144"/>
        <v/>
      </c>
      <c r="AX270" s="66">
        <f t="shared" si="145"/>
        <v>0</v>
      </c>
      <c r="AY270" s="67" t="str">
        <f t="shared" si="146"/>
        <v/>
      </c>
      <c r="AZ270" s="61">
        <v>-1</v>
      </c>
      <c r="BA270" s="66" t="str">
        <f t="shared" si="147"/>
        <v/>
      </c>
      <c r="BB270" s="66" t="str">
        <f t="shared" si="148"/>
        <v/>
      </c>
      <c r="BC270" s="67">
        <f t="shared" si="149"/>
        <v>-146</v>
      </c>
    </row>
    <row r="271" spans="29:55">
      <c r="AD271" s="68" t="str">
        <v>23</v>
      </c>
      <c r="AE271" s="61">
        <v>125.4</v>
      </c>
      <c r="AF271" s="61">
        <v>-1</v>
      </c>
      <c r="AG271" s="66" t="str">
        <f t="shared" si="150"/>
        <v/>
      </c>
      <c r="AH271" s="66" t="str">
        <f t="shared" si="151"/>
        <v/>
      </c>
      <c r="AI271" s="67">
        <f t="shared" si="152"/>
        <v>-125.4</v>
      </c>
      <c r="AJ271" s="61">
        <v>1</v>
      </c>
      <c r="AK271" s="66">
        <f t="shared" si="153"/>
        <v>125.4</v>
      </c>
      <c r="AL271" s="66" t="str">
        <f t="shared" si="154"/>
        <v/>
      </c>
      <c r="AM271" s="67" t="str">
        <f t="shared" si="155"/>
        <v/>
      </c>
      <c r="AN271" s="61">
        <v>1</v>
      </c>
      <c r="AO271" s="66">
        <f t="shared" si="156"/>
        <v>125.4</v>
      </c>
      <c r="AP271" s="66" t="str">
        <f t="shared" si="157"/>
        <v/>
      </c>
      <c r="AQ271" s="67" t="str">
        <f t="shared" si="158"/>
        <v/>
      </c>
      <c r="AR271" s="61">
        <v>-1</v>
      </c>
      <c r="AS271" s="66" t="str">
        <f t="shared" si="159"/>
        <v/>
      </c>
      <c r="AT271" s="66" t="str">
        <f t="shared" si="160"/>
        <v/>
      </c>
      <c r="AU271" s="67">
        <f t="shared" si="161"/>
        <v>-125.4</v>
      </c>
      <c r="AV271" s="61">
        <v>1</v>
      </c>
      <c r="AW271" s="66">
        <f t="shared" si="144"/>
        <v>125.4</v>
      </c>
      <c r="AX271" s="66" t="str">
        <f t="shared" si="145"/>
        <v/>
      </c>
      <c r="AY271" s="67" t="str">
        <f t="shared" si="146"/>
        <v/>
      </c>
      <c r="AZ271" s="61">
        <v>-1</v>
      </c>
      <c r="BA271" s="66" t="str">
        <f t="shared" si="147"/>
        <v/>
      </c>
      <c r="BB271" s="66" t="str">
        <f t="shared" si="148"/>
        <v/>
      </c>
      <c r="BC271" s="67">
        <f t="shared" si="149"/>
        <v>-125.4</v>
      </c>
    </row>
    <row r="272" spans="29:55" ht="15.75" thickBot="1">
      <c r="AC272" s="476">
        <f>AD244</f>
        <v>44717</v>
      </c>
      <c r="AD272" s="69" t="s">
        <v>85</v>
      </c>
      <c r="AE272" s="70">
        <f>SUM(AE248:AE271)</f>
        <v>4007.1000000000008</v>
      </c>
      <c r="AF272" s="70"/>
      <c r="AG272" s="71">
        <f>ABS(SUM(AG248:AG271))</f>
        <v>2354.5000000000005</v>
      </c>
      <c r="AH272" s="70"/>
      <c r="AI272" s="72">
        <f>ABS(SUM(AI248:AI271))</f>
        <v>1652.6000000000001</v>
      </c>
      <c r="AJ272" s="70"/>
      <c r="AK272" s="71">
        <f>ABS(SUM(AK248:AK271))</f>
        <v>1900.3000000000002</v>
      </c>
      <c r="AL272" s="70"/>
      <c r="AM272" s="72">
        <f>ABS(SUM(AM248:AM271))</f>
        <v>2106.8000000000002</v>
      </c>
      <c r="AN272" s="70"/>
      <c r="AO272" s="71">
        <f>ABS(SUM(AO248:AO271))</f>
        <v>1879.8000000000004</v>
      </c>
      <c r="AP272" s="70"/>
      <c r="AQ272" s="72">
        <f>ABS(SUM(AQ248:AQ271))</f>
        <v>2127.3000000000002</v>
      </c>
      <c r="AR272" s="70"/>
      <c r="AS272" s="71">
        <f>ABS(SUM(AS248:AS271))</f>
        <v>1609.9</v>
      </c>
      <c r="AT272" s="70"/>
      <c r="AU272" s="72">
        <f>ABS(SUM(AU248:AU271))</f>
        <v>2397.2000000000003</v>
      </c>
      <c r="AV272" s="70"/>
      <c r="AW272" s="71">
        <f>ABS(SUM(AW248:AW271))</f>
        <v>1336.4</v>
      </c>
      <c r="AX272" s="70"/>
      <c r="AY272" s="72">
        <f>ABS(SUM(AY248:AY271))</f>
        <v>1334.8999999999999</v>
      </c>
      <c r="AZ272" s="70"/>
      <c r="BA272" s="71">
        <f>ABS(SUM(BA248:BA271))</f>
        <v>1986.2</v>
      </c>
      <c r="BB272" s="70"/>
      <c r="BC272" s="72">
        <f>ABS(SUM(BC248:BC271))</f>
        <v>2020.9000000000003</v>
      </c>
    </row>
    <row r="274" spans="30:55" ht="15" thickBot="1">
      <c r="AD274" s="476">
        <f>skemA1!B14</f>
        <v>44718</v>
      </c>
    </row>
    <row r="275" spans="30:55" ht="15" thickBot="1">
      <c r="AD275" s="677" t="s">
        <v>75</v>
      </c>
      <c r="AE275" s="60" t="s">
        <v>558</v>
      </c>
      <c r="AF275" s="672" t="s">
        <v>559</v>
      </c>
      <c r="AG275" s="672"/>
      <c r="AH275" s="672"/>
      <c r="AI275" s="673"/>
      <c r="AJ275" s="672" t="s">
        <v>562</v>
      </c>
      <c r="AK275" s="672"/>
      <c r="AL275" s="672"/>
      <c r="AM275" s="673"/>
      <c r="AN275" s="672" t="s">
        <v>563</v>
      </c>
      <c r="AO275" s="672"/>
      <c r="AP275" s="672"/>
      <c r="AQ275" s="673"/>
      <c r="AR275" s="672" t="s">
        <v>564</v>
      </c>
      <c r="AS275" s="672"/>
      <c r="AT275" s="672"/>
      <c r="AU275" s="673"/>
      <c r="AV275" s="672" t="s">
        <v>565</v>
      </c>
      <c r="AW275" s="672"/>
      <c r="AX275" s="672"/>
      <c r="AY275" s="673"/>
      <c r="AZ275" s="672" t="s">
        <v>566</v>
      </c>
      <c r="BA275" s="672"/>
      <c r="BB275" s="672"/>
      <c r="BC275" s="673"/>
    </row>
    <row r="276" spans="30:55" ht="15" thickBot="1">
      <c r="AD276" s="677"/>
      <c r="AE276" s="61"/>
      <c r="AF276" s="674" t="s">
        <v>561</v>
      </c>
      <c r="AG276" s="670" t="s">
        <v>560</v>
      </c>
      <c r="AH276" s="670"/>
      <c r="AI276" s="671"/>
      <c r="AJ276" s="674" t="s">
        <v>561</v>
      </c>
      <c r="AK276" s="670" t="s">
        <v>560</v>
      </c>
      <c r="AL276" s="670"/>
      <c r="AM276" s="671"/>
      <c r="AN276" s="674" t="s">
        <v>561</v>
      </c>
      <c r="AO276" s="670" t="s">
        <v>560</v>
      </c>
      <c r="AP276" s="670"/>
      <c r="AQ276" s="671"/>
      <c r="AR276" s="674" t="s">
        <v>561</v>
      </c>
      <c r="AS276" s="670" t="s">
        <v>560</v>
      </c>
      <c r="AT276" s="670"/>
      <c r="AU276" s="671"/>
      <c r="AV276" s="674" t="s">
        <v>561</v>
      </c>
      <c r="AW276" s="670" t="s">
        <v>560</v>
      </c>
      <c r="AX276" s="670"/>
      <c r="AY276" s="671"/>
      <c r="AZ276" s="674" t="s">
        <v>561</v>
      </c>
      <c r="BA276" s="670" t="s">
        <v>560</v>
      </c>
      <c r="BB276" s="670"/>
      <c r="BC276" s="671"/>
    </row>
    <row r="277" spans="30:55">
      <c r="AD277" s="677"/>
      <c r="AE277" s="62"/>
      <c r="AF277" s="674"/>
      <c r="AG277" s="63" t="s">
        <v>76</v>
      </c>
      <c r="AH277" s="63">
        <v>0</v>
      </c>
      <c r="AI277" s="64" t="s">
        <v>77</v>
      </c>
      <c r="AJ277" s="674"/>
      <c r="AK277" s="63" t="s">
        <v>76</v>
      </c>
      <c r="AL277" s="63">
        <v>0</v>
      </c>
      <c r="AM277" s="64" t="s">
        <v>77</v>
      </c>
      <c r="AN277" s="674"/>
      <c r="AO277" s="63" t="s">
        <v>76</v>
      </c>
      <c r="AP277" s="63">
        <v>0</v>
      </c>
      <c r="AQ277" s="64" t="s">
        <v>77</v>
      </c>
      <c r="AR277" s="674"/>
      <c r="AS277" s="63" t="s">
        <v>76</v>
      </c>
      <c r="AT277" s="63">
        <v>0</v>
      </c>
      <c r="AU277" s="64" t="s">
        <v>77</v>
      </c>
      <c r="AV277" s="674"/>
      <c r="AW277" s="63" t="s">
        <v>76</v>
      </c>
      <c r="AX277" s="63">
        <v>0</v>
      </c>
      <c r="AY277" s="64" t="s">
        <v>77</v>
      </c>
      <c r="AZ277" s="674"/>
      <c r="BA277" s="63" t="s">
        <v>76</v>
      </c>
      <c r="BB277" s="63">
        <v>0</v>
      </c>
      <c r="BC277" s="64" t="s">
        <v>77</v>
      </c>
    </row>
    <row r="278" spans="30:55">
      <c r="AD278" s="65" t="str">
        <f t="array" ref="AD278:AD301">TRANSPOSE($C$5:$Z$5)</f>
        <v>00</v>
      </c>
      <c r="AE278" s="66">
        <f t="array" ref="AE278:AE301">TRANSPOSE(skemA1!$C$14:$Z$14)</f>
        <v>104.69999999999999</v>
      </c>
      <c r="AF278" s="66">
        <f t="array" ref="AF278:AF301">TRANSPOSE($C$6:$Z$6)</f>
        <v>-1</v>
      </c>
      <c r="AG278" s="66" t="str">
        <f>IF(AF278&gt;0,AF278*$AE278,"")</f>
        <v/>
      </c>
      <c r="AH278" s="66" t="str">
        <f>IF(AF278=0,AF278*$AE278,"")</f>
        <v/>
      </c>
      <c r="AI278" s="67">
        <f>IF(AF278&lt;0,AF278*$AE278,"")</f>
        <v>-104.69999999999999</v>
      </c>
      <c r="AJ278" s="66">
        <f t="array" ref="AJ278:AJ301">TRANSPOSE($C$7:$Z$7)</f>
        <v>-1</v>
      </c>
      <c r="AK278" s="66" t="str">
        <f>IF(AJ278&gt;0,AJ278*$AE278,"")</f>
        <v/>
      </c>
      <c r="AL278" s="66" t="str">
        <f>IF(AJ278=0,AJ278*$AE278,"")</f>
        <v/>
      </c>
      <c r="AM278" s="67">
        <f>IF(AJ278&lt;0,AJ278*$AE278,"")</f>
        <v>-104.69999999999999</v>
      </c>
      <c r="AN278" s="66">
        <f t="array" ref="AN278:AN301">TRANSPOSE($C$8:$Z$8)</f>
        <v>1</v>
      </c>
      <c r="AO278" s="66">
        <f>IF(AN278&gt;0,AN278*$AE278,"")</f>
        <v>104.69999999999999</v>
      </c>
      <c r="AP278" s="66" t="str">
        <f>IF(AN278=0,AN278*$AE278,"")</f>
        <v/>
      </c>
      <c r="AQ278" s="67" t="str">
        <f>IF(AN278&lt;0,AN278*$AE278,"")</f>
        <v/>
      </c>
      <c r="AR278" s="66">
        <f t="array" ref="AR278:AR301">TRANSPOSE($C$9:$Z$9)</f>
        <v>1</v>
      </c>
      <c r="AS278" s="66">
        <f>IF(AR278&gt;0,AR278*$AE278,"")</f>
        <v>104.69999999999999</v>
      </c>
      <c r="AT278" s="66" t="str">
        <f>IF(AR278=0,AR278*$AE278,"")</f>
        <v/>
      </c>
      <c r="AU278" s="67" t="str">
        <f>IF(AR278&lt;0,AR278*$AE278,"")</f>
        <v/>
      </c>
      <c r="AV278" s="66">
        <f t="array" ref="AV278:AV301">TRANSPOSE($C$10:$Z$10)</f>
        <v>1</v>
      </c>
      <c r="AW278" s="66">
        <f t="shared" ref="AW278:AW301" si="162">IF(AV278&gt;0,AV278*$AE278,"")</f>
        <v>104.69999999999999</v>
      </c>
      <c r="AX278" s="66" t="str">
        <f t="shared" ref="AX278:AX301" si="163">IF(AV278=0,AV278*$AE278,"")</f>
        <v/>
      </c>
      <c r="AY278" s="67" t="str">
        <f t="shared" ref="AY278:AY301" si="164">IF(AV278&lt;0,AV278*$AE278,"")</f>
        <v/>
      </c>
      <c r="AZ278" s="66">
        <f t="array" ref="AZ278:AZ301">TRANSPOSE($C$11:$Z$11)</f>
        <v>1</v>
      </c>
      <c r="BA278" s="66">
        <f t="shared" ref="BA278:BA301" si="165">IF(AZ278&gt;0,AZ278*$AE278,"")</f>
        <v>104.69999999999999</v>
      </c>
      <c r="BB278" s="66" t="str">
        <f t="shared" ref="BB278:BB301" si="166">IF(AZ278=0,AZ278*$AE278,"")</f>
        <v/>
      </c>
      <c r="BC278" s="67" t="str">
        <f t="shared" ref="BC278:BC301" si="167">IF(AZ278&lt;0,AZ278*$AE278,"")</f>
        <v/>
      </c>
    </row>
    <row r="279" spans="30:55">
      <c r="AD279" s="68" t="str">
        <v>01</v>
      </c>
      <c r="AE279" s="61">
        <v>90.600000000000009</v>
      </c>
      <c r="AF279" s="61">
        <v>-1</v>
      </c>
      <c r="AG279" s="66" t="str">
        <f t="shared" ref="AG279:AG301" si="168">IF(AF279&gt;0,AF279*$AE279,"")</f>
        <v/>
      </c>
      <c r="AH279" s="66" t="str">
        <f t="shared" ref="AH279:AH301" si="169">IF(AF279=0,AF279*$AE279,"")</f>
        <v/>
      </c>
      <c r="AI279" s="67">
        <f t="shared" ref="AI279:AI301" si="170">IF(AF279&lt;0,AF279*$AE279,"")</f>
        <v>-90.600000000000009</v>
      </c>
      <c r="AJ279" s="61">
        <v>-1</v>
      </c>
      <c r="AK279" s="66" t="str">
        <f t="shared" ref="AK279:AK301" si="171">IF(AJ279&gt;0,AJ279*$AE279,"")</f>
        <v/>
      </c>
      <c r="AL279" s="66" t="str">
        <f t="shared" ref="AL279:AL301" si="172">IF(AJ279=0,AJ279*$AE279,"")</f>
        <v/>
      </c>
      <c r="AM279" s="67">
        <f t="shared" ref="AM279:AM301" si="173">IF(AJ279&lt;0,AJ279*$AE279,"")</f>
        <v>-90.600000000000009</v>
      </c>
      <c r="AN279" s="61">
        <v>1</v>
      </c>
      <c r="AO279" s="66">
        <f t="shared" ref="AO279:AO301" si="174">IF(AN279&gt;0,AN279*$AE279,"")</f>
        <v>90.600000000000009</v>
      </c>
      <c r="AP279" s="66" t="str">
        <f t="shared" ref="AP279:AP301" si="175">IF(AN279=0,AN279*$AE279,"")</f>
        <v/>
      </c>
      <c r="AQ279" s="67" t="str">
        <f t="shared" ref="AQ279:AQ301" si="176">IF(AN279&lt;0,AN279*$AE279,"")</f>
        <v/>
      </c>
      <c r="AR279" s="61">
        <v>1</v>
      </c>
      <c r="AS279" s="66">
        <f t="shared" ref="AS279:AS301" si="177">IF(AR279&gt;0,AR279*$AE279,"")</f>
        <v>90.600000000000009</v>
      </c>
      <c r="AT279" s="66" t="str">
        <f t="shared" ref="AT279:AT301" si="178">IF(AR279=0,AR279*$AE279,"")</f>
        <v/>
      </c>
      <c r="AU279" s="67" t="str">
        <f t="shared" ref="AU279:AU301" si="179">IF(AR279&lt;0,AR279*$AE279,"")</f>
        <v/>
      </c>
      <c r="AV279" s="61">
        <v>0</v>
      </c>
      <c r="AW279" s="66" t="str">
        <f t="shared" si="162"/>
        <v/>
      </c>
      <c r="AX279" s="66">
        <f t="shared" si="163"/>
        <v>0</v>
      </c>
      <c r="AY279" s="67" t="str">
        <f t="shared" si="164"/>
        <v/>
      </c>
      <c r="AZ279" s="61">
        <v>1</v>
      </c>
      <c r="BA279" s="66">
        <f t="shared" si="165"/>
        <v>90.600000000000009</v>
      </c>
      <c r="BB279" s="66" t="str">
        <f t="shared" si="166"/>
        <v/>
      </c>
      <c r="BC279" s="67" t="str">
        <f t="shared" si="167"/>
        <v/>
      </c>
    </row>
    <row r="280" spans="30:55">
      <c r="AD280" s="68" t="str">
        <v>02</v>
      </c>
      <c r="AE280" s="61">
        <v>87.1</v>
      </c>
      <c r="AF280" s="61">
        <v>-1</v>
      </c>
      <c r="AG280" s="66" t="str">
        <f t="shared" si="168"/>
        <v/>
      </c>
      <c r="AH280" s="66" t="str">
        <f t="shared" si="169"/>
        <v/>
      </c>
      <c r="AI280" s="67">
        <f t="shared" si="170"/>
        <v>-87.1</v>
      </c>
      <c r="AJ280" s="61">
        <v>-1</v>
      </c>
      <c r="AK280" s="66" t="str">
        <f t="shared" si="171"/>
        <v/>
      </c>
      <c r="AL280" s="66" t="str">
        <f t="shared" si="172"/>
        <v/>
      </c>
      <c r="AM280" s="67">
        <f t="shared" si="173"/>
        <v>-87.1</v>
      </c>
      <c r="AN280" s="61">
        <v>1</v>
      </c>
      <c r="AO280" s="66">
        <f t="shared" si="174"/>
        <v>87.1</v>
      </c>
      <c r="AP280" s="66" t="str">
        <f t="shared" si="175"/>
        <v/>
      </c>
      <c r="AQ280" s="67" t="str">
        <f t="shared" si="176"/>
        <v/>
      </c>
      <c r="AR280" s="61">
        <v>1</v>
      </c>
      <c r="AS280" s="66">
        <f t="shared" si="177"/>
        <v>87.1</v>
      </c>
      <c r="AT280" s="66" t="str">
        <f t="shared" si="178"/>
        <v/>
      </c>
      <c r="AU280" s="67" t="str">
        <f t="shared" si="179"/>
        <v/>
      </c>
      <c r="AV280" s="61">
        <v>-1</v>
      </c>
      <c r="AW280" s="66" t="str">
        <f t="shared" si="162"/>
        <v/>
      </c>
      <c r="AX280" s="66" t="str">
        <f t="shared" si="163"/>
        <v/>
      </c>
      <c r="AY280" s="67">
        <f t="shared" si="164"/>
        <v>-87.1</v>
      </c>
      <c r="AZ280" s="61">
        <v>1</v>
      </c>
      <c r="BA280" s="66">
        <f t="shared" si="165"/>
        <v>87.1</v>
      </c>
      <c r="BB280" s="66" t="str">
        <f t="shared" si="166"/>
        <v/>
      </c>
      <c r="BC280" s="67" t="str">
        <f t="shared" si="167"/>
        <v/>
      </c>
    </row>
    <row r="281" spans="30:55">
      <c r="AD281" s="68" t="str">
        <v>03</v>
      </c>
      <c r="AE281" s="61">
        <v>102.4</v>
      </c>
      <c r="AF281" s="61">
        <v>-1</v>
      </c>
      <c r="AG281" s="66" t="str">
        <f t="shared" si="168"/>
        <v/>
      </c>
      <c r="AH281" s="66" t="str">
        <f t="shared" si="169"/>
        <v/>
      </c>
      <c r="AI281" s="67">
        <f t="shared" si="170"/>
        <v>-102.4</v>
      </c>
      <c r="AJ281" s="61">
        <v>-1</v>
      </c>
      <c r="AK281" s="66" t="str">
        <f t="shared" si="171"/>
        <v/>
      </c>
      <c r="AL281" s="66" t="str">
        <f t="shared" si="172"/>
        <v/>
      </c>
      <c r="AM281" s="67">
        <f t="shared" si="173"/>
        <v>-102.4</v>
      </c>
      <c r="AN281" s="61">
        <v>-1</v>
      </c>
      <c r="AO281" s="66" t="str">
        <f t="shared" si="174"/>
        <v/>
      </c>
      <c r="AP281" s="66" t="str">
        <f t="shared" si="175"/>
        <v/>
      </c>
      <c r="AQ281" s="67">
        <f t="shared" si="176"/>
        <v>-102.4</v>
      </c>
      <c r="AR281" s="61">
        <v>1</v>
      </c>
      <c r="AS281" s="66">
        <f t="shared" si="177"/>
        <v>102.4</v>
      </c>
      <c r="AT281" s="66" t="str">
        <f t="shared" si="178"/>
        <v/>
      </c>
      <c r="AU281" s="67" t="str">
        <f t="shared" si="179"/>
        <v/>
      </c>
      <c r="AV281" s="61">
        <v>-1</v>
      </c>
      <c r="AW281" s="66" t="str">
        <f t="shared" si="162"/>
        <v/>
      </c>
      <c r="AX281" s="66" t="str">
        <f t="shared" si="163"/>
        <v/>
      </c>
      <c r="AY281" s="67">
        <f t="shared" si="164"/>
        <v>-102.4</v>
      </c>
      <c r="AZ281" s="61">
        <v>-1</v>
      </c>
      <c r="BA281" s="66" t="str">
        <f t="shared" si="165"/>
        <v/>
      </c>
      <c r="BB281" s="66" t="str">
        <f t="shared" si="166"/>
        <v/>
      </c>
      <c r="BC281" s="67">
        <f t="shared" si="167"/>
        <v>-102.4</v>
      </c>
    </row>
    <row r="282" spans="30:55">
      <c r="AD282" s="68" t="str">
        <v>04</v>
      </c>
      <c r="AE282" s="61">
        <v>131.4</v>
      </c>
      <c r="AF282" s="61">
        <v>-1</v>
      </c>
      <c r="AG282" s="66" t="str">
        <f t="shared" si="168"/>
        <v/>
      </c>
      <c r="AH282" s="66" t="str">
        <f t="shared" si="169"/>
        <v/>
      </c>
      <c r="AI282" s="67">
        <f t="shared" si="170"/>
        <v>-131.4</v>
      </c>
      <c r="AJ282" s="61">
        <v>-1</v>
      </c>
      <c r="AK282" s="66" t="str">
        <f t="shared" si="171"/>
        <v/>
      </c>
      <c r="AL282" s="66" t="str">
        <f t="shared" si="172"/>
        <v/>
      </c>
      <c r="AM282" s="67">
        <f t="shared" si="173"/>
        <v>-131.4</v>
      </c>
      <c r="AN282" s="61">
        <v>-1</v>
      </c>
      <c r="AO282" s="66" t="str">
        <f t="shared" si="174"/>
        <v/>
      </c>
      <c r="AP282" s="66" t="str">
        <f t="shared" si="175"/>
        <v/>
      </c>
      <c r="AQ282" s="67">
        <f t="shared" si="176"/>
        <v>-131.4</v>
      </c>
      <c r="AR282" s="61">
        <v>1</v>
      </c>
      <c r="AS282" s="66">
        <f t="shared" si="177"/>
        <v>131.4</v>
      </c>
      <c r="AT282" s="66" t="str">
        <f t="shared" si="178"/>
        <v/>
      </c>
      <c r="AU282" s="67" t="str">
        <f t="shared" si="179"/>
        <v/>
      </c>
      <c r="AV282" s="61">
        <v>0</v>
      </c>
      <c r="AW282" s="66" t="str">
        <f t="shared" si="162"/>
        <v/>
      </c>
      <c r="AX282" s="66">
        <f t="shared" si="163"/>
        <v>0</v>
      </c>
      <c r="AY282" s="67" t="str">
        <f t="shared" si="164"/>
        <v/>
      </c>
      <c r="AZ282" s="61">
        <v>-1</v>
      </c>
      <c r="BA282" s="66" t="str">
        <f t="shared" si="165"/>
        <v/>
      </c>
      <c r="BB282" s="66" t="str">
        <f t="shared" si="166"/>
        <v/>
      </c>
      <c r="BC282" s="67">
        <f t="shared" si="167"/>
        <v>-131.4</v>
      </c>
    </row>
    <row r="283" spans="30:55">
      <c r="AD283" s="68" t="str">
        <v>05</v>
      </c>
      <c r="AE283" s="61">
        <v>166.79999999999998</v>
      </c>
      <c r="AF283" s="61">
        <v>-1</v>
      </c>
      <c r="AG283" s="66" t="str">
        <f t="shared" si="168"/>
        <v/>
      </c>
      <c r="AH283" s="66" t="str">
        <f t="shared" si="169"/>
        <v/>
      </c>
      <c r="AI283" s="67">
        <f t="shared" si="170"/>
        <v>-166.79999999999998</v>
      </c>
      <c r="AJ283" s="61">
        <v>-1</v>
      </c>
      <c r="AK283" s="66" t="str">
        <f t="shared" si="171"/>
        <v/>
      </c>
      <c r="AL283" s="66" t="str">
        <f t="shared" si="172"/>
        <v/>
      </c>
      <c r="AM283" s="67">
        <f t="shared" si="173"/>
        <v>-166.79999999999998</v>
      </c>
      <c r="AN283" s="61">
        <v>-1</v>
      </c>
      <c r="AO283" s="66" t="str">
        <f t="shared" si="174"/>
        <v/>
      </c>
      <c r="AP283" s="66" t="str">
        <f t="shared" si="175"/>
        <v/>
      </c>
      <c r="AQ283" s="67">
        <f t="shared" si="176"/>
        <v>-166.79999999999998</v>
      </c>
      <c r="AR283" s="61">
        <v>1</v>
      </c>
      <c r="AS283" s="66">
        <f t="shared" si="177"/>
        <v>166.79999999999998</v>
      </c>
      <c r="AT283" s="66" t="str">
        <f t="shared" si="178"/>
        <v/>
      </c>
      <c r="AU283" s="67" t="str">
        <f t="shared" si="179"/>
        <v/>
      </c>
      <c r="AV283" s="61">
        <v>1</v>
      </c>
      <c r="AW283" s="66">
        <f t="shared" si="162"/>
        <v>166.79999999999998</v>
      </c>
      <c r="AX283" s="66" t="str">
        <f t="shared" si="163"/>
        <v/>
      </c>
      <c r="AY283" s="67" t="str">
        <f t="shared" si="164"/>
        <v/>
      </c>
      <c r="AZ283" s="61">
        <v>-1</v>
      </c>
      <c r="BA283" s="66" t="str">
        <f t="shared" si="165"/>
        <v/>
      </c>
      <c r="BB283" s="66" t="str">
        <f t="shared" si="166"/>
        <v/>
      </c>
      <c r="BC283" s="67">
        <f t="shared" si="167"/>
        <v>-166.79999999999998</v>
      </c>
    </row>
    <row r="284" spans="30:55">
      <c r="AD284" s="68" t="str">
        <v>06</v>
      </c>
      <c r="AE284" s="61">
        <v>199.3</v>
      </c>
      <c r="AF284" s="61">
        <v>1</v>
      </c>
      <c r="AG284" s="66">
        <f t="shared" si="168"/>
        <v>199.3</v>
      </c>
      <c r="AH284" s="66" t="str">
        <f t="shared" si="169"/>
        <v/>
      </c>
      <c r="AI284" s="67" t="str">
        <f t="shared" si="170"/>
        <v/>
      </c>
      <c r="AJ284" s="61">
        <v>-1</v>
      </c>
      <c r="AK284" s="66" t="str">
        <f t="shared" si="171"/>
        <v/>
      </c>
      <c r="AL284" s="66" t="str">
        <f t="shared" si="172"/>
        <v/>
      </c>
      <c r="AM284" s="67">
        <f t="shared" si="173"/>
        <v>-199.3</v>
      </c>
      <c r="AN284" s="61">
        <v>-1</v>
      </c>
      <c r="AO284" s="66" t="str">
        <f t="shared" si="174"/>
        <v/>
      </c>
      <c r="AP284" s="66" t="str">
        <f t="shared" si="175"/>
        <v/>
      </c>
      <c r="AQ284" s="67">
        <f t="shared" si="176"/>
        <v>-199.3</v>
      </c>
      <c r="AR284" s="61">
        <v>-1</v>
      </c>
      <c r="AS284" s="66" t="str">
        <f t="shared" si="177"/>
        <v/>
      </c>
      <c r="AT284" s="66" t="str">
        <f t="shared" si="178"/>
        <v/>
      </c>
      <c r="AU284" s="67">
        <f t="shared" si="179"/>
        <v>-199.3</v>
      </c>
      <c r="AV284" s="61">
        <v>1</v>
      </c>
      <c r="AW284" s="66">
        <f t="shared" si="162"/>
        <v>199.3</v>
      </c>
      <c r="AX284" s="66" t="str">
        <f t="shared" si="163"/>
        <v/>
      </c>
      <c r="AY284" s="67" t="str">
        <f t="shared" si="164"/>
        <v/>
      </c>
      <c r="AZ284" s="61">
        <v>1</v>
      </c>
      <c r="BA284" s="66">
        <f t="shared" si="165"/>
        <v>199.3</v>
      </c>
      <c r="BB284" s="66" t="str">
        <f t="shared" si="166"/>
        <v/>
      </c>
      <c r="BC284" s="67" t="str">
        <f t="shared" si="167"/>
        <v/>
      </c>
    </row>
    <row r="285" spans="30:55">
      <c r="AD285" s="68" t="str">
        <v>07</v>
      </c>
      <c r="AE285" s="61">
        <v>225</v>
      </c>
      <c r="AF285" s="61">
        <v>1</v>
      </c>
      <c r="AG285" s="66">
        <f t="shared" si="168"/>
        <v>225</v>
      </c>
      <c r="AH285" s="66" t="str">
        <f t="shared" si="169"/>
        <v/>
      </c>
      <c r="AI285" s="67" t="str">
        <f t="shared" si="170"/>
        <v/>
      </c>
      <c r="AJ285" s="61">
        <v>-1</v>
      </c>
      <c r="AK285" s="66" t="str">
        <f t="shared" si="171"/>
        <v/>
      </c>
      <c r="AL285" s="66" t="str">
        <f t="shared" si="172"/>
        <v/>
      </c>
      <c r="AM285" s="67">
        <f t="shared" si="173"/>
        <v>-225</v>
      </c>
      <c r="AN285" s="61">
        <v>-1</v>
      </c>
      <c r="AO285" s="66" t="str">
        <f t="shared" si="174"/>
        <v/>
      </c>
      <c r="AP285" s="66" t="str">
        <f t="shared" si="175"/>
        <v/>
      </c>
      <c r="AQ285" s="67">
        <f t="shared" si="176"/>
        <v>-225</v>
      </c>
      <c r="AR285" s="61">
        <v>-1</v>
      </c>
      <c r="AS285" s="66" t="str">
        <f t="shared" si="177"/>
        <v/>
      </c>
      <c r="AT285" s="66" t="str">
        <f t="shared" si="178"/>
        <v/>
      </c>
      <c r="AU285" s="67">
        <f t="shared" si="179"/>
        <v>-225</v>
      </c>
      <c r="AV285" s="61">
        <v>0</v>
      </c>
      <c r="AW285" s="66" t="str">
        <f t="shared" si="162"/>
        <v/>
      </c>
      <c r="AX285" s="66">
        <f t="shared" si="163"/>
        <v>0</v>
      </c>
      <c r="AY285" s="67" t="str">
        <f t="shared" si="164"/>
        <v/>
      </c>
      <c r="AZ285" s="61">
        <v>1</v>
      </c>
      <c r="BA285" s="66">
        <f t="shared" si="165"/>
        <v>225</v>
      </c>
      <c r="BB285" s="66" t="str">
        <f t="shared" si="166"/>
        <v/>
      </c>
      <c r="BC285" s="67" t="str">
        <f t="shared" si="167"/>
        <v/>
      </c>
    </row>
    <row r="286" spans="30:55">
      <c r="AD286" s="68" t="str">
        <v>08</v>
      </c>
      <c r="AE286" s="61">
        <v>240.20000000000002</v>
      </c>
      <c r="AF286" s="61">
        <v>1</v>
      </c>
      <c r="AG286" s="66">
        <f t="shared" si="168"/>
        <v>240.20000000000002</v>
      </c>
      <c r="AH286" s="66" t="str">
        <f t="shared" si="169"/>
        <v/>
      </c>
      <c r="AI286" s="67" t="str">
        <f t="shared" si="170"/>
        <v/>
      </c>
      <c r="AJ286" s="61">
        <v>-1</v>
      </c>
      <c r="AK286" s="66" t="str">
        <f t="shared" si="171"/>
        <v/>
      </c>
      <c r="AL286" s="66" t="str">
        <f t="shared" si="172"/>
        <v/>
      </c>
      <c r="AM286" s="67">
        <f t="shared" si="173"/>
        <v>-240.20000000000002</v>
      </c>
      <c r="AN286" s="61">
        <v>-1</v>
      </c>
      <c r="AO286" s="66" t="str">
        <f t="shared" si="174"/>
        <v/>
      </c>
      <c r="AP286" s="66" t="str">
        <f t="shared" si="175"/>
        <v/>
      </c>
      <c r="AQ286" s="67">
        <f t="shared" si="176"/>
        <v>-240.20000000000002</v>
      </c>
      <c r="AR286" s="61">
        <v>-1</v>
      </c>
      <c r="AS286" s="66" t="str">
        <f t="shared" si="177"/>
        <v/>
      </c>
      <c r="AT286" s="66" t="str">
        <f t="shared" si="178"/>
        <v/>
      </c>
      <c r="AU286" s="67">
        <f t="shared" si="179"/>
        <v>-240.20000000000002</v>
      </c>
      <c r="AV286" s="61">
        <v>-1</v>
      </c>
      <c r="AW286" s="66" t="str">
        <f t="shared" si="162"/>
        <v/>
      </c>
      <c r="AX286" s="66" t="str">
        <f t="shared" si="163"/>
        <v/>
      </c>
      <c r="AY286" s="67">
        <f t="shared" si="164"/>
        <v>-240.20000000000002</v>
      </c>
      <c r="AZ286" s="61">
        <v>1</v>
      </c>
      <c r="BA286" s="66">
        <f t="shared" si="165"/>
        <v>240.20000000000002</v>
      </c>
      <c r="BB286" s="66" t="str">
        <f t="shared" si="166"/>
        <v/>
      </c>
      <c r="BC286" s="67" t="str">
        <f t="shared" si="167"/>
        <v/>
      </c>
    </row>
    <row r="287" spans="30:55">
      <c r="AD287" s="68" t="str">
        <v>09</v>
      </c>
      <c r="AE287" s="61">
        <v>242.20000000000002</v>
      </c>
      <c r="AF287" s="61">
        <v>1</v>
      </c>
      <c r="AG287" s="66">
        <f t="shared" si="168"/>
        <v>242.20000000000002</v>
      </c>
      <c r="AH287" s="66" t="str">
        <f t="shared" si="169"/>
        <v/>
      </c>
      <c r="AI287" s="67" t="str">
        <f t="shared" si="170"/>
        <v/>
      </c>
      <c r="AJ287" s="61">
        <v>-1</v>
      </c>
      <c r="AK287" s="66" t="str">
        <f t="shared" si="171"/>
        <v/>
      </c>
      <c r="AL287" s="66" t="str">
        <f t="shared" si="172"/>
        <v/>
      </c>
      <c r="AM287" s="67">
        <f t="shared" si="173"/>
        <v>-242.20000000000002</v>
      </c>
      <c r="AN287" s="61">
        <v>1</v>
      </c>
      <c r="AO287" s="66">
        <f t="shared" si="174"/>
        <v>242.20000000000002</v>
      </c>
      <c r="AP287" s="66" t="str">
        <f t="shared" si="175"/>
        <v/>
      </c>
      <c r="AQ287" s="67" t="str">
        <f t="shared" si="176"/>
        <v/>
      </c>
      <c r="AR287" s="61">
        <v>-1</v>
      </c>
      <c r="AS287" s="66" t="str">
        <f t="shared" si="177"/>
        <v/>
      </c>
      <c r="AT287" s="66" t="str">
        <f t="shared" si="178"/>
        <v/>
      </c>
      <c r="AU287" s="67">
        <f t="shared" si="179"/>
        <v>-242.20000000000002</v>
      </c>
      <c r="AV287" s="61">
        <v>-1</v>
      </c>
      <c r="AW287" s="66" t="str">
        <f t="shared" si="162"/>
        <v/>
      </c>
      <c r="AX287" s="66" t="str">
        <f t="shared" si="163"/>
        <v/>
      </c>
      <c r="AY287" s="67">
        <f t="shared" si="164"/>
        <v>-242.20000000000002</v>
      </c>
      <c r="AZ287" s="61">
        <v>-1</v>
      </c>
      <c r="BA287" s="66" t="str">
        <f t="shared" si="165"/>
        <v/>
      </c>
      <c r="BB287" s="66" t="str">
        <f t="shared" si="166"/>
        <v/>
      </c>
      <c r="BC287" s="67">
        <f t="shared" si="167"/>
        <v>-242.20000000000002</v>
      </c>
    </row>
    <row r="288" spans="30:55">
      <c r="AD288" s="68" t="str">
        <v>10</v>
      </c>
      <c r="AE288" s="61">
        <v>235.70000000000002</v>
      </c>
      <c r="AF288" s="61">
        <v>1</v>
      </c>
      <c r="AG288" s="66">
        <f t="shared" si="168"/>
        <v>235.70000000000002</v>
      </c>
      <c r="AH288" s="66" t="str">
        <f t="shared" si="169"/>
        <v/>
      </c>
      <c r="AI288" s="67" t="str">
        <f t="shared" si="170"/>
        <v/>
      </c>
      <c r="AJ288" s="61">
        <v>-1</v>
      </c>
      <c r="AK288" s="66" t="str">
        <f t="shared" si="171"/>
        <v/>
      </c>
      <c r="AL288" s="66" t="str">
        <f t="shared" si="172"/>
        <v/>
      </c>
      <c r="AM288" s="67">
        <f t="shared" si="173"/>
        <v>-235.70000000000002</v>
      </c>
      <c r="AN288" s="61">
        <v>1</v>
      </c>
      <c r="AO288" s="66">
        <f t="shared" si="174"/>
        <v>235.70000000000002</v>
      </c>
      <c r="AP288" s="66" t="str">
        <f t="shared" si="175"/>
        <v/>
      </c>
      <c r="AQ288" s="67" t="str">
        <f t="shared" si="176"/>
        <v/>
      </c>
      <c r="AR288" s="61">
        <v>-1</v>
      </c>
      <c r="AS288" s="66" t="str">
        <f t="shared" si="177"/>
        <v/>
      </c>
      <c r="AT288" s="66" t="str">
        <f t="shared" si="178"/>
        <v/>
      </c>
      <c r="AU288" s="67">
        <f t="shared" si="179"/>
        <v>-235.70000000000002</v>
      </c>
      <c r="AV288" s="61">
        <v>0</v>
      </c>
      <c r="AW288" s="66" t="str">
        <f t="shared" si="162"/>
        <v/>
      </c>
      <c r="AX288" s="66">
        <f t="shared" si="163"/>
        <v>0</v>
      </c>
      <c r="AY288" s="67" t="str">
        <f t="shared" si="164"/>
        <v/>
      </c>
      <c r="AZ288" s="61">
        <v>-1</v>
      </c>
      <c r="BA288" s="66" t="str">
        <f t="shared" si="165"/>
        <v/>
      </c>
      <c r="BB288" s="66" t="str">
        <f t="shared" si="166"/>
        <v/>
      </c>
      <c r="BC288" s="67">
        <f t="shared" si="167"/>
        <v>-235.70000000000002</v>
      </c>
    </row>
    <row r="289" spans="29:55">
      <c r="AD289" s="68" t="str">
        <v>11</v>
      </c>
      <c r="AE289" s="61">
        <v>218.29999999999998</v>
      </c>
      <c r="AF289" s="61">
        <v>1</v>
      </c>
      <c r="AG289" s="66">
        <f t="shared" si="168"/>
        <v>218.29999999999998</v>
      </c>
      <c r="AH289" s="66" t="str">
        <f t="shared" si="169"/>
        <v/>
      </c>
      <c r="AI289" s="67" t="str">
        <f t="shared" si="170"/>
        <v/>
      </c>
      <c r="AJ289" s="61">
        <v>-1</v>
      </c>
      <c r="AK289" s="66" t="str">
        <f t="shared" si="171"/>
        <v/>
      </c>
      <c r="AL289" s="66" t="str">
        <f t="shared" si="172"/>
        <v/>
      </c>
      <c r="AM289" s="67">
        <f t="shared" si="173"/>
        <v>-218.29999999999998</v>
      </c>
      <c r="AN289" s="61">
        <v>1</v>
      </c>
      <c r="AO289" s="66">
        <f t="shared" si="174"/>
        <v>218.29999999999998</v>
      </c>
      <c r="AP289" s="66" t="str">
        <f t="shared" si="175"/>
        <v/>
      </c>
      <c r="AQ289" s="67" t="str">
        <f t="shared" si="176"/>
        <v/>
      </c>
      <c r="AR289" s="61">
        <v>-1</v>
      </c>
      <c r="AS289" s="66" t="str">
        <f t="shared" si="177"/>
        <v/>
      </c>
      <c r="AT289" s="66" t="str">
        <f t="shared" si="178"/>
        <v/>
      </c>
      <c r="AU289" s="67">
        <f t="shared" si="179"/>
        <v>-218.29999999999998</v>
      </c>
      <c r="AV289" s="61">
        <v>1</v>
      </c>
      <c r="AW289" s="66">
        <f t="shared" si="162"/>
        <v>218.29999999999998</v>
      </c>
      <c r="AX289" s="66" t="str">
        <f t="shared" si="163"/>
        <v/>
      </c>
      <c r="AY289" s="67" t="str">
        <f t="shared" si="164"/>
        <v/>
      </c>
      <c r="AZ289" s="61">
        <v>-1</v>
      </c>
      <c r="BA289" s="66" t="str">
        <f t="shared" si="165"/>
        <v/>
      </c>
      <c r="BB289" s="66" t="str">
        <f t="shared" si="166"/>
        <v/>
      </c>
      <c r="BC289" s="67">
        <f t="shared" si="167"/>
        <v>-218.29999999999998</v>
      </c>
    </row>
    <row r="290" spans="29:55">
      <c r="AD290" s="68" t="str">
        <v>12</v>
      </c>
      <c r="AE290" s="61">
        <v>192.3</v>
      </c>
      <c r="AF290" s="61">
        <v>1</v>
      </c>
      <c r="AG290" s="66">
        <f t="shared" si="168"/>
        <v>192.3</v>
      </c>
      <c r="AH290" s="66" t="str">
        <f t="shared" si="169"/>
        <v/>
      </c>
      <c r="AI290" s="67" t="str">
        <f t="shared" si="170"/>
        <v/>
      </c>
      <c r="AJ290" s="61">
        <v>1</v>
      </c>
      <c r="AK290" s="66">
        <f t="shared" si="171"/>
        <v>192.3</v>
      </c>
      <c r="AL290" s="66" t="str">
        <f t="shared" si="172"/>
        <v/>
      </c>
      <c r="AM290" s="67" t="str">
        <f t="shared" si="173"/>
        <v/>
      </c>
      <c r="AN290" s="61">
        <v>1</v>
      </c>
      <c r="AO290" s="66">
        <f t="shared" si="174"/>
        <v>192.3</v>
      </c>
      <c r="AP290" s="66" t="str">
        <f t="shared" si="175"/>
        <v/>
      </c>
      <c r="AQ290" s="67" t="str">
        <f t="shared" si="176"/>
        <v/>
      </c>
      <c r="AR290" s="61">
        <v>1</v>
      </c>
      <c r="AS290" s="66">
        <f t="shared" si="177"/>
        <v>192.3</v>
      </c>
      <c r="AT290" s="66" t="str">
        <f t="shared" si="178"/>
        <v/>
      </c>
      <c r="AU290" s="67" t="str">
        <f t="shared" si="179"/>
        <v/>
      </c>
      <c r="AV290" s="61">
        <v>1</v>
      </c>
      <c r="AW290" s="66">
        <f t="shared" si="162"/>
        <v>192.3</v>
      </c>
      <c r="AX290" s="66" t="str">
        <f t="shared" si="163"/>
        <v/>
      </c>
      <c r="AY290" s="67" t="str">
        <f t="shared" si="164"/>
        <v/>
      </c>
      <c r="AZ290" s="61">
        <v>1</v>
      </c>
      <c r="BA290" s="66">
        <f t="shared" si="165"/>
        <v>192.3</v>
      </c>
      <c r="BB290" s="66" t="str">
        <f t="shared" si="166"/>
        <v/>
      </c>
      <c r="BC290" s="67" t="str">
        <f t="shared" si="167"/>
        <v/>
      </c>
    </row>
    <row r="291" spans="29:55">
      <c r="AD291" s="68" t="str">
        <v>13</v>
      </c>
      <c r="AE291" s="61">
        <v>170.5</v>
      </c>
      <c r="AF291" s="61">
        <v>1</v>
      </c>
      <c r="AG291" s="66">
        <f t="shared" si="168"/>
        <v>170.5</v>
      </c>
      <c r="AH291" s="66" t="str">
        <f t="shared" si="169"/>
        <v/>
      </c>
      <c r="AI291" s="67" t="str">
        <f t="shared" si="170"/>
        <v/>
      </c>
      <c r="AJ291" s="61">
        <v>1</v>
      </c>
      <c r="AK291" s="66">
        <f t="shared" si="171"/>
        <v>170.5</v>
      </c>
      <c r="AL291" s="66" t="str">
        <f t="shared" si="172"/>
        <v/>
      </c>
      <c r="AM291" s="67" t="str">
        <f t="shared" si="173"/>
        <v/>
      </c>
      <c r="AN291" s="61">
        <v>1</v>
      </c>
      <c r="AO291" s="66">
        <f t="shared" si="174"/>
        <v>170.5</v>
      </c>
      <c r="AP291" s="66" t="str">
        <f t="shared" si="175"/>
        <v/>
      </c>
      <c r="AQ291" s="67" t="str">
        <f t="shared" si="176"/>
        <v/>
      </c>
      <c r="AR291" s="61">
        <v>1</v>
      </c>
      <c r="AS291" s="66">
        <f t="shared" si="177"/>
        <v>170.5</v>
      </c>
      <c r="AT291" s="66" t="str">
        <f t="shared" si="178"/>
        <v/>
      </c>
      <c r="AU291" s="67" t="str">
        <f t="shared" si="179"/>
        <v/>
      </c>
      <c r="AV291" s="61">
        <v>0</v>
      </c>
      <c r="AW291" s="66" t="str">
        <f t="shared" si="162"/>
        <v/>
      </c>
      <c r="AX291" s="66">
        <f t="shared" si="163"/>
        <v>0</v>
      </c>
      <c r="AY291" s="67" t="str">
        <f t="shared" si="164"/>
        <v/>
      </c>
      <c r="AZ291" s="61">
        <v>1</v>
      </c>
      <c r="BA291" s="66">
        <f t="shared" si="165"/>
        <v>170.5</v>
      </c>
      <c r="BB291" s="66" t="str">
        <f t="shared" si="166"/>
        <v/>
      </c>
      <c r="BC291" s="67" t="str">
        <f t="shared" si="167"/>
        <v/>
      </c>
    </row>
    <row r="292" spans="29:55">
      <c r="AD292" s="68" t="str">
        <v>14</v>
      </c>
      <c r="AE292" s="61">
        <v>155.6</v>
      </c>
      <c r="AF292" s="61">
        <v>1</v>
      </c>
      <c r="AG292" s="66">
        <f t="shared" si="168"/>
        <v>155.6</v>
      </c>
      <c r="AH292" s="66" t="str">
        <f t="shared" si="169"/>
        <v/>
      </c>
      <c r="AI292" s="67" t="str">
        <f t="shared" si="170"/>
        <v/>
      </c>
      <c r="AJ292" s="61">
        <v>1</v>
      </c>
      <c r="AK292" s="66">
        <f t="shared" si="171"/>
        <v>155.6</v>
      </c>
      <c r="AL292" s="66" t="str">
        <f t="shared" si="172"/>
        <v/>
      </c>
      <c r="AM292" s="67" t="str">
        <f t="shared" si="173"/>
        <v/>
      </c>
      <c r="AN292" s="61">
        <v>1</v>
      </c>
      <c r="AO292" s="66">
        <f t="shared" si="174"/>
        <v>155.6</v>
      </c>
      <c r="AP292" s="66" t="str">
        <f t="shared" si="175"/>
        <v/>
      </c>
      <c r="AQ292" s="67" t="str">
        <f t="shared" si="176"/>
        <v/>
      </c>
      <c r="AR292" s="61">
        <v>1</v>
      </c>
      <c r="AS292" s="66">
        <f t="shared" si="177"/>
        <v>155.6</v>
      </c>
      <c r="AT292" s="66" t="str">
        <f t="shared" si="178"/>
        <v/>
      </c>
      <c r="AU292" s="67" t="str">
        <f t="shared" si="179"/>
        <v/>
      </c>
      <c r="AV292" s="61">
        <v>-1</v>
      </c>
      <c r="AW292" s="66" t="str">
        <f t="shared" si="162"/>
        <v/>
      </c>
      <c r="AX292" s="66" t="str">
        <f t="shared" si="163"/>
        <v/>
      </c>
      <c r="AY292" s="67">
        <f t="shared" si="164"/>
        <v>-155.6</v>
      </c>
      <c r="AZ292" s="61">
        <v>1</v>
      </c>
      <c r="BA292" s="66">
        <f t="shared" si="165"/>
        <v>155.6</v>
      </c>
      <c r="BB292" s="66" t="str">
        <f t="shared" si="166"/>
        <v/>
      </c>
      <c r="BC292" s="67" t="str">
        <f t="shared" si="167"/>
        <v/>
      </c>
    </row>
    <row r="293" spans="29:55">
      <c r="AD293" s="68" t="str">
        <v>15</v>
      </c>
      <c r="AE293" s="61">
        <v>147.30000000000001</v>
      </c>
      <c r="AF293" s="61">
        <v>1</v>
      </c>
      <c r="AG293" s="66">
        <f t="shared" si="168"/>
        <v>147.30000000000001</v>
      </c>
      <c r="AH293" s="66" t="str">
        <f t="shared" si="169"/>
        <v/>
      </c>
      <c r="AI293" s="67" t="str">
        <f t="shared" si="170"/>
        <v/>
      </c>
      <c r="AJ293" s="61">
        <v>1</v>
      </c>
      <c r="AK293" s="66">
        <f t="shared" si="171"/>
        <v>147.30000000000001</v>
      </c>
      <c r="AL293" s="66" t="str">
        <f t="shared" si="172"/>
        <v/>
      </c>
      <c r="AM293" s="67" t="str">
        <f t="shared" si="173"/>
        <v/>
      </c>
      <c r="AN293" s="61">
        <v>-1</v>
      </c>
      <c r="AO293" s="66" t="str">
        <f t="shared" si="174"/>
        <v/>
      </c>
      <c r="AP293" s="66" t="str">
        <f t="shared" si="175"/>
        <v/>
      </c>
      <c r="AQ293" s="67">
        <f t="shared" si="176"/>
        <v>-147.30000000000001</v>
      </c>
      <c r="AR293" s="61">
        <v>1</v>
      </c>
      <c r="AS293" s="66">
        <f t="shared" si="177"/>
        <v>147.30000000000001</v>
      </c>
      <c r="AT293" s="66" t="str">
        <f t="shared" si="178"/>
        <v/>
      </c>
      <c r="AU293" s="67" t="str">
        <f t="shared" si="179"/>
        <v/>
      </c>
      <c r="AV293" s="61">
        <v>-1</v>
      </c>
      <c r="AW293" s="66" t="str">
        <f t="shared" si="162"/>
        <v/>
      </c>
      <c r="AX293" s="66" t="str">
        <f t="shared" si="163"/>
        <v/>
      </c>
      <c r="AY293" s="67">
        <f t="shared" si="164"/>
        <v>-147.30000000000001</v>
      </c>
      <c r="AZ293" s="61">
        <v>-1</v>
      </c>
      <c r="BA293" s="66" t="str">
        <f t="shared" si="165"/>
        <v/>
      </c>
      <c r="BB293" s="66" t="str">
        <f t="shared" si="166"/>
        <v/>
      </c>
      <c r="BC293" s="67">
        <f t="shared" si="167"/>
        <v>-147.30000000000001</v>
      </c>
    </row>
    <row r="294" spans="29:55">
      <c r="AD294" s="68" t="str">
        <v>16</v>
      </c>
      <c r="AE294" s="61">
        <v>147.9</v>
      </c>
      <c r="AF294" s="61">
        <v>1</v>
      </c>
      <c r="AG294" s="66">
        <f t="shared" si="168"/>
        <v>147.9</v>
      </c>
      <c r="AH294" s="66" t="str">
        <f t="shared" si="169"/>
        <v/>
      </c>
      <c r="AI294" s="67" t="str">
        <f t="shared" si="170"/>
        <v/>
      </c>
      <c r="AJ294" s="61">
        <v>1</v>
      </c>
      <c r="AK294" s="66">
        <f t="shared" si="171"/>
        <v>147.9</v>
      </c>
      <c r="AL294" s="66" t="str">
        <f t="shared" si="172"/>
        <v/>
      </c>
      <c r="AM294" s="67" t="str">
        <f t="shared" si="173"/>
        <v/>
      </c>
      <c r="AN294" s="61">
        <v>-1</v>
      </c>
      <c r="AO294" s="66" t="str">
        <f t="shared" si="174"/>
        <v/>
      </c>
      <c r="AP294" s="66" t="str">
        <f t="shared" si="175"/>
        <v/>
      </c>
      <c r="AQ294" s="67">
        <f t="shared" si="176"/>
        <v>-147.9</v>
      </c>
      <c r="AR294" s="61">
        <v>1</v>
      </c>
      <c r="AS294" s="66">
        <f t="shared" si="177"/>
        <v>147.9</v>
      </c>
      <c r="AT294" s="66" t="str">
        <f t="shared" si="178"/>
        <v/>
      </c>
      <c r="AU294" s="67" t="str">
        <f t="shared" si="179"/>
        <v/>
      </c>
      <c r="AV294" s="61">
        <v>0</v>
      </c>
      <c r="AW294" s="66" t="str">
        <f t="shared" si="162"/>
        <v/>
      </c>
      <c r="AX294" s="66">
        <f t="shared" si="163"/>
        <v>0</v>
      </c>
      <c r="AY294" s="67" t="str">
        <f t="shared" si="164"/>
        <v/>
      </c>
      <c r="AZ294" s="61">
        <v>-1</v>
      </c>
      <c r="BA294" s="66" t="str">
        <f t="shared" si="165"/>
        <v/>
      </c>
      <c r="BB294" s="66" t="str">
        <f t="shared" si="166"/>
        <v/>
      </c>
      <c r="BC294" s="67">
        <f t="shared" si="167"/>
        <v>-147.9</v>
      </c>
    </row>
    <row r="295" spans="29:55">
      <c r="AD295" s="68" t="str">
        <v>17</v>
      </c>
      <c r="AE295" s="61">
        <v>157.29999999999998</v>
      </c>
      <c r="AF295" s="61">
        <v>1</v>
      </c>
      <c r="AG295" s="66">
        <f t="shared" si="168"/>
        <v>157.29999999999998</v>
      </c>
      <c r="AH295" s="66" t="str">
        <f t="shared" si="169"/>
        <v/>
      </c>
      <c r="AI295" s="67" t="str">
        <f t="shared" si="170"/>
        <v/>
      </c>
      <c r="AJ295" s="61">
        <v>1</v>
      </c>
      <c r="AK295" s="66">
        <f t="shared" si="171"/>
        <v>157.29999999999998</v>
      </c>
      <c r="AL295" s="66" t="str">
        <f t="shared" si="172"/>
        <v/>
      </c>
      <c r="AM295" s="67" t="str">
        <f t="shared" si="173"/>
        <v/>
      </c>
      <c r="AN295" s="61">
        <v>-1</v>
      </c>
      <c r="AO295" s="66" t="str">
        <f t="shared" si="174"/>
        <v/>
      </c>
      <c r="AP295" s="66" t="str">
        <f t="shared" si="175"/>
        <v/>
      </c>
      <c r="AQ295" s="67">
        <f t="shared" si="176"/>
        <v>-157.29999999999998</v>
      </c>
      <c r="AR295" s="61">
        <v>1</v>
      </c>
      <c r="AS295" s="66">
        <f t="shared" si="177"/>
        <v>157.29999999999998</v>
      </c>
      <c r="AT295" s="66" t="str">
        <f t="shared" si="178"/>
        <v/>
      </c>
      <c r="AU295" s="67" t="str">
        <f t="shared" si="179"/>
        <v/>
      </c>
      <c r="AV295" s="61">
        <v>1</v>
      </c>
      <c r="AW295" s="66">
        <f t="shared" si="162"/>
        <v>157.29999999999998</v>
      </c>
      <c r="AX295" s="66" t="str">
        <f t="shared" si="163"/>
        <v/>
      </c>
      <c r="AY295" s="67" t="str">
        <f t="shared" si="164"/>
        <v/>
      </c>
      <c r="AZ295" s="61">
        <v>-1</v>
      </c>
      <c r="BA295" s="66" t="str">
        <f t="shared" si="165"/>
        <v/>
      </c>
      <c r="BB295" s="66" t="str">
        <f t="shared" si="166"/>
        <v/>
      </c>
      <c r="BC295" s="67">
        <f t="shared" si="167"/>
        <v>-157.29999999999998</v>
      </c>
    </row>
    <row r="296" spans="29:55">
      <c r="AD296" s="68" t="str">
        <v>18</v>
      </c>
      <c r="AE296" s="61">
        <v>167.3</v>
      </c>
      <c r="AF296" s="61">
        <v>-1</v>
      </c>
      <c r="AG296" s="66" t="str">
        <f t="shared" si="168"/>
        <v/>
      </c>
      <c r="AH296" s="66" t="str">
        <f t="shared" si="169"/>
        <v/>
      </c>
      <c r="AI296" s="67">
        <f t="shared" si="170"/>
        <v>-167.3</v>
      </c>
      <c r="AJ296" s="61">
        <v>1</v>
      </c>
      <c r="AK296" s="66">
        <f t="shared" si="171"/>
        <v>167.3</v>
      </c>
      <c r="AL296" s="66" t="str">
        <f t="shared" si="172"/>
        <v/>
      </c>
      <c r="AM296" s="67" t="str">
        <f t="shared" si="173"/>
        <v/>
      </c>
      <c r="AN296" s="61">
        <v>-1</v>
      </c>
      <c r="AO296" s="66" t="str">
        <f t="shared" si="174"/>
        <v/>
      </c>
      <c r="AP296" s="66" t="str">
        <f t="shared" si="175"/>
        <v/>
      </c>
      <c r="AQ296" s="67">
        <f t="shared" si="176"/>
        <v>-167.3</v>
      </c>
      <c r="AR296" s="61">
        <v>-1</v>
      </c>
      <c r="AS296" s="66" t="str">
        <f t="shared" si="177"/>
        <v/>
      </c>
      <c r="AT296" s="66" t="str">
        <f t="shared" si="178"/>
        <v/>
      </c>
      <c r="AU296" s="67">
        <f t="shared" si="179"/>
        <v>-167.3</v>
      </c>
      <c r="AV296" s="61">
        <v>1</v>
      </c>
      <c r="AW296" s="66">
        <f t="shared" si="162"/>
        <v>167.3</v>
      </c>
      <c r="AX296" s="66" t="str">
        <f t="shared" si="163"/>
        <v/>
      </c>
      <c r="AY296" s="67" t="str">
        <f t="shared" si="164"/>
        <v/>
      </c>
      <c r="AZ296" s="61">
        <v>1</v>
      </c>
      <c r="BA296" s="66">
        <f t="shared" si="165"/>
        <v>167.3</v>
      </c>
      <c r="BB296" s="66" t="str">
        <f t="shared" si="166"/>
        <v/>
      </c>
      <c r="BC296" s="67" t="str">
        <f t="shared" si="167"/>
        <v/>
      </c>
    </row>
    <row r="297" spans="29:55">
      <c r="AD297" s="68" t="str">
        <v>19</v>
      </c>
      <c r="AE297" s="61">
        <v>178.9</v>
      </c>
      <c r="AF297" s="61">
        <v>-1</v>
      </c>
      <c r="AG297" s="66" t="str">
        <f t="shared" si="168"/>
        <v/>
      </c>
      <c r="AH297" s="66" t="str">
        <f t="shared" si="169"/>
        <v/>
      </c>
      <c r="AI297" s="67">
        <f t="shared" si="170"/>
        <v>-178.9</v>
      </c>
      <c r="AJ297" s="61">
        <v>1</v>
      </c>
      <c r="AK297" s="66">
        <f t="shared" si="171"/>
        <v>178.9</v>
      </c>
      <c r="AL297" s="66" t="str">
        <f t="shared" si="172"/>
        <v/>
      </c>
      <c r="AM297" s="67" t="str">
        <f t="shared" si="173"/>
        <v/>
      </c>
      <c r="AN297" s="61">
        <v>-1</v>
      </c>
      <c r="AO297" s="66" t="str">
        <f t="shared" si="174"/>
        <v/>
      </c>
      <c r="AP297" s="66" t="str">
        <f t="shared" si="175"/>
        <v/>
      </c>
      <c r="AQ297" s="67">
        <f t="shared" si="176"/>
        <v>-178.9</v>
      </c>
      <c r="AR297" s="61">
        <v>-1</v>
      </c>
      <c r="AS297" s="66" t="str">
        <f t="shared" si="177"/>
        <v/>
      </c>
      <c r="AT297" s="66" t="str">
        <f t="shared" si="178"/>
        <v/>
      </c>
      <c r="AU297" s="67">
        <f t="shared" si="179"/>
        <v>-178.9</v>
      </c>
      <c r="AV297" s="61">
        <v>0</v>
      </c>
      <c r="AW297" s="66" t="str">
        <f t="shared" si="162"/>
        <v/>
      </c>
      <c r="AX297" s="66">
        <f t="shared" si="163"/>
        <v>0</v>
      </c>
      <c r="AY297" s="67" t="str">
        <f t="shared" si="164"/>
        <v/>
      </c>
      <c r="AZ297" s="61">
        <v>1</v>
      </c>
      <c r="BA297" s="66">
        <f t="shared" si="165"/>
        <v>178.9</v>
      </c>
      <c r="BB297" s="66" t="str">
        <f t="shared" si="166"/>
        <v/>
      </c>
      <c r="BC297" s="67" t="str">
        <f t="shared" si="167"/>
        <v/>
      </c>
    </row>
    <row r="298" spans="29:55">
      <c r="AD298" s="68" t="str">
        <v>20</v>
      </c>
      <c r="AE298" s="61">
        <v>183.20000000000002</v>
      </c>
      <c r="AF298" s="61">
        <v>-1</v>
      </c>
      <c r="AG298" s="66" t="str">
        <f t="shared" si="168"/>
        <v/>
      </c>
      <c r="AH298" s="66" t="str">
        <f t="shared" si="169"/>
        <v/>
      </c>
      <c r="AI298" s="67">
        <f t="shared" si="170"/>
        <v>-183.20000000000002</v>
      </c>
      <c r="AJ298" s="61">
        <v>1</v>
      </c>
      <c r="AK298" s="66">
        <f t="shared" si="171"/>
        <v>183.20000000000002</v>
      </c>
      <c r="AL298" s="66" t="str">
        <f t="shared" si="172"/>
        <v/>
      </c>
      <c r="AM298" s="67" t="str">
        <f t="shared" si="173"/>
        <v/>
      </c>
      <c r="AN298" s="61">
        <v>-1</v>
      </c>
      <c r="AO298" s="66" t="str">
        <f t="shared" si="174"/>
        <v/>
      </c>
      <c r="AP298" s="66" t="str">
        <f t="shared" si="175"/>
        <v/>
      </c>
      <c r="AQ298" s="67">
        <f t="shared" si="176"/>
        <v>-183.20000000000002</v>
      </c>
      <c r="AR298" s="61">
        <v>-1</v>
      </c>
      <c r="AS298" s="66" t="str">
        <f t="shared" si="177"/>
        <v/>
      </c>
      <c r="AT298" s="66" t="str">
        <f t="shared" si="178"/>
        <v/>
      </c>
      <c r="AU298" s="67">
        <f t="shared" si="179"/>
        <v>-183.20000000000002</v>
      </c>
      <c r="AV298" s="61">
        <v>-1</v>
      </c>
      <c r="AW298" s="66" t="str">
        <f t="shared" si="162"/>
        <v/>
      </c>
      <c r="AX298" s="66" t="str">
        <f t="shared" si="163"/>
        <v/>
      </c>
      <c r="AY298" s="67">
        <f t="shared" si="164"/>
        <v>-183.20000000000002</v>
      </c>
      <c r="AZ298" s="61">
        <v>1</v>
      </c>
      <c r="BA298" s="66">
        <f t="shared" si="165"/>
        <v>183.20000000000002</v>
      </c>
      <c r="BB298" s="66" t="str">
        <f t="shared" si="166"/>
        <v/>
      </c>
      <c r="BC298" s="67" t="str">
        <f t="shared" si="167"/>
        <v/>
      </c>
    </row>
    <row r="299" spans="29:55">
      <c r="AD299" s="68" t="str">
        <v>21</v>
      </c>
      <c r="AE299" s="61">
        <v>175.5</v>
      </c>
      <c r="AF299" s="61">
        <v>-1</v>
      </c>
      <c r="AG299" s="66" t="str">
        <f t="shared" si="168"/>
        <v/>
      </c>
      <c r="AH299" s="66" t="str">
        <f t="shared" si="169"/>
        <v/>
      </c>
      <c r="AI299" s="67">
        <f t="shared" si="170"/>
        <v>-175.5</v>
      </c>
      <c r="AJ299" s="61">
        <v>1</v>
      </c>
      <c r="AK299" s="66">
        <f t="shared" si="171"/>
        <v>175.5</v>
      </c>
      <c r="AL299" s="66" t="str">
        <f t="shared" si="172"/>
        <v/>
      </c>
      <c r="AM299" s="67" t="str">
        <f t="shared" si="173"/>
        <v/>
      </c>
      <c r="AN299" s="61">
        <v>1</v>
      </c>
      <c r="AO299" s="66">
        <f t="shared" si="174"/>
        <v>175.5</v>
      </c>
      <c r="AP299" s="66" t="str">
        <f t="shared" si="175"/>
        <v/>
      </c>
      <c r="AQ299" s="67" t="str">
        <f t="shared" si="176"/>
        <v/>
      </c>
      <c r="AR299" s="61">
        <v>-1</v>
      </c>
      <c r="AS299" s="66" t="str">
        <f t="shared" si="177"/>
        <v/>
      </c>
      <c r="AT299" s="66" t="str">
        <f t="shared" si="178"/>
        <v/>
      </c>
      <c r="AU299" s="67">
        <f t="shared" si="179"/>
        <v>-175.5</v>
      </c>
      <c r="AV299" s="61">
        <v>-1</v>
      </c>
      <c r="AW299" s="66" t="str">
        <f t="shared" si="162"/>
        <v/>
      </c>
      <c r="AX299" s="66" t="str">
        <f t="shared" si="163"/>
        <v/>
      </c>
      <c r="AY299" s="67">
        <f t="shared" si="164"/>
        <v>-175.5</v>
      </c>
      <c r="AZ299" s="61">
        <v>-1</v>
      </c>
      <c r="BA299" s="66" t="str">
        <f t="shared" si="165"/>
        <v/>
      </c>
      <c r="BB299" s="66" t="str">
        <f t="shared" si="166"/>
        <v/>
      </c>
      <c r="BC299" s="67">
        <f t="shared" si="167"/>
        <v>-175.5</v>
      </c>
    </row>
    <row r="300" spans="29:55">
      <c r="AD300" s="68" t="str">
        <v>22</v>
      </c>
      <c r="AE300" s="61">
        <v>155.6</v>
      </c>
      <c r="AF300" s="61">
        <v>-1</v>
      </c>
      <c r="AG300" s="66" t="str">
        <f t="shared" si="168"/>
        <v/>
      </c>
      <c r="AH300" s="66" t="str">
        <f t="shared" si="169"/>
        <v/>
      </c>
      <c r="AI300" s="67">
        <f t="shared" si="170"/>
        <v>-155.6</v>
      </c>
      <c r="AJ300" s="61">
        <v>1</v>
      </c>
      <c r="AK300" s="66">
        <f t="shared" si="171"/>
        <v>155.6</v>
      </c>
      <c r="AL300" s="66" t="str">
        <f t="shared" si="172"/>
        <v/>
      </c>
      <c r="AM300" s="67" t="str">
        <f t="shared" si="173"/>
        <v/>
      </c>
      <c r="AN300" s="61">
        <v>1</v>
      </c>
      <c r="AO300" s="66">
        <f t="shared" si="174"/>
        <v>155.6</v>
      </c>
      <c r="AP300" s="66" t="str">
        <f t="shared" si="175"/>
        <v/>
      </c>
      <c r="AQ300" s="67" t="str">
        <f t="shared" si="176"/>
        <v/>
      </c>
      <c r="AR300" s="61">
        <v>-1</v>
      </c>
      <c r="AS300" s="66" t="str">
        <f t="shared" si="177"/>
        <v/>
      </c>
      <c r="AT300" s="66" t="str">
        <f t="shared" si="178"/>
        <v/>
      </c>
      <c r="AU300" s="67">
        <f t="shared" si="179"/>
        <v>-155.6</v>
      </c>
      <c r="AV300" s="61">
        <v>0</v>
      </c>
      <c r="AW300" s="66" t="str">
        <f t="shared" si="162"/>
        <v/>
      </c>
      <c r="AX300" s="66">
        <f t="shared" si="163"/>
        <v>0</v>
      </c>
      <c r="AY300" s="67" t="str">
        <f t="shared" si="164"/>
        <v/>
      </c>
      <c r="AZ300" s="61">
        <v>-1</v>
      </c>
      <c r="BA300" s="66" t="str">
        <f t="shared" si="165"/>
        <v/>
      </c>
      <c r="BB300" s="66" t="str">
        <f t="shared" si="166"/>
        <v/>
      </c>
      <c r="BC300" s="67">
        <f t="shared" si="167"/>
        <v>-155.6</v>
      </c>
    </row>
    <row r="301" spans="29:55">
      <c r="AD301" s="68" t="str">
        <v>23</v>
      </c>
      <c r="AE301" s="61">
        <v>137.5</v>
      </c>
      <c r="AF301" s="61">
        <v>-1</v>
      </c>
      <c r="AG301" s="66" t="str">
        <f t="shared" si="168"/>
        <v/>
      </c>
      <c r="AH301" s="66" t="str">
        <f t="shared" si="169"/>
        <v/>
      </c>
      <c r="AI301" s="67">
        <f t="shared" si="170"/>
        <v>-137.5</v>
      </c>
      <c r="AJ301" s="61">
        <v>1</v>
      </c>
      <c r="AK301" s="66">
        <f t="shared" si="171"/>
        <v>137.5</v>
      </c>
      <c r="AL301" s="66" t="str">
        <f t="shared" si="172"/>
        <v/>
      </c>
      <c r="AM301" s="67" t="str">
        <f t="shared" si="173"/>
        <v/>
      </c>
      <c r="AN301" s="61">
        <v>1</v>
      </c>
      <c r="AO301" s="66">
        <f t="shared" si="174"/>
        <v>137.5</v>
      </c>
      <c r="AP301" s="66" t="str">
        <f t="shared" si="175"/>
        <v/>
      </c>
      <c r="AQ301" s="67" t="str">
        <f t="shared" si="176"/>
        <v/>
      </c>
      <c r="AR301" s="61">
        <v>-1</v>
      </c>
      <c r="AS301" s="66" t="str">
        <f t="shared" si="177"/>
        <v/>
      </c>
      <c r="AT301" s="66" t="str">
        <f t="shared" si="178"/>
        <v/>
      </c>
      <c r="AU301" s="67">
        <f t="shared" si="179"/>
        <v>-137.5</v>
      </c>
      <c r="AV301" s="61">
        <v>1</v>
      </c>
      <c r="AW301" s="66">
        <f t="shared" si="162"/>
        <v>137.5</v>
      </c>
      <c r="AX301" s="66" t="str">
        <f t="shared" si="163"/>
        <v/>
      </c>
      <c r="AY301" s="67" t="str">
        <f t="shared" si="164"/>
        <v/>
      </c>
      <c r="AZ301" s="61">
        <v>-1</v>
      </c>
      <c r="BA301" s="66" t="str">
        <f t="shared" si="165"/>
        <v/>
      </c>
      <c r="BB301" s="66" t="str">
        <f t="shared" si="166"/>
        <v/>
      </c>
      <c r="BC301" s="67">
        <f t="shared" si="167"/>
        <v>-137.5</v>
      </c>
    </row>
    <row r="302" spans="29:55" ht="15.75" thickBot="1">
      <c r="AC302" s="476">
        <f>AD274</f>
        <v>44718</v>
      </c>
      <c r="AD302" s="69" t="s">
        <v>85</v>
      </c>
      <c r="AE302" s="70">
        <f>SUM(AE278:AE301)</f>
        <v>4012.6000000000004</v>
      </c>
      <c r="AF302" s="70"/>
      <c r="AG302" s="71">
        <f>ABS(SUM(AG278:AG301))</f>
        <v>2331.6</v>
      </c>
      <c r="AH302" s="70"/>
      <c r="AI302" s="72">
        <f>ABS(SUM(AI278:AI301))</f>
        <v>1681</v>
      </c>
      <c r="AJ302" s="70"/>
      <c r="AK302" s="71">
        <f>ABS(SUM(AK278:AK301))</f>
        <v>1968.9</v>
      </c>
      <c r="AL302" s="70"/>
      <c r="AM302" s="72">
        <f>ABS(SUM(AM278:AM301))</f>
        <v>2043.7</v>
      </c>
      <c r="AN302" s="70"/>
      <c r="AO302" s="71">
        <f>ABS(SUM(AO278:AO301))</f>
        <v>1965.6</v>
      </c>
      <c r="AP302" s="70"/>
      <c r="AQ302" s="72">
        <f>ABS(SUM(AQ278:AQ301))</f>
        <v>2047.0000000000002</v>
      </c>
      <c r="AR302" s="70"/>
      <c r="AS302" s="71">
        <f>ABS(SUM(AS278:AS301))</f>
        <v>1653.8999999999999</v>
      </c>
      <c r="AT302" s="70"/>
      <c r="AU302" s="72">
        <f>ABS(SUM(AU278:AU301))</f>
        <v>2358.7000000000003</v>
      </c>
      <c r="AV302" s="70"/>
      <c r="AW302" s="71">
        <f>ABS(SUM(AW278:AW301))</f>
        <v>1343.5</v>
      </c>
      <c r="AX302" s="70"/>
      <c r="AY302" s="72">
        <f>ABS(SUM(AY278:AY301))</f>
        <v>1333.5000000000002</v>
      </c>
      <c r="AZ302" s="70"/>
      <c r="BA302" s="71">
        <f>ABS(SUM(BA278:BA301))</f>
        <v>1994.7</v>
      </c>
      <c r="BB302" s="70"/>
      <c r="BC302" s="72">
        <f>ABS(SUM(BC278:BC301))</f>
        <v>2017.9</v>
      </c>
    </row>
    <row r="304" spans="29:55" ht="15" thickBot="1">
      <c r="AD304" s="476">
        <f>skemA1!B15</f>
        <v>44719</v>
      </c>
    </row>
    <row r="305" spans="30:55" ht="15" thickBot="1">
      <c r="AD305" s="677" t="s">
        <v>75</v>
      </c>
      <c r="AE305" s="60" t="s">
        <v>558</v>
      </c>
      <c r="AF305" s="672" t="s">
        <v>559</v>
      </c>
      <c r="AG305" s="672"/>
      <c r="AH305" s="672"/>
      <c r="AI305" s="673"/>
      <c r="AJ305" s="672" t="s">
        <v>562</v>
      </c>
      <c r="AK305" s="672"/>
      <c r="AL305" s="672"/>
      <c r="AM305" s="673"/>
      <c r="AN305" s="672" t="s">
        <v>563</v>
      </c>
      <c r="AO305" s="672"/>
      <c r="AP305" s="672"/>
      <c r="AQ305" s="673"/>
      <c r="AR305" s="672" t="s">
        <v>564</v>
      </c>
      <c r="AS305" s="672"/>
      <c r="AT305" s="672"/>
      <c r="AU305" s="673"/>
      <c r="AV305" s="672" t="s">
        <v>565</v>
      </c>
      <c r="AW305" s="672"/>
      <c r="AX305" s="672"/>
      <c r="AY305" s="673"/>
      <c r="AZ305" s="672" t="s">
        <v>566</v>
      </c>
      <c r="BA305" s="672"/>
      <c r="BB305" s="672"/>
      <c r="BC305" s="673"/>
    </row>
    <row r="306" spans="30:55" ht="15" thickBot="1">
      <c r="AD306" s="677"/>
      <c r="AE306" s="61"/>
      <c r="AF306" s="674" t="s">
        <v>561</v>
      </c>
      <c r="AG306" s="670" t="s">
        <v>560</v>
      </c>
      <c r="AH306" s="670"/>
      <c r="AI306" s="671"/>
      <c r="AJ306" s="674" t="s">
        <v>561</v>
      </c>
      <c r="AK306" s="670" t="s">
        <v>560</v>
      </c>
      <c r="AL306" s="670"/>
      <c r="AM306" s="671"/>
      <c r="AN306" s="674" t="s">
        <v>561</v>
      </c>
      <c r="AO306" s="670" t="s">
        <v>560</v>
      </c>
      <c r="AP306" s="670"/>
      <c r="AQ306" s="671"/>
      <c r="AR306" s="674" t="s">
        <v>561</v>
      </c>
      <c r="AS306" s="670" t="s">
        <v>560</v>
      </c>
      <c r="AT306" s="670"/>
      <c r="AU306" s="671"/>
      <c r="AV306" s="674" t="s">
        <v>561</v>
      </c>
      <c r="AW306" s="670" t="s">
        <v>560</v>
      </c>
      <c r="AX306" s="670"/>
      <c r="AY306" s="671"/>
      <c r="AZ306" s="674" t="s">
        <v>561</v>
      </c>
      <c r="BA306" s="670" t="s">
        <v>560</v>
      </c>
      <c r="BB306" s="670"/>
      <c r="BC306" s="671"/>
    </row>
    <row r="307" spans="30:55">
      <c r="AD307" s="677"/>
      <c r="AE307" s="62"/>
      <c r="AF307" s="674"/>
      <c r="AG307" s="63" t="s">
        <v>76</v>
      </c>
      <c r="AH307" s="63">
        <v>0</v>
      </c>
      <c r="AI307" s="64" t="s">
        <v>77</v>
      </c>
      <c r="AJ307" s="674"/>
      <c r="AK307" s="63" t="s">
        <v>76</v>
      </c>
      <c r="AL307" s="63">
        <v>0</v>
      </c>
      <c r="AM307" s="64" t="s">
        <v>77</v>
      </c>
      <c r="AN307" s="674"/>
      <c r="AO307" s="63" t="s">
        <v>76</v>
      </c>
      <c r="AP307" s="63">
        <v>0</v>
      </c>
      <c r="AQ307" s="64" t="s">
        <v>77</v>
      </c>
      <c r="AR307" s="674"/>
      <c r="AS307" s="63" t="s">
        <v>76</v>
      </c>
      <c r="AT307" s="63">
        <v>0</v>
      </c>
      <c r="AU307" s="64" t="s">
        <v>77</v>
      </c>
      <c r="AV307" s="674"/>
      <c r="AW307" s="63" t="s">
        <v>76</v>
      </c>
      <c r="AX307" s="63">
        <v>0</v>
      </c>
      <c r="AY307" s="64" t="s">
        <v>77</v>
      </c>
      <c r="AZ307" s="674"/>
      <c r="BA307" s="63" t="s">
        <v>76</v>
      </c>
      <c r="BB307" s="63">
        <v>0</v>
      </c>
      <c r="BC307" s="64" t="s">
        <v>77</v>
      </c>
    </row>
    <row r="308" spans="30:55">
      <c r="AD308" s="65" t="str">
        <f t="array" ref="AD308:AD331">TRANSPOSE($C$5:$Z$5)</f>
        <v>00</v>
      </c>
      <c r="AE308" s="66">
        <f t="array" ref="AE308:AE331">TRANSPOSE(skemA1!$C$15:$Z$15)</f>
        <v>119.7</v>
      </c>
      <c r="AF308" s="66">
        <f t="array" ref="AF308:AF331">TRANSPOSE($C$6:$Z$6)</f>
        <v>-1</v>
      </c>
      <c r="AG308" s="66" t="str">
        <f>IF(AF308&gt;0,AF308*$AE308,"")</f>
        <v/>
      </c>
      <c r="AH308" s="66" t="str">
        <f>IF(AF308=0,AF308*$AE308,"")</f>
        <v/>
      </c>
      <c r="AI308" s="67">
        <f>IF(AF308&lt;0,AF308*$AE308,"")</f>
        <v>-119.7</v>
      </c>
      <c r="AJ308" s="66">
        <f t="array" ref="AJ308:AJ331">TRANSPOSE($C$7:$Z$7)</f>
        <v>-1</v>
      </c>
      <c r="AK308" s="66" t="str">
        <f>IF(AJ308&gt;0,AJ308*$AE308,"")</f>
        <v/>
      </c>
      <c r="AL308" s="66" t="str">
        <f>IF(AJ308=0,AJ308*$AE308,"")</f>
        <v/>
      </c>
      <c r="AM308" s="67">
        <f>IF(AJ308&lt;0,AJ308*$AE308,"")</f>
        <v>-119.7</v>
      </c>
      <c r="AN308" s="66">
        <f t="array" ref="AN308:AN331">TRANSPOSE($C$8:$Z$8)</f>
        <v>1</v>
      </c>
      <c r="AO308" s="66">
        <f>IF(AN308&gt;0,AN308*$AE308,"")</f>
        <v>119.7</v>
      </c>
      <c r="AP308" s="66" t="str">
        <f>IF(AN308=0,AN308*$AE308,"")</f>
        <v/>
      </c>
      <c r="AQ308" s="67" t="str">
        <f>IF(AN308&lt;0,AN308*$AE308,"")</f>
        <v/>
      </c>
      <c r="AR308" s="66">
        <f t="array" ref="AR308:AR331">TRANSPOSE($C$9:$Z$9)</f>
        <v>1</v>
      </c>
      <c r="AS308" s="66">
        <f>IF(AR308&gt;0,AR308*$AE308,"")</f>
        <v>119.7</v>
      </c>
      <c r="AT308" s="66" t="str">
        <f>IF(AR308=0,AR308*$AE308,"")</f>
        <v/>
      </c>
      <c r="AU308" s="67" t="str">
        <f>IF(AR308&lt;0,AR308*$AE308,"")</f>
        <v/>
      </c>
      <c r="AV308" s="66">
        <f t="array" ref="AV308:AV331">TRANSPOSE($C$10:$Z$10)</f>
        <v>1</v>
      </c>
      <c r="AW308" s="66">
        <f t="shared" ref="AW308:AW331" si="180">IF(AV308&gt;0,AV308*$AE308,"")</f>
        <v>119.7</v>
      </c>
      <c r="AX308" s="66" t="str">
        <f t="shared" ref="AX308:AX331" si="181">IF(AV308=0,AV308*$AE308,"")</f>
        <v/>
      </c>
      <c r="AY308" s="67" t="str">
        <f t="shared" ref="AY308:AY331" si="182">IF(AV308&lt;0,AV308*$AE308,"")</f>
        <v/>
      </c>
      <c r="AZ308" s="66">
        <f t="array" ref="AZ308:AZ331">TRANSPOSE($C$11:$Z$11)</f>
        <v>1</v>
      </c>
      <c r="BA308" s="66">
        <f t="shared" ref="BA308:BA331" si="183">IF(AZ308&gt;0,AZ308*$AE308,"")</f>
        <v>119.7</v>
      </c>
      <c r="BB308" s="66" t="str">
        <f t="shared" ref="BB308:BB331" si="184">IF(AZ308=0,AZ308*$AE308,"")</f>
        <v/>
      </c>
      <c r="BC308" s="67" t="str">
        <f t="shared" ref="BC308:BC331" si="185">IF(AZ308&lt;0,AZ308*$AE308,"")</f>
        <v/>
      </c>
    </row>
    <row r="309" spans="30:55">
      <c r="AD309" s="68" t="str">
        <v>01</v>
      </c>
      <c r="AE309" s="61">
        <v>105.80000000000001</v>
      </c>
      <c r="AF309" s="61">
        <v>-1</v>
      </c>
      <c r="AG309" s="66" t="str">
        <f t="shared" ref="AG309:AG331" si="186">IF(AF309&gt;0,AF309*$AE309,"")</f>
        <v/>
      </c>
      <c r="AH309" s="66" t="str">
        <f t="shared" ref="AH309:AH331" si="187">IF(AF309=0,AF309*$AE309,"")</f>
        <v/>
      </c>
      <c r="AI309" s="67">
        <f t="shared" ref="AI309:AI331" si="188">IF(AF309&lt;0,AF309*$AE309,"")</f>
        <v>-105.80000000000001</v>
      </c>
      <c r="AJ309" s="61">
        <v>-1</v>
      </c>
      <c r="AK309" s="66" t="str">
        <f t="shared" ref="AK309:AK331" si="189">IF(AJ309&gt;0,AJ309*$AE309,"")</f>
        <v/>
      </c>
      <c r="AL309" s="66" t="str">
        <f t="shared" ref="AL309:AL331" si="190">IF(AJ309=0,AJ309*$AE309,"")</f>
        <v/>
      </c>
      <c r="AM309" s="67">
        <f t="shared" ref="AM309:AM331" si="191">IF(AJ309&lt;0,AJ309*$AE309,"")</f>
        <v>-105.80000000000001</v>
      </c>
      <c r="AN309" s="61">
        <v>1</v>
      </c>
      <c r="AO309" s="66">
        <f t="shared" ref="AO309:AO331" si="192">IF(AN309&gt;0,AN309*$AE309,"")</f>
        <v>105.80000000000001</v>
      </c>
      <c r="AP309" s="66" t="str">
        <f t="shared" ref="AP309:AP331" si="193">IF(AN309=0,AN309*$AE309,"")</f>
        <v/>
      </c>
      <c r="AQ309" s="67" t="str">
        <f t="shared" ref="AQ309:AQ331" si="194">IF(AN309&lt;0,AN309*$AE309,"")</f>
        <v/>
      </c>
      <c r="AR309" s="61">
        <v>1</v>
      </c>
      <c r="AS309" s="66">
        <f t="shared" ref="AS309:AS331" si="195">IF(AR309&gt;0,AR309*$AE309,"")</f>
        <v>105.80000000000001</v>
      </c>
      <c r="AT309" s="66" t="str">
        <f t="shared" ref="AT309:AT331" si="196">IF(AR309=0,AR309*$AE309,"")</f>
        <v/>
      </c>
      <c r="AU309" s="67" t="str">
        <f t="shared" ref="AU309:AU331" si="197">IF(AR309&lt;0,AR309*$AE309,"")</f>
        <v/>
      </c>
      <c r="AV309" s="61">
        <v>0</v>
      </c>
      <c r="AW309" s="66" t="str">
        <f t="shared" si="180"/>
        <v/>
      </c>
      <c r="AX309" s="66">
        <f t="shared" si="181"/>
        <v>0</v>
      </c>
      <c r="AY309" s="67" t="str">
        <f t="shared" si="182"/>
        <v/>
      </c>
      <c r="AZ309" s="61">
        <v>1</v>
      </c>
      <c r="BA309" s="66">
        <f t="shared" si="183"/>
        <v>105.80000000000001</v>
      </c>
      <c r="BB309" s="66" t="str">
        <f t="shared" si="184"/>
        <v/>
      </c>
      <c r="BC309" s="67" t="str">
        <f t="shared" si="185"/>
        <v/>
      </c>
    </row>
    <row r="310" spans="30:55">
      <c r="AD310" s="68" t="str">
        <v>02</v>
      </c>
      <c r="AE310" s="61">
        <v>102.8</v>
      </c>
      <c r="AF310" s="61">
        <v>-1</v>
      </c>
      <c r="AG310" s="66" t="str">
        <f t="shared" si="186"/>
        <v/>
      </c>
      <c r="AH310" s="66" t="str">
        <f t="shared" si="187"/>
        <v/>
      </c>
      <c r="AI310" s="67">
        <f t="shared" si="188"/>
        <v>-102.8</v>
      </c>
      <c r="AJ310" s="61">
        <v>-1</v>
      </c>
      <c r="AK310" s="66" t="str">
        <f t="shared" si="189"/>
        <v/>
      </c>
      <c r="AL310" s="66" t="str">
        <f t="shared" si="190"/>
        <v/>
      </c>
      <c r="AM310" s="67">
        <f t="shared" si="191"/>
        <v>-102.8</v>
      </c>
      <c r="AN310" s="61">
        <v>1</v>
      </c>
      <c r="AO310" s="66">
        <f t="shared" si="192"/>
        <v>102.8</v>
      </c>
      <c r="AP310" s="66" t="str">
        <f t="shared" si="193"/>
        <v/>
      </c>
      <c r="AQ310" s="67" t="str">
        <f t="shared" si="194"/>
        <v/>
      </c>
      <c r="AR310" s="61">
        <v>1</v>
      </c>
      <c r="AS310" s="66">
        <f t="shared" si="195"/>
        <v>102.8</v>
      </c>
      <c r="AT310" s="66" t="str">
        <f t="shared" si="196"/>
        <v/>
      </c>
      <c r="AU310" s="67" t="str">
        <f t="shared" si="197"/>
        <v/>
      </c>
      <c r="AV310" s="61">
        <v>-1</v>
      </c>
      <c r="AW310" s="66" t="str">
        <f t="shared" si="180"/>
        <v/>
      </c>
      <c r="AX310" s="66" t="str">
        <f t="shared" si="181"/>
        <v/>
      </c>
      <c r="AY310" s="67">
        <f t="shared" si="182"/>
        <v>-102.8</v>
      </c>
      <c r="AZ310" s="61">
        <v>1</v>
      </c>
      <c r="BA310" s="66">
        <f t="shared" si="183"/>
        <v>102.8</v>
      </c>
      <c r="BB310" s="66" t="str">
        <f t="shared" si="184"/>
        <v/>
      </c>
      <c r="BC310" s="67" t="str">
        <f t="shared" si="185"/>
        <v/>
      </c>
    </row>
    <row r="311" spans="30:55">
      <c r="AD311" s="68" t="str">
        <v>03</v>
      </c>
      <c r="AE311" s="61">
        <v>110.00000000000001</v>
      </c>
      <c r="AF311" s="61">
        <v>-1</v>
      </c>
      <c r="AG311" s="66" t="str">
        <f t="shared" si="186"/>
        <v/>
      </c>
      <c r="AH311" s="66" t="str">
        <f t="shared" si="187"/>
        <v/>
      </c>
      <c r="AI311" s="67">
        <f t="shared" si="188"/>
        <v>-110.00000000000001</v>
      </c>
      <c r="AJ311" s="61">
        <v>-1</v>
      </c>
      <c r="AK311" s="66" t="str">
        <f t="shared" si="189"/>
        <v/>
      </c>
      <c r="AL311" s="66" t="str">
        <f t="shared" si="190"/>
        <v/>
      </c>
      <c r="AM311" s="67">
        <f t="shared" si="191"/>
        <v>-110.00000000000001</v>
      </c>
      <c r="AN311" s="61">
        <v>-1</v>
      </c>
      <c r="AO311" s="66" t="str">
        <f t="shared" si="192"/>
        <v/>
      </c>
      <c r="AP311" s="66" t="str">
        <f t="shared" si="193"/>
        <v/>
      </c>
      <c r="AQ311" s="67">
        <f t="shared" si="194"/>
        <v>-110.00000000000001</v>
      </c>
      <c r="AR311" s="61">
        <v>1</v>
      </c>
      <c r="AS311" s="66">
        <f t="shared" si="195"/>
        <v>110.00000000000001</v>
      </c>
      <c r="AT311" s="66" t="str">
        <f t="shared" si="196"/>
        <v/>
      </c>
      <c r="AU311" s="67" t="str">
        <f t="shared" si="197"/>
        <v/>
      </c>
      <c r="AV311" s="61">
        <v>-1</v>
      </c>
      <c r="AW311" s="66" t="str">
        <f t="shared" si="180"/>
        <v/>
      </c>
      <c r="AX311" s="66" t="str">
        <f t="shared" si="181"/>
        <v/>
      </c>
      <c r="AY311" s="67">
        <f t="shared" si="182"/>
        <v>-110.00000000000001</v>
      </c>
      <c r="AZ311" s="61">
        <v>-1</v>
      </c>
      <c r="BA311" s="66" t="str">
        <f t="shared" si="183"/>
        <v/>
      </c>
      <c r="BB311" s="66" t="str">
        <f t="shared" si="184"/>
        <v/>
      </c>
      <c r="BC311" s="67">
        <f t="shared" si="185"/>
        <v>-110.00000000000001</v>
      </c>
    </row>
    <row r="312" spans="30:55">
      <c r="AD312" s="68" t="str">
        <v>04</v>
      </c>
      <c r="AE312" s="61">
        <v>130.69999999999999</v>
      </c>
      <c r="AF312" s="61">
        <v>-1</v>
      </c>
      <c r="AG312" s="66" t="str">
        <f t="shared" si="186"/>
        <v/>
      </c>
      <c r="AH312" s="66" t="str">
        <f t="shared" si="187"/>
        <v/>
      </c>
      <c r="AI312" s="67">
        <f t="shared" si="188"/>
        <v>-130.69999999999999</v>
      </c>
      <c r="AJ312" s="61">
        <v>-1</v>
      </c>
      <c r="AK312" s="66" t="str">
        <f t="shared" si="189"/>
        <v/>
      </c>
      <c r="AL312" s="66" t="str">
        <f t="shared" si="190"/>
        <v/>
      </c>
      <c r="AM312" s="67">
        <f t="shared" si="191"/>
        <v>-130.69999999999999</v>
      </c>
      <c r="AN312" s="61">
        <v>-1</v>
      </c>
      <c r="AO312" s="66" t="str">
        <f t="shared" si="192"/>
        <v/>
      </c>
      <c r="AP312" s="66" t="str">
        <f t="shared" si="193"/>
        <v/>
      </c>
      <c r="AQ312" s="67">
        <f t="shared" si="194"/>
        <v>-130.69999999999999</v>
      </c>
      <c r="AR312" s="61">
        <v>1</v>
      </c>
      <c r="AS312" s="66">
        <f t="shared" si="195"/>
        <v>130.69999999999999</v>
      </c>
      <c r="AT312" s="66" t="str">
        <f t="shared" si="196"/>
        <v/>
      </c>
      <c r="AU312" s="67" t="str">
        <f t="shared" si="197"/>
        <v/>
      </c>
      <c r="AV312" s="61">
        <v>0</v>
      </c>
      <c r="AW312" s="66" t="str">
        <f t="shared" si="180"/>
        <v/>
      </c>
      <c r="AX312" s="66">
        <f t="shared" si="181"/>
        <v>0</v>
      </c>
      <c r="AY312" s="67" t="str">
        <f t="shared" si="182"/>
        <v/>
      </c>
      <c r="AZ312" s="61">
        <v>-1</v>
      </c>
      <c r="BA312" s="66" t="str">
        <f t="shared" si="183"/>
        <v/>
      </c>
      <c r="BB312" s="66" t="str">
        <f t="shared" si="184"/>
        <v/>
      </c>
      <c r="BC312" s="67">
        <f t="shared" si="185"/>
        <v>-130.69999999999999</v>
      </c>
    </row>
    <row r="313" spans="30:55">
      <c r="AD313" s="68" t="str">
        <v>05</v>
      </c>
      <c r="AE313" s="61">
        <v>159.30000000000001</v>
      </c>
      <c r="AF313" s="61">
        <v>-1</v>
      </c>
      <c r="AG313" s="66" t="str">
        <f t="shared" si="186"/>
        <v/>
      </c>
      <c r="AH313" s="66" t="str">
        <f t="shared" si="187"/>
        <v/>
      </c>
      <c r="AI313" s="67">
        <f t="shared" si="188"/>
        <v>-159.30000000000001</v>
      </c>
      <c r="AJ313" s="61">
        <v>-1</v>
      </c>
      <c r="AK313" s="66" t="str">
        <f t="shared" si="189"/>
        <v/>
      </c>
      <c r="AL313" s="66" t="str">
        <f t="shared" si="190"/>
        <v/>
      </c>
      <c r="AM313" s="67">
        <f t="shared" si="191"/>
        <v>-159.30000000000001</v>
      </c>
      <c r="AN313" s="61">
        <v>-1</v>
      </c>
      <c r="AO313" s="66" t="str">
        <f t="shared" si="192"/>
        <v/>
      </c>
      <c r="AP313" s="66" t="str">
        <f t="shared" si="193"/>
        <v/>
      </c>
      <c r="AQ313" s="67">
        <f t="shared" si="194"/>
        <v>-159.30000000000001</v>
      </c>
      <c r="AR313" s="61">
        <v>1</v>
      </c>
      <c r="AS313" s="66">
        <f t="shared" si="195"/>
        <v>159.30000000000001</v>
      </c>
      <c r="AT313" s="66" t="str">
        <f t="shared" si="196"/>
        <v/>
      </c>
      <c r="AU313" s="67" t="str">
        <f t="shared" si="197"/>
        <v/>
      </c>
      <c r="AV313" s="61">
        <v>1</v>
      </c>
      <c r="AW313" s="66">
        <f t="shared" si="180"/>
        <v>159.30000000000001</v>
      </c>
      <c r="AX313" s="66" t="str">
        <f t="shared" si="181"/>
        <v/>
      </c>
      <c r="AY313" s="67" t="str">
        <f t="shared" si="182"/>
        <v/>
      </c>
      <c r="AZ313" s="61">
        <v>-1</v>
      </c>
      <c r="BA313" s="66" t="str">
        <f t="shared" si="183"/>
        <v/>
      </c>
      <c r="BB313" s="66" t="str">
        <f t="shared" si="184"/>
        <v/>
      </c>
      <c r="BC313" s="67">
        <f t="shared" si="185"/>
        <v>-159.30000000000001</v>
      </c>
    </row>
    <row r="314" spans="30:55">
      <c r="AD314" s="68" t="str">
        <v>06</v>
      </c>
      <c r="AE314" s="61">
        <v>188.6</v>
      </c>
      <c r="AF314" s="61">
        <v>1</v>
      </c>
      <c r="AG314" s="66">
        <f t="shared" si="186"/>
        <v>188.6</v>
      </c>
      <c r="AH314" s="66" t="str">
        <f t="shared" si="187"/>
        <v/>
      </c>
      <c r="AI314" s="67" t="str">
        <f t="shared" si="188"/>
        <v/>
      </c>
      <c r="AJ314" s="61">
        <v>-1</v>
      </c>
      <c r="AK314" s="66" t="str">
        <f t="shared" si="189"/>
        <v/>
      </c>
      <c r="AL314" s="66" t="str">
        <f t="shared" si="190"/>
        <v/>
      </c>
      <c r="AM314" s="67">
        <f t="shared" si="191"/>
        <v>-188.6</v>
      </c>
      <c r="AN314" s="61">
        <v>-1</v>
      </c>
      <c r="AO314" s="66" t="str">
        <f t="shared" si="192"/>
        <v/>
      </c>
      <c r="AP314" s="66" t="str">
        <f t="shared" si="193"/>
        <v/>
      </c>
      <c r="AQ314" s="67">
        <f t="shared" si="194"/>
        <v>-188.6</v>
      </c>
      <c r="AR314" s="61">
        <v>-1</v>
      </c>
      <c r="AS314" s="66" t="str">
        <f t="shared" si="195"/>
        <v/>
      </c>
      <c r="AT314" s="66" t="str">
        <f t="shared" si="196"/>
        <v/>
      </c>
      <c r="AU314" s="67">
        <f t="shared" si="197"/>
        <v>-188.6</v>
      </c>
      <c r="AV314" s="61">
        <v>1</v>
      </c>
      <c r="AW314" s="66">
        <f t="shared" si="180"/>
        <v>188.6</v>
      </c>
      <c r="AX314" s="66" t="str">
        <f t="shared" si="181"/>
        <v/>
      </c>
      <c r="AY314" s="67" t="str">
        <f t="shared" si="182"/>
        <v/>
      </c>
      <c r="AZ314" s="61">
        <v>1</v>
      </c>
      <c r="BA314" s="66">
        <f t="shared" si="183"/>
        <v>188.6</v>
      </c>
      <c r="BB314" s="66" t="str">
        <f t="shared" si="184"/>
        <v/>
      </c>
      <c r="BC314" s="67" t="str">
        <f t="shared" si="185"/>
        <v/>
      </c>
    </row>
    <row r="315" spans="30:55">
      <c r="AD315" s="68" t="str">
        <v>07</v>
      </c>
      <c r="AE315" s="61">
        <v>209.60000000000002</v>
      </c>
      <c r="AF315" s="61">
        <v>1</v>
      </c>
      <c r="AG315" s="66">
        <f t="shared" si="186"/>
        <v>209.60000000000002</v>
      </c>
      <c r="AH315" s="66" t="str">
        <f t="shared" si="187"/>
        <v/>
      </c>
      <c r="AI315" s="67" t="str">
        <f t="shared" si="188"/>
        <v/>
      </c>
      <c r="AJ315" s="61">
        <v>-1</v>
      </c>
      <c r="AK315" s="66" t="str">
        <f t="shared" si="189"/>
        <v/>
      </c>
      <c r="AL315" s="66" t="str">
        <f t="shared" si="190"/>
        <v/>
      </c>
      <c r="AM315" s="67">
        <f t="shared" si="191"/>
        <v>-209.60000000000002</v>
      </c>
      <c r="AN315" s="61">
        <v>-1</v>
      </c>
      <c r="AO315" s="66" t="str">
        <f t="shared" si="192"/>
        <v/>
      </c>
      <c r="AP315" s="66" t="str">
        <f t="shared" si="193"/>
        <v/>
      </c>
      <c r="AQ315" s="67">
        <f t="shared" si="194"/>
        <v>-209.60000000000002</v>
      </c>
      <c r="AR315" s="61">
        <v>-1</v>
      </c>
      <c r="AS315" s="66" t="str">
        <f t="shared" si="195"/>
        <v/>
      </c>
      <c r="AT315" s="66" t="str">
        <f t="shared" si="196"/>
        <v/>
      </c>
      <c r="AU315" s="67">
        <f t="shared" si="197"/>
        <v>-209.60000000000002</v>
      </c>
      <c r="AV315" s="61">
        <v>0</v>
      </c>
      <c r="AW315" s="66" t="str">
        <f t="shared" si="180"/>
        <v/>
      </c>
      <c r="AX315" s="66">
        <f t="shared" si="181"/>
        <v>0</v>
      </c>
      <c r="AY315" s="67" t="str">
        <f t="shared" si="182"/>
        <v/>
      </c>
      <c r="AZ315" s="61">
        <v>1</v>
      </c>
      <c r="BA315" s="66">
        <f t="shared" si="183"/>
        <v>209.60000000000002</v>
      </c>
      <c r="BB315" s="66" t="str">
        <f t="shared" si="184"/>
        <v/>
      </c>
      <c r="BC315" s="67" t="str">
        <f t="shared" si="185"/>
        <v/>
      </c>
    </row>
    <row r="316" spans="30:55">
      <c r="AD316" s="68" t="str">
        <v>08</v>
      </c>
      <c r="AE316" s="61">
        <v>224.10000000000002</v>
      </c>
      <c r="AF316" s="61">
        <v>1</v>
      </c>
      <c r="AG316" s="66">
        <f t="shared" si="186"/>
        <v>224.10000000000002</v>
      </c>
      <c r="AH316" s="66" t="str">
        <f t="shared" si="187"/>
        <v/>
      </c>
      <c r="AI316" s="67" t="str">
        <f t="shared" si="188"/>
        <v/>
      </c>
      <c r="AJ316" s="61">
        <v>-1</v>
      </c>
      <c r="AK316" s="66" t="str">
        <f t="shared" si="189"/>
        <v/>
      </c>
      <c r="AL316" s="66" t="str">
        <f t="shared" si="190"/>
        <v/>
      </c>
      <c r="AM316" s="67">
        <f t="shared" si="191"/>
        <v>-224.10000000000002</v>
      </c>
      <c r="AN316" s="61">
        <v>-1</v>
      </c>
      <c r="AO316" s="66" t="str">
        <f t="shared" si="192"/>
        <v/>
      </c>
      <c r="AP316" s="66" t="str">
        <f t="shared" si="193"/>
        <v/>
      </c>
      <c r="AQ316" s="67">
        <f t="shared" si="194"/>
        <v>-224.10000000000002</v>
      </c>
      <c r="AR316" s="61">
        <v>-1</v>
      </c>
      <c r="AS316" s="66" t="str">
        <f t="shared" si="195"/>
        <v/>
      </c>
      <c r="AT316" s="66" t="str">
        <f t="shared" si="196"/>
        <v/>
      </c>
      <c r="AU316" s="67">
        <f t="shared" si="197"/>
        <v>-224.10000000000002</v>
      </c>
      <c r="AV316" s="61">
        <v>-1</v>
      </c>
      <c r="AW316" s="66" t="str">
        <f t="shared" si="180"/>
        <v/>
      </c>
      <c r="AX316" s="66" t="str">
        <f t="shared" si="181"/>
        <v/>
      </c>
      <c r="AY316" s="67">
        <f t="shared" si="182"/>
        <v>-224.10000000000002</v>
      </c>
      <c r="AZ316" s="61">
        <v>1</v>
      </c>
      <c r="BA316" s="66">
        <f t="shared" si="183"/>
        <v>224.10000000000002</v>
      </c>
      <c r="BB316" s="66" t="str">
        <f t="shared" si="184"/>
        <v/>
      </c>
      <c r="BC316" s="67" t="str">
        <f t="shared" si="185"/>
        <v/>
      </c>
    </row>
    <row r="317" spans="30:55">
      <c r="AD317" s="68" t="str">
        <v>09</v>
      </c>
      <c r="AE317" s="61">
        <v>230.29999999999998</v>
      </c>
      <c r="AF317" s="61">
        <v>1</v>
      </c>
      <c r="AG317" s="66">
        <f t="shared" si="186"/>
        <v>230.29999999999998</v>
      </c>
      <c r="AH317" s="66" t="str">
        <f t="shared" si="187"/>
        <v/>
      </c>
      <c r="AI317" s="67" t="str">
        <f t="shared" si="188"/>
        <v/>
      </c>
      <c r="AJ317" s="61">
        <v>-1</v>
      </c>
      <c r="AK317" s="66" t="str">
        <f t="shared" si="189"/>
        <v/>
      </c>
      <c r="AL317" s="66" t="str">
        <f t="shared" si="190"/>
        <v/>
      </c>
      <c r="AM317" s="67">
        <f t="shared" si="191"/>
        <v>-230.29999999999998</v>
      </c>
      <c r="AN317" s="61">
        <v>1</v>
      </c>
      <c r="AO317" s="66">
        <f t="shared" si="192"/>
        <v>230.29999999999998</v>
      </c>
      <c r="AP317" s="66" t="str">
        <f t="shared" si="193"/>
        <v/>
      </c>
      <c r="AQ317" s="67" t="str">
        <f t="shared" si="194"/>
        <v/>
      </c>
      <c r="AR317" s="61">
        <v>-1</v>
      </c>
      <c r="AS317" s="66" t="str">
        <f t="shared" si="195"/>
        <v/>
      </c>
      <c r="AT317" s="66" t="str">
        <f t="shared" si="196"/>
        <v/>
      </c>
      <c r="AU317" s="67">
        <f t="shared" si="197"/>
        <v>-230.29999999999998</v>
      </c>
      <c r="AV317" s="61">
        <v>-1</v>
      </c>
      <c r="AW317" s="66" t="str">
        <f t="shared" si="180"/>
        <v/>
      </c>
      <c r="AX317" s="66" t="str">
        <f t="shared" si="181"/>
        <v/>
      </c>
      <c r="AY317" s="67">
        <f t="shared" si="182"/>
        <v>-230.29999999999998</v>
      </c>
      <c r="AZ317" s="61">
        <v>-1</v>
      </c>
      <c r="BA317" s="66" t="str">
        <f t="shared" si="183"/>
        <v/>
      </c>
      <c r="BB317" s="66" t="str">
        <f t="shared" si="184"/>
        <v/>
      </c>
      <c r="BC317" s="67">
        <f t="shared" si="185"/>
        <v>-230.29999999999998</v>
      </c>
    </row>
    <row r="318" spans="30:55">
      <c r="AD318" s="68" t="str">
        <v>10</v>
      </c>
      <c r="AE318" s="61">
        <v>224.7</v>
      </c>
      <c r="AF318" s="61">
        <v>1</v>
      </c>
      <c r="AG318" s="66">
        <f t="shared" si="186"/>
        <v>224.7</v>
      </c>
      <c r="AH318" s="66" t="str">
        <f t="shared" si="187"/>
        <v/>
      </c>
      <c r="AI318" s="67" t="str">
        <f t="shared" si="188"/>
        <v/>
      </c>
      <c r="AJ318" s="61">
        <v>-1</v>
      </c>
      <c r="AK318" s="66" t="str">
        <f t="shared" si="189"/>
        <v/>
      </c>
      <c r="AL318" s="66" t="str">
        <f t="shared" si="190"/>
        <v/>
      </c>
      <c r="AM318" s="67">
        <f t="shared" si="191"/>
        <v>-224.7</v>
      </c>
      <c r="AN318" s="61">
        <v>1</v>
      </c>
      <c r="AO318" s="66">
        <f t="shared" si="192"/>
        <v>224.7</v>
      </c>
      <c r="AP318" s="66" t="str">
        <f t="shared" si="193"/>
        <v/>
      </c>
      <c r="AQ318" s="67" t="str">
        <f t="shared" si="194"/>
        <v/>
      </c>
      <c r="AR318" s="61">
        <v>-1</v>
      </c>
      <c r="AS318" s="66" t="str">
        <f t="shared" si="195"/>
        <v/>
      </c>
      <c r="AT318" s="66" t="str">
        <f t="shared" si="196"/>
        <v/>
      </c>
      <c r="AU318" s="67">
        <f t="shared" si="197"/>
        <v>-224.7</v>
      </c>
      <c r="AV318" s="61">
        <v>0</v>
      </c>
      <c r="AW318" s="66" t="str">
        <f t="shared" si="180"/>
        <v/>
      </c>
      <c r="AX318" s="66">
        <f t="shared" si="181"/>
        <v>0</v>
      </c>
      <c r="AY318" s="67" t="str">
        <f t="shared" si="182"/>
        <v/>
      </c>
      <c r="AZ318" s="61">
        <v>-1</v>
      </c>
      <c r="BA318" s="66" t="str">
        <f t="shared" si="183"/>
        <v/>
      </c>
      <c r="BB318" s="66" t="str">
        <f t="shared" si="184"/>
        <v/>
      </c>
      <c r="BC318" s="67">
        <f t="shared" si="185"/>
        <v>-224.7</v>
      </c>
    </row>
    <row r="319" spans="30:55">
      <c r="AD319" s="68" t="str">
        <v>11</v>
      </c>
      <c r="AE319" s="61">
        <v>212.4</v>
      </c>
      <c r="AF319" s="61">
        <v>1</v>
      </c>
      <c r="AG319" s="66">
        <f t="shared" si="186"/>
        <v>212.4</v>
      </c>
      <c r="AH319" s="66" t="str">
        <f t="shared" si="187"/>
        <v/>
      </c>
      <c r="AI319" s="67" t="str">
        <f t="shared" si="188"/>
        <v/>
      </c>
      <c r="AJ319" s="61">
        <v>-1</v>
      </c>
      <c r="AK319" s="66" t="str">
        <f t="shared" si="189"/>
        <v/>
      </c>
      <c r="AL319" s="66" t="str">
        <f t="shared" si="190"/>
        <v/>
      </c>
      <c r="AM319" s="67">
        <f t="shared" si="191"/>
        <v>-212.4</v>
      </c>
      <c r="AN319" s="61">
        <v>1</v>
      </c>
      <c r="AO319" s="66">
        <f t="shared" si="192"/>
        <v>212.4</v>
      </c>
      <c r="AP319" s="66" t="str">
        <f t="shared" si="193"/>
        <v/>
      </c>
      <c r="AQ319" s="67" t="str">
        <f t="shared" si="194"/>
        <v/>
      </c>
      <c r="AR319" s="61">
        <v>-1</v>
      </c>
      <c r="AS319" s="66" t="str">
        <f t="shared" si="195"/>
        <v/>
      </c>
      <c r="AT319" s="66" t="str">
        <f t="shared" si="196"/>
        <v/>
      </c>
      <c r="AU319" s="67">
        <f t="shared" si="197"/>
        <v>-212.4</v>
      </c>
      <c r="AV319" s="61">
        <v>1</v>
      </c>
      <c r="AW319" s="66">
        <f t="shared" si="180"/>
        <v>212.4</v>
      </c>
      <c r="AX319" s="66" t="str">
        <f t="shared" si="181"/>
        <v/>
      </c>
      <c r="AY319" s="67" t="str">
        <f t="shared" si="182"/>
        <v/>
      </c>
      <c r="AZ319" s="61">
        <v>-1</v>
      </c>
      <c r="BA319" s="66" t="str">
        <f t="shared" si="183"/>
        <v/>
      </c>
      <c r="BB319" s="66" t="str">
        <f t="shared" si="184"/>
        <v/>
      </c>
      <c r="BC319" s="67">
        <f t="shared" si="185"/>
        <v>-212.4</v>
      </c>
    </row>
    <row r="320" spans="30:55">
      <c r="AD320" s="68" t="str">
        <v>12</v>
      </c>
      <c r="AE320" s="61">
        <v>198.6</v>
      </c>
      <c r="AF320" s="61">
        <v>1</v>
      </c>
      <c r="AG320" s="66">
        <f t="shared" si="186"/>
        <v>198.6</v>
      </c>
      <c r="AH320" s="66" t="str">
        <f t="shared" si="187"/>
        <v/>
      </c>
      <c r="AI320" s="67" t="str">
        <f t="shared" si="188"/>
        <v/>
      </c>
      <c r="AJ320" s="61">
        <v>1</v>
      </c>
      <c r="AK320" s="66">
        <f t="shared" si="189"/>
        <v>198.6</v>
      </c>
      <c r="AL320" s="66" t="str">
        <f t="shared" si="190"/>
        <v/>
      </c>
      <c r="AM320" s="67" t="str">
        <f t="shared" si="191"/>
        <v/>
      </c>
      <c r="AN320" s="61">
        <v>1</v>
      </c>
      <c r="AO320" s="66">
        <f t="shared" si="192"/>
        <v>198.6</v>
      </c>
      <c r="AP320" s="66" t="str">
        <f t="shared" si="193"/>
        <v/>
      </c>
      <c r="AQ320" s="67" t="str">
        <f t="shared" si="194"/>
        <v/>
      </c>
      <c r="AR320" s="61">
        <v>1</v>
      </c>
      <c r="AS320" s="66">
        <f t="shared" si="195"/>
        <v>198.6</v>
      </c>
      <c r="AT320" s="66" t="str">
        <f t="shared" si="196"/>
        <v/>
      </c>
      <c r="AU320" s="67" t="str">
        <f t="shared" si="197"/>
        <v/>
      </c>
      <c r="AV320" s="61">
        <v>1</v>
      </c>
      <c r="AW320" s="66">
        <f t="shared" si="180"/>
        <v>198.6</v>
      </c>
      <c r="AX320" s="66" t="str">
        <f t="shared" si="181"/>
        <v/>
      </c>
      <c r="AY320" s="67" t="str">
        <f t="shared" si="182"/>
        <v/>
      </c>
      <c r="AZ320" s="61">
        <v>1</v>
      </c>
      <c r="BA320" s="66">
        <f t="shared" si="183"/>
        <v>198.6</v>
      </c>
      <c r="BB320" s="66" t="str">
        <f t="shared" si="184"/>
        <v/>
      </c>
      <c r="BC320" s="67" t="str">
        <f t="shared" si="185"/>
        <v/>
      </c>
    </row>
    <row r="321" spans="29:55">
      <c r="AD321" s="68" t="str">
        <v>13</v>
      </c>
      <c r="AE321" s="61">
        <v>180.8</v>
      </c>
      <c r="AF321" s="61">
        <v>1</v>
      </c>
      <c r="AG321" s="66">
        <f t="shared" si="186"/>
        <v>180.8</v>
      </c>
      <c r="AH321" s="66" t="str">
        <f t="shared" si="187"/>
        <v/>
      </c>
      <c r="AI321" s="67" t="str">
        <f t="shared" si="188"/>
        <v/>
      </c>
      <c r="AJ321" s="61">
        <v>1</v>
      </c>
      <c r="AK321" s="66">
        <f t="shared" si="189"/>
        <v>180.8</v>
      </c>
      <c r="AL321" s="66" t="str">
        <f t="shared" si="190"/>
        <v/>
      </c>
      <c r="AM321" s="67" t="str">
        <f t="shared" si="191"/>
        <v/>
      </c>
      <c r="AN321" s="61">
        <v>1</v>
      </c>
      <c r="AO321" s="66">
        <f t="shared" si="192"/>
        <v>180.8</v>
      </c>
      <c r="AP321" s="66" t="str">
        <f t="shared" si="193"/>
        <v/>
      </c>
      <c r="AQ321" s="67" t="str">
        <f t="shared" si="194"/>
        <v/>
      </c>
      <c r="AR321" s="61">
        <v>1</v>
      </c>
      <c r="AS321" s="66">
        <f t="shared" si="195"/>
        <v>180.8</v>
      </c>
      <c r="AT321" s="66" t="str">
        <f t="shared" si="196"/>
        <v/>
      </c>
      <c r="AU321" s="67" t="str">
        <f t="shared" si="197"/>
        <v/>
      </c>
      <c r="AV321" s="61">
        <v>0</v>
      </c>
      <c r="AW321" s="66" t="str">
        <f t="shared" si="180"/>
        <v/>
      </c>
      <c r="AX321" s="66">
        <f t="shared" si="181"/>
        <v>0</v>
      </c>
      <c r="AY321" s="67" t="str">
        <f t="shared" si="182"/>
        <v/>
      </c>
      <c r="AZ321" s="61">
        <v>1</v>
      </c>
      <c r="BA321" s="66">
        <f t="shared" si="183"/>
        <v>180.8</v>
      </c>
      <c r="BB321" s="66" t="str">
        <f t="shared" si="184"/>
        <v/>
      </c>
      <c r="BC321" s="67" t="str">
        <f t="shared" si="185"/>
        <v/>
      </c>
    </row>
    <row r="322" spans="29:55">
      <c r="AD322" s="68" t="str">
        <v>14</v>
      </c>
      <c r="AE322" s="61">
        <v>162.9</v>
      </c>
      <c r="AF322" s="61">
        <v>1</v>
      </c>
      <c r="AG322" s="66">
        <f t="shared" si="186"/>
        <v>162.9</v>
      </c>
      <c r="AH322" s="66" t="str">
        <f t="shared" si="187"/>
        <v/>
      </c>
      <c r="AI322" s="67" t="str">
        <f t="shared" si="188"/>
        <v/>
      </c>
      <c r="AJ322" s="61">
        <v>1</v>
      </c>
      <c r="AK322" s="66">
        <f t="shared" si="189"/>
        <v>162.9</v>
      </c>
      <c r="AL322" s="66" t="str">
        <f t="shared" si="190"/>
        <v/>
      </c>
      <c r="AM322" s="67" t="str">
        <f t="shared" si="191"/>
        <v/>
      </c>
      <c r="AN322" s="61">
        <v>1</v>
      </c>
      <c r="AO322" s="66">
        <f t="shared" si="192"/>
        <v>162.9</v>
      </c>
      <c r="AP322" s="66" t="str">
        <f t="shared" si="193"/>
        <v/>
      </c>
      <c r="AQ322" s="67" t="str">
        <f t="shared" si="194"/>
        <v/>
      </c>
      <c r="AR322" s="61">
        <v>1</v>
      </c>
      <c r="AS322" s="66">
        <f t="shared" si="195"/>
        <v>162.9</v>
      </c>
      <c r="AT322" s="66" t="str">
        <f t="shared" si="196"/>
        <v/>
      </c>
      <c r="AU322" s="67" t="str">
        <f t="shared" si="197"/>
        <v/>
      </c>
      <c r="AV322" s="61">
        <v>-1</v>
      </c>
      <c r="AW322" s="66" t="str">
        <f t="shared" si="180"/>
        <v/>
      </c>
      <c r="AX322" s="66" t="str">
        <f t="shared" si="181"/>
        <v/>
      </c>
      <c r="AY322" s="67">
        <f t="shared" si="182"/>
        <v>-162.9</v>
      </c>
      <c r="AZ322" s="61">
        <v>1</v>
      </c>
      <c r="BA322" s="66">
        <f t="shared" si="183"/>
        <v>162.9</v>
      </c>
      <c r="BB322" s="66" t="str">
        <f t="shared" si="184"/>
        <v/>
      </c>
      <c r="BC322" s="67" t="str">
        <f t="shared" si="185"/>
        <v/>
      </c>
    </row>
    <row r="323" spans="29:55">
      <c r="AD323" s="68" t="str">
        <v>15</v>
      </c>
      <c r="AE323" s="61">
        <v>153.5</v>
      </c>
      <c r="AF323" s="61">
        <v>1</v>
      </c>
      <c r="AG323" s="66">
        <f t="shared" si="186"/>
        <v>153.5</v>
      </c>
      <c r="AH323" s="66" t="str">
        <f t="shared" si="187"/>
        <v/>
      </c>
      <c r="AI323" s="67" t="str">
        <f t="shared" si="188"/>
        <v/>
      </c>
      <c r="AJ323" s="61">
        <v>1</v>
      </c>
      <c r="AK323" s="66">
        <f t="shared" si="189"/>
        <v>153.5</v>
      </c>
      <c r="AL323" s="66" t="str">
        <f t="shared" si="190"/>
        <v/>
      </c>
      <c r="AM323" s="67" t="str">
        <f t="shared" si="191"/>
        <v/>
      </c>
      <c r="AN323" s="61">
        <v>-1</v>
      </c>
      <c r="AO323" s="66" t="str">
        <f t="shared" si="192"/>
        <v/>
      </c>
      <c r="AP323" s="66" t="str">
        <f t="shared" si="193"/>
        <v/>
      </c>
      <c r="AQ323" s="67">
        <f t="shared" si="194"/>
        <v>-153.5</v>
      </c>
      <c r="AR323" s="61">
        <v>1</v>
      </c>
      <c r="AS323" s="66">
        <f t="shared" si="195"/>
        <v>153.5</v>
      </c>
      <c r="AT323" s="66" t="str">
        <f t="shared" si="196"/>
        <v/>
      </c>
      <c r="AU323" s="67" t="str">
        <f t="shared" si="197"/>
        <v/>
      </c>
      <c r="AV323" s="61">
        <v>-1</v>
      </c>
      <c r="AW323" s="66" t="str">
        <f t="shared" si="180"/>
        <v/>
      </c>
      <c r="AX323" s="66" t="str">
        <f t="shared" si="181"/>
        <v/>
      </c>
      <c r="AY323" s="67">
        <f t="shared" si="182"/>
        <v>-153.5</v>
      </c>
      <c r="AZ323" s="61">
        <v>-1</v>
      </c>
      <c r="BA323" s="66" t="str">
        <f t="shared" si="183"/>
        <v/>
      </c>
      <c r="BB323" s="66" t="str">
        <f t="shared" si="184"/>
        <v/>
      </c>
      <c r="BC323" s="67">
        <f t="shared" si="185"/>
        <v>-153.5</v>
      </c>
    </row>
    <row r="324" spans="29:55">
      <c r="AD324" s="68" t="str">
        <v>16</v>
      </c>
      <c r="AE324" s="61">
        <v>150.19999999999999</v>
      </c>
      <c r="AF324" s="61">
        <v>1</v>
      </c>
      <c r="AG324" s="66">
        <f t="shared" si="186"/>
        <v>150.19999999999999</v>
      </c>
      <c r="AH324" s="66" t="str">
        <f t="shared" si="187"/>
        <v/>
      </c>
      <c r="AI324" s="67" t="str">
        <f t="shared" si="188"/>
        <v/>
      </c>
      <c r="AJ324" s="61">
        <v>1</v>
      </c>
      <c r="AK324" s="66">
        <f t="shared" si="189"/>
        <v>150.19999999999999</v>
      </c>
      <c r="AL324" s="66" t="str">
        <f t="shared" si="190"/>
        <v/>
      </c>
      <c r="AM324" s="67" t="str">
        <f t="shared" si="191"/>
        <v/>
      </c>
      <c r="AN324" s="61">
        <v>-1</v>
      </c>
      <c r="AO324" s="66" t="str">
        <f t="shared" si="192"/>
        <v/>
      </c>
      <c r="AP324" s="66" t="str">
        <f t="shared" si="193"/>
        <v/>
      </c>
      <c r="AQ324" s="67">
        <f t="shared" si="194"/>
        <v>-150.19999999999999</v>
      </c>
      <c r="AR324" s="61">
        <v>1</v>
      </c>
      <c r="AS324" s="66">
        <f t="shared" si="195"/>
        <v>150.19999999999999</v>
      </c>
      <c r="AT324" s="66" t="str">
        <f t="shared" si="196"/>
        <v/>
      </c>
      <c r="AU324" s="67" t="str">
        <f t="shared" si="197"/>
        <v/>
      </c>
      <c r="AV324" s="61">
        <v>0</v>
      </c>
      <c r="AW324" s="66" t="str">
        <f t="shared" si="180"/>
        <v/>
      </c>
      <c r="AX324" s="66">
        <f t="shared" si="181"/>
        <v>0</v>
      </c>
      <c r="AY324" s="67" t="str">
        <f t="shared" si="182"/>
        <v/>
      </c>
      <c r="AZ324" s="61">
        <v>-1</v>
      </c>
      <c r="BA324" s="66" t="str">
        <f t="shared" si="183"/>
        <v/>
      </c>
      <c r="BB324" s="66" t="str">
        <f t="shared" si="184"/>
        <v/>
      </c>
      <c r="BC324" s="67">
        <f t="shared" si="185"/>
        <v>-150.19999999999999</v>
      </c>
    </row>
    <row r="325" spans="29:55">
      <c r="AD325" s="68" t="str">
        <v>17</v>
      </c>
      <c r="AE325" s="61">
        <v>151.10000000000002</v>
      </c>
      <c r="AF325" s="61">
        <v>1</v>
      </c>
      <c r="AG325" s="66">
        <f t="shared" si="186"/>
        <v>151.10000000000002</v>
      </c>
      <c r="AH325" s="66" t="str">
        <f t="shared" si="187"/>
        <v/>
      </c>
      <c r="AI325" s="67" t="str">
        <f t="shared" si="188"/>
        <v/>
      </c>
      <c r="AJ325" s="61">
        <v>1</v>
      </c>
      <c r="AK325" s="66">
        <f t="shared" si="189"/>
        <v>151.10000000000002</v>
      </c>
      <c r="AL325" s="66" t="str">
        <f t="shared" si="190"/>
        <v/>
      </c>
      <c r="AM325" s="67" t="str">
        <f t="shared" si="191"/>
        <v/>
      </c>
      <c r="AN325" s="61">
        <v>-1</v>
      </c>
      <c r="AO325" s="66" t="str">
        <f t="shared" si="192"/>
        <v/>
      </c>
      <c r="AP325" s="66" t="str">
        <f t="shared" si="193"/>
        <v/>
      </c>
      <c r="AQ325" s="67">
        <f t="shared" si="194"/>
        <v>-151.10000000000002</v>
      </c>
      <c r="AR325" s="61">
        <v>1</v>
      </c>
      <c r="AS325" s="66">
        <f t="shared" si="195"/>
        <v>151.10000000000002</v>
      </c>
      <c r="AT325" s="66" t="str">
        <f t="shared" si="196"/>
        <v/>
      </c>
      <c r="AU325" s="67" t="str">
        <f t="shared" si="197"/>
        <v/>
      </c>
      <c r="AV325" s="61">
        <v>1</v>
      </c>
      <c r="AW325" s="66">
        <f t="shared" si="180"/>
        <v>151.10000000000002</v>
      </c>
      <c r="AX325" s="66" t="str">
        <f t="shared" si="181"/>
        <v/>
      </c>
      <c r="AY325" s="67" t="str">
        <f t="shared" si="182"/>
        <v/>
      </c>
      <c r="AZ325" s="61">
        <v>-1</v>
      </c>
      <c r="BA325" s="66" t="str">
        <f t="shared" si="183"/>
        <v/>
      </c>
      <c r="BB325" s="66" t="str">
        <f t="shared" si="184"/>
        <v/>
      </c>
      <c r="BC325" s="67">
        <f t="shared" si="185"/>
        <v>-151.10000000000002</v>
      </c>
    </row>
    <row r="326" spans="29:55">
      <c r="AD326" s="68" t="str">
        <v>18</v>
      </c>
      <c r="AE326" s="61">
        <v>159.5</v>
      </c>
      <c r="AF326" s="61">
        <v>-1</v>
      </c>
      <c r="AG326" s="66" t="str">
        <f t="shared" si="186"/>
        <v/>
      </c>
      <c r="AH326" s="66" t="str">
        <f t="shared" si="187"/>
        <v/>
      </c>
      <c r="AI326" s="67">
        <f t="shared" si="188"/>
        <v>-159.5</v>
      </c>
      <c r="AJ326" s="61">
        <v>1</v>
      </c>
      <c r="AK326" s="66">
        <f t="shared" si="189"/>
        <v>159.5</v>
      </c>
      <c r="AL326" s="66" t="str">
        <f t="shared" si="190"/>
        <v/>
      </c>
      <c r="AM326" s="67" t="str">
        <f t="shared" si="191"/>
        <v/>
      </c>
      <c r="AN326" s="61">
        <v>-1</v>
      </c>
      <c r="AO326" s="66" t="str">
        <f t="shared" si="192"/>
        <v/>
      </c>
      <c r="AP326" s="66" t="str">
        <f t="shared" si="193"/>
        <v/>
      </c>
      <c r="AQ326" s="67">
        <f t="shared" si="194"/>
        <v>-159.5</v>
      </c>
      <c r="AR326" s="61">
        <v>-1</v>
      </c>
      <c r="AS326" s="66" t="str">
        <f t="shared" si="195"/>
        <v/>
      </c>
      <c r="AT326" s="66" t="str">
        <f t="shared" si="196"/>
        <v/>
      </c>
      <c r="AU326" s="67">
        <f t="shared" si="197"/>
        <v>-159.5</v>
      </c>
      <c r="AV326" s="61">
        <v>1</v>
      </c>
      <c r="AW326" s="66">
        <f t="shared" si="180"/>
        <v>159.5</v>
      </c>
      <c r="AX326" s="66" t="str">
        <f t="shared" si="181"/>
        <v/>
      </c>
      <c r="AY326" s="67" t="str">
        <f t="shared" si="182"/>
        <v/>
      </c>
      <c r="AZ326" s="61">
        <v>1</v>
      </c>
      <c r="BA326" s="66">
        <f t="shared" si="183"/>
        <v>159.5</v>
      </c>
      <c r="BB326" s="66" t="str">
        <f t="shared" si="184"/>
        <v/>
      </c>
      <c r="BC326" s="67" t="str">
        <f t="shared" si="185"/>
        <v/>
      </c>
    </row>
    <row r="327" spans="29:55">
      <c r="AD327" s="68" t="str">
        <v>19</v>
      </c>
      <c r="AE327" s="61">
        <v>172.4</v>
      </c>
      <c r="AF327" s="61">
        <v>-1</v>
      </c>
      <c r="AG327" s="66" t="str">
        <f t="shared" si="186"/>
        <v/>
      </c>
      <c r="AH327" s="66" t="str">
        <f t="shared" si="187"/>
        <v/>
      </c>
      <c r="AI327" s="67">
        <f t="shared" si="188"/>
        <v>-172.4</v>
      </c>
      <c r="AJ327" s="61">
        <v>1</v>
      </c>
      <c r="AK327" s="66">
        <f t="shared" si="189"/>
        <v>172.4</v>
      </c>
      <c r="AL327" s="66" t="str">
        <f t="shared" si="190"/>
        <v/>
      </c>
      <c r="AM327" s="67" t="str">
        <f t="shared" si="191"/>
        <v/>
      </c>
      <c r="AN327" s="61">
        <v>-1</v>
      </c>
      <c r="AO327" s="66" t="str">
        <f t="shared" si="192"/>
        <v/>
      </c>
      <c r="AP327" s="66" t="str">
        <f t="shared" si="193"/>
        <v/>
      </c>
      <c r="AQ327" s="67">
        <f t="shared" si="194"/>
        <v>-172.4</v>
      </c>
      <c r="AR327" s="61">
        <v>-1</v>
      </c>
      <c r="AS327" s="66" t="str">
        <f t="shared" si="195"/>
        <v/>
      </c>
      <c r="AT327" s="66" t="str">
        <f t="shared" si="196"/>
        <v/>
      </c>
      <c r="AU327" s="67">
        <f t="shared" si="197"/>
        <v>-172.4</v>
      </c>
      <c r="AV327" s="61">
        <v>0</v>
      </c>
      <c r="AW327" s="66" t="str">
        <f t="shared" si="180"/>
        <v/>
      </c>
      <c r="AX327" s="66">
        <f t="shared" si="181"/>
        <v>0</v>
      </c>
      <c r="AY327" s="67" t="str">
        <f t="shared" si="182"/>
        <v/>
      </c>
      <c r="AZ327" s="61">
        <v>1</v>
      </c>
      <c r="BA327" s="66">
        <f t="shared" si="183"/>
        <v>172.4</v>
      </c>
      <c r="BB327" s="66" t="str">
        <f t="shared" si="184"/>
        <v/>
      </c>
      <c r="BC327" s="67" t="str">
        <f t="shared" si="185"/>
        <v/>
      </c>
    </row>
    <row r="328" spans="29:55">
      <c r="AD328" s="68" t="str">
        <v>20</v>
      </c>
      <c r="AE328" s="61">
        <v>179.6</v>
      </c>
      <c r="AF328" s="61">
        <v>-1</v>
      </c>
      <c r="AG328" s="66" t="str">
        <f t="shared" si="186"/>
        <v/>
      </c>
      <c r="AH328" s="66" t="str">
        <f t="shared" si="187"/>
        <v/>
      </c>
      <c r="AI328" s="67">
        <f t="shared" si="188"/>
        <v>-179.6</v>
      </c>
      <c r="AJ328" s="61">
        <v>1</v>
      </c>
      <c r="AK328" s="66">
        <f t="shared" si="189"/>
        <v>179.6</v>
      </c>
      <c r="AL328" s="66" t="str">
        <f t="shared" si="190"/>
        <v/>
      </c>
      <c r="AM328" s="67" t="str">
        <f t="shared" si="191"/>
        <v/>
      </c>
      <c r="AN328" s="61">
        <v>-1</v>
      </c>
      <c r="AO328" s="66" t="str">
        <f t="shared" si="192"/>
        <v/>
      </c>
      <c r="AP328" s="66" t="str">
        <f t="shared" si="193"/>
        <v/>
      </c>
      <c r="AQ328" s="67">
        <f t="shared" si="194"/>
        <v>-179.6</v>
      </c>
      <c r="AR328" s="61">
        <v>-1</v>
      </c>
      <c r="AS328" s="66" t="str">
        <f t="shared" si="195"/>
        <v/>
      </c>
      <c r="AT328" s="66" t="str">
        <f t="shared" si="196"/>
        <v/>
      </c>
      <c r="AU328" s="67">
        <f t="shared" si="197"/>
        <v>-179.6</v>
      </c>
      <c r="AV328" s="61">
        <v>-1</v>
      </c>
      <c r="AW328" s="66" t="str">
        <f t="shared" si="180"/>
        <v/>
      </c>
      <c r="AX328" s="66" t="str">
        <f t="shared" si="181"/>
        <v/>
      </c>
      <c r="AY328" s="67">
        <f t="shared" si="182"/>
        <v>-179.6</v>
      </c>
      <c r="AZ328" s="61">
        <v>1</v>
      </c>
      <c r="BA328" s="66">
        <f t="shared" si="183"/>
        <v>179.6</v>
      </c>
      <c r="BB328" s="66" t="str">
        <f t="shared" si="184"/>
        <v/>
      </c>
      <c r="BC328" s="67" t="str">
        <f t="shared" si="185"/>
        <v/>
      </c>
    </row>
    <row r="329" spans="29:55">
      <c r="AD329" s="68" t="str">
        <v>21</v>
      </c>
      <c r="AE329" s="61">
        <v>176.6</v>
      </c>
      <c r="AF329" s="61">
        <v>-1</v>
      </c>
      <c r="AG329" s="66" t="str">
        <f t="shared" si="186"/>
        <v/>
      </c>
      <c r="AH329" s="66" t="str">
        <f t="shared" si="187"/>
        <v/>
      </c>
      <c r="AI329" s="67">
        <f t="shared" si="188"/>
        <v>-176.6</v>
      </c>
      <c r="AJ329" s="61">
        <v>1</v>
      </c>
      <c r="AK329" s="66">
        <f t="shared" si="189"/>
        <v>176.6</v>
      </c>
      <c r="AL329" s="66" t="str">
        <f t="shared" si="190"/>
        <v/>
      </c>
      <c r="AM329" s="67" t="str">
        <f t="shared" si="191"/>
        <v/>
      </c>
      <c r="AN329" s="61">
        <v>1</v>
      </c>
      <c r="AO329" s="66">
        <f t="shared" si="192"/>
        <v>176.6</v>
      </c>
      <c r="AP329" s="66" t="str">
        <f t="shared" si="193"/>
        <v/>
      </c>
      <c r="AQ329" s="67" t="str">
        <f t="shared" si="194"/>
        <v/>
      </c>
      <c r="AR329" s="61">
        <v>-1</v>
      </c>
      <c r="AS329" s="66" t="str">
        <f t="shared" si="195"/>
        <v/>
      </c>
      <c r="AT329" s="66" t="str">
        <f t="shared" si="196"/>
        <v/>
      </c>
      <c r="AU329" s="67">
        <f t="shared" si="197"/>
        <v>-176.6</v>
      </c>
      <c r="AV329" s="61">
        <v>-1</v>
      </c>
      <c r="AW329" s="66" t="str">
        <f t="shared" si="180"/>
        <v/>
      </c>
      <c r="AX329" s="66" t="str">
        <f t="shared" si="181"/>
        <v/>
      </c>
      <c r="AY329" s="67">
        <f t="shared" si="182"/>
        <v>-176.6</v>
      </c>
      <c r="AZ329" s="61">
        <v>-1</v>
      </c>
      <c r="BA329" s="66" t="str">
        <f t="shared" si="183"/>
        <v/>
      </c>
      <c r="BB329" s="66" t="str">
        <f t="shared" si="184"/>
        <v/>
      </c>
      <c r="BC329" s="67">
        <f t="shared" si="185"/>
        <v>-176.6</v>
      </c>
    </row>
    <row r="330" spans="29:55">
      <c r="AD330" s="68" t="str">
        <v>22</v>
      </c>
      <c r="AE330" s="61">
        <v>164</v>
      </c>
      <c r="AF330" s="61">
        <v>-1</v>
      </c>
      <c r="AG330" s="66" t="str">
        <f t="shared" si="186"/>
        <v/>
      </c>
      <c r="AH330" s="66" t="str">
        <f t="shared" si="187"/>
        <v/>
      </c>
      <c r="AI330" s="67">
        <f t="shared" si="188"/>
        <v>-164</v>
      </c>
      <c r="AJ330" s="61">
        <v>1</v>
      </c>
      <c r="AK330" s="66">
        <f t="shared" si="189"/>
        <v>164</v>
      </c>
      <c r="AL330" s="66" t="str">
        <f t="shared" si="190"/>
        <v/>
      </c>
      <c r="AM330" s="67" t="str">
        <f t="shared" si="191"/>
        <v/>
      </c>
      <c r="AN330" s="61">
        <v>1</v>
      </c>
      <c r="AO330" s="66">
        <f t="shared" si="192"/>
        <v>164</v>
      </c>
      <c r="AP330" s="66" t="str">
        <f t="shared" si="193"/>
        <v/>
      </c>
      <c r="AQ330" s="67" t="str">
        <f t="shared" si="194"/>
        <v/>
      </c>
      <c r="AR330" s="61">
        <v>-1</v>
      </c>
      <c r="AS330" s="66" t="str">
        <f t="shared" si="195"/>
        <v/>
      </c>
      <c r="AT330" s="66" t="str">
        <f t="shared" si="196"/>
        <v/>
      </c>
      <c r="AU330" s="67">
        <f t="shared" si="197"/>
        <v>-164</v>
      </c>
      <c r="AV330" s="61">
        <v>0</v>
      </c>
      <c r="AW330" s="66" t="str">
        <f t="shared" si="180"/>
        <v/>
      </c>
      <c r="AX330" s="66">
        <f t="shared" si="181"/>
        <v>0</v>
      </c>
      <c r="AY330" s="67" t="str">
        <f t="shared" si="182"/>
        <v/>
      </c>
      <c r="AZ330" s="61">
        <v>-1</v>
      </c>
      <c r="BA330" s="66" t="str">
        <f t="shared" si="183"/>
        <v/>
      </c>
      <c r="BB330" s="66" t="str">
        <f t="shared" si="184"/>
        <v/>
      </c>
      <c r="BC330" s="67">
        <f t="shared" si="185"/>
        <v>-164</v>
      </c>
    </row>
    <row r="331" spans="29:55">
      <c r="AD331" s="68" t="str">
        <v>23</v>
      </c>
      <c r="AE331" s="61">
        <v>149.5</v>
      </c>
      <c r="AF331" s="61">
        <v>-1</v>
      </c>
      <c r="AG331" s="66" t="str">
        <f t="shared" si="186"/>
        <v/>
      </c>
      <c r="AH331" s="66" t="str">
        <f t="shared" si="187"/>
        <v/>
      </c>
      <c r="AI331" s="67">
        <f t="shared" si="188"/>
        <v>-149.5</v>
      </c>
      <c r="AJ331" s="61">
        <v>1</v>
      </c>
      <c r="AK331" s="66">
        <f t="shared" si="189"/>
        <v>149.5</v>
      </c>
      <c r="AL331" s="66" t="str">
        <f t="shared" si="190"/>
        <v/>
      </c>
      <c r="AM331" s="67" t="str">
        <f t="shared" si="191"/>
        <v/>
      </c>
      <c r="AN331" s="61">
        <v>1</v>
      </c>
      <c r="AO331" s="66">
        <f t="shared" si="192"/>
        <v>149.5</v>
      </c>
      <c r="AP331" s="66" t="str">
        <f t="shared" si="193"/>
        <v/>
      </c>
      <c r="AQ331" s="67" t="str">
        <f t="shared" si="194"/>
        <v/>
      </c>
      <c r="AR331" s="61">
        <v>-1</v>
      </c>
      <c r="AS331" s="66" t="str">
        <f t="shared" si="195"/>
        <v/>
      </c>
      <c r="AT331" s="66" t="str">
        <f t="shared" si="196"/>
        <v/>
      </c>
      <c r="AU331" s="67">
        <f t="shared" si="197"/>
        <v>-149.5</v>
      </c>
      <c r="AV331" s="61">
        <v>1</v>
      </c>
      <c r="AW331" s="66">
        <f t="shared" si="180"/>
        <v>149.5</v>
      </c>
      <c r="AX331" s="66" t="str">
        <f t="shared" si="181"/>
        <v/>
      </c>
      <c r="AY331" s="67" t="str">
        <f t="shared" si="182"/>
        <v/>
      </c>
      <c r="AZ331" s="61">
        <v>-1</v>
      </c>
      <c r="BA331" s="66" t="str">
        <f t="shared" si="183"/>
        <v/>
      </c>
      <c r="BB331" s="66" t="str">
        <f t="shared" si="184"/>
        <v/>
      </c>
      <c r="BC331" s="67">
        <f t="shared" si="185"/>
        <v>-149.5</v>
      </c>
    </row>
    <row r="332" spans="29:55" ht="15.75" thickBot="1">
      <c r="AC332" s="476">
        <f>AD304</f>
        <v>44719</v>
      </c>
      <c r="AD332" s="69" t="s">
        <v>85</v>
      </c>
      <c r="AE332" s="70">
        <f>SUM(AE308:AE331)</f>
        <v>4016.7</v>
      </c>
      <c r="AF332" s="70"/>
      <c r="AG332" s="71">
        <f>ABS(SUM(AG308:AG331))</f>
        <v>2286.7999999999997</v>
      </c>
      <c r="AH332" s="70"/>
      <c r="AI332" s="72">
        <f>ABS(SUM(AI308:AI331))</f>
        <v>1729.8999999999999</v>
      </c>
      <c r="AJ332" s="70"/>
      <c r="AK332" s="71">
        <f>ABS(SUM(AK308:AK331))</f>
        <v>1998.6999999999998</v>
      </c>
      <c r="AL332" s="70"/>
      <c r="AM332" s="72">
        <f>ABS(SUM(AM308:AM331))</f>
        <v>2018</v>
      </c>
      <c r="AN332" s="70"/>
      <c r="AO332" s="71">
        <f>ABS(SUM(AO308:AO331))</f>
        <v>2028.1</v>
      </c>
      <c r="AP332" s="70"/>
      <c r="AQ332" s="72">
        <f>ABS(SUM(AQ308:AQ331))</f>
        <v>1988.6000000000004</v>
      </c>
      <c r="AR332" s="70"/>
      <c r="AS332" s="71">
        <f>ABS(SUM(AS308:AS331))</f>
        <v>1725.4</v>
      </c>
      <c r="AT332" s="70"/>
      <c r="AU332" s="72">
        <f>ABS(SUM(AU308:AU331))</f>
        <v>2291.3000000000002</v>
      </c>
      <c r="AV332" s="70"/>
      <c r="AW332" s="71">
        <f>ABS(SUM(AW308:AW331))</f>
        <v>1338.7</v>
      </c>
      <c r="AX332" s="70"/>
      <c r="AY332" s="72">
        <f>ABS(SUM(AY308:AY331))</f>
        <v>1339.8</v>
      </c>
      <c r="AZ332" s="70"/>
      <c r="BA332" s="71">
        <f>ABS(SUM(BA308:BA331))</f>
        <v>2004.4</v>
      </c>
      <c r="BB332" s="70"/>
      <c r="BC332" s="72">
        <f>ABS(SUM(BC308:BC331))</f>
        <v>2012.3000000000002</v>
      </c>
    </row>
    <row r="334" spans="29:55" ht="15" thickBot="1">
      <c r="AD334" s="476">
        <f>skemA1!B16</f>
        <v>44720</v>
      </c>
    </row>
    <row r="335" spans="29:55" ht="15" thickBot="1">
      <c r="AD335" s="677" t="s">
        <v>75</v>
      </c>
      <c r="AE335" s="60" t="s">
        <v>558</v>
      </c>
      <c r="AF335" s="672" t="s">
        <v>559</v>
      </c>
      <c r="AG335" s="672"/>
      <c r="AH335" s="672"/>
      <c r="AI335" s="673"/>
      <c r="AJ335" s="672" t="s">
        <v>562</v>
      </c>
      <c r="AK335" s="672"/>
      <c r="AL335" s="672"/>
      <c r="AM335" s="673"/>
      <c r="AN335" s="672" t="s">
        <v>563</v>
      </c>
      <c r="AO335" s="672"/>
      <c r="AP335" s="672"/>
      <c r="AQ335" s="673"/>
      <c r="AR335" s="672" t="s">
        <v>564</v>
      </c>
      <c r="AS335" s="672"/>
      <c r="AT335" s="672"/>
      <c r="AU335" s="673"/>
      <c r="AV335" s="672" t="s">
        <v>565</v>
      </c>
      <c r="AW335" s="672"/>
      <c r="AX335" s="672"/>
      <c r="AY335" s="673"/>
      <c r="AZ335" s="672" t="s">
        <v>566</v>
      </c>
      <c r="BA335" s="672"/>
      <c r="BB335" s="672"/>
      <c r="BC335" s="673"/>
    </row>
    <row r="336" spans="29:55" ht="15" thickBot="1">
      <c r="AD336" s="677"/>
      <c r="AE336" s="61"/>
      <c r="AF336" s="674" t="s">
        <v>561</v>
      </c>
      <c r="AG336" s="670" t="s">
        <v>560</v>
      </c>
      <c r="AH336" s="670"/>
      <c r="AI336" s="671"/>
      <c r="AJ336" s="674" t="s">
        <v>561</v>
      </c>
      <c r="AK336" s="670" t="s">
        <v>560</v>
      </c>
      <c r="AL336" s="670"/>
      <c r="AM336" s="671"/>
      <c r="AN336" s="674" t="s">
        <v>561</v>
      </c>
      <c r="AO336" s="670" t="s">
        <v>560</v>
      </c>
      <c r="AP336" s="670"/>
      <c r="AQ336" s="671"/>
      <c r="AR336" s="674" t="s">
        <v>561</v>
      </c>
      <c r="AS336" s="670" t="s">
        <v>560</v>
      </c>
      <c r="AT336" s="670"/>
      <c r="AU336" s="671"/>
      <c r="AV336" s="674" t="s">
        <v>561</v>
      </c>
      <c r="AW336" s="670" t="s">
        <v>560</v>
      </c>
      <c r="AX336" s="670"/>
      <c r="AY336" s="671"/>
      <c r="AZ336" s="674" t="s">
        <v>561</v>
      </c>
      <c r="BA336" s="670" t="s">
        <v>560</v>
      </c>
      <c r="BB336" s="670"/>
      <c r="BC336" s="671"/>
    </row>
    <row r="337" spans="30:55">
      <c r="AD337" s="677"/>
      <c r="AE337" s="62"/>
      <c r="AF337" s="674"/>
      <c r="AG337" s="63" t="s">
        <v>76</v>
      </c>
      <c r="AH337" s="63">
        <v>0</v>
      </c>
      <c r="AI337" s="64" t="s">
        <v>77</v>
      </c>
      <c r="AJ337" s="674"/>
      <c r="AK337" s="63" t="s">
        <v>76</v>
      </c>
      <c r="AL337" s="63">
        <v>0</v>
      </c>
      <c r="AM337" s="64" t="s">
        <v>77</v>
      </c>
      <c r="AN337" s="674"/>
      <c r="AO337" s="63" t="s">
        <v>76</v>
      </c>
      <c r="AP337" s="63">
        <v>0</v>
      </c>
      <c r="AQ337" s="64" t="s">
        <v>77</v>
      </c>
      <c r="AR337" s="674"/>
      <c r="AS337" s="63" t="s">
        <v>76</v>
      </c>
      <c r="AT337" s="63">
        <v>0</v>
      </c>
      <c r="AU337" s="64" t="s">
        <v>77</v>
      </c>
      <c r="AV337" s="674"/>
      <c r="AW337" s="63" t="s">
        <v>76</v>
      </c>
      <c r="AX337" s="63">
        <v>0</v>
      </c>
      <c r="AY337" s="64" t="s">
        <v>77</v>
      </c>
      <c r="AZ337" s="674"/>
      <c r="BA337" s="63" t="s">
        <v>76</v>
      </c>
      <c r="BB337" s="63">
        <v>0</v>
      </c>
      <c r="BC337" s="64" t="s">
        <v>77</v>
      </c>
    </row>
    <row r="338" spans="30:55">
      <c r="AD338" s="65" t="str">
        <f t="array" ref="AD338:AD361">TRANSPOSE($C$5:$Z$5)</f>
        <v>00</v>
      </c>
      <c r="AE338" s="66">
        <f t="array" ref="AE338:AE361">TRANSPOSE(skemA1!$C$16:$Z$16)</f>
        <v>137.30000000000001</v>
      </c>
      <c r="AF338" s="66">
        <f t="array" ref="AF338:AF361">TRANSPOSE($C$6:$Z$6)</f>
        <v>-1</v>
      </c>
      <c r="AG338" s="66" t="str">
        <f>IF(AF338&gt;0,AF338*$AE338,"")</f>
        <v/>
      </c>
      <c r="AH338" s="66" t="str">
        <f>IF(AF338=0,AF338*$AE338,"")</f>
        <v/>
      </c>
      <c r="AI338" s="67">
        <f>IF(AF338&lt;0,AF338*$AE338,"")</f>
        <v>-137.30000000000001</v>
      </c>
      <c r="AJ338" s="66">
        <f t="array" ref="AJ338:AJ361">TRANSPOSE($C$7:$Z$7)</f>
        <v>-1</v>
      </c>
      <c r="AK338" s="66" t="str">
        <f>IF(AJ338&gt;0,AJ338*$AE338,"")</f>
        <v/>
      </c>
      <c r="AL338" s="66" t="str">
        <f>IF(AJ338=0,AJ338*$AE338,"")</f>
        <v/>
      </c>
      <c r="AM338" s="67">
        <f>IF(AJ338&lt;0,AJ338*$AE338,"")</f>
        <v>-137.30000000000001</v>
      </c>
      <c r="AN338" s="66">
        <f t="array" ref="AN338:AN361">TRANSPOSE($C$8:$Z$8)</f>
        <v>1</v>
      </c>
      <c r="AO338" s="66">
        <f>IF(AN338&gt;0,AN338*$AE338,"")</f>
        <v>137.30000000000001</v>
      </c>
      <c r="AP338" s="66" t="str">
        <f>IF(AN338=0,AN338*$AE338,"")</f>
        <v/>
      </c>
      <c r="AQ338" s="67" t="str">
        <f>IF(AN338&lt;0,AN338*$AE338,"")</f>
        <v/>
      </c>
      <c r="AR338" s="66">
        <f t="array" ref="AR338:AR361">TRANSPOSE($C$9:$Z$9)</f>
        <v>1</v>
      </c>
      <c r="AS338" s="66">
        <f>IF(AR338&gt;0,AR338*$AE338,"")</f>
        <v>137.30000000000001</v>
      </c>
      <c r="AT338" s="66" t="str">
        <f>IF(AR338=0,AR338*$AE338,"")</f>
        <v/>
      </c>
      <c r="AU338" s="67" t="str">
        <f>IF(AR338&lt;0,AR338*$AE338,"")</f>
        <v/>
      </c>
      <c r="AV338" s="66">
        <f t="array" ref="AV338:AV361">TRANSPOSE($C$10:$Z$10)</f>
        <v>1</v>
      </c>
      <c r="AW338" s="66">
        <f t="shared" ref="AW338:AW361" si="198">IF(AV338&gt;0,AV338*$AE338,"")</f>
        <v>137.30000000000001</v>
      </c>
      <c r="AX338" s="66" t="str">
        <f t="shared" ref="AX338:AX361" si="199">IF(AV338=0,AV338*$AE338,"")</f>
        <v/>
      </c>
      <c r="AY338" s="67" t="str">
        <f t="shared" ref="AY338:AY361" si="200">IF(AV338&lt;0,AV338*$AE338,"")</f>
        <v/>
      </c>
      <c r="AZ338" s="66">
        <f t="array" ref="AZ338:AZ361">TRANSPOSE($C$11:$Z$11)</f>
        <v>1</v>
      </c>
      <c r="BA338" s="66">
        <f t="shared" ref="BA338:BA361" si="201">IF(AZ338&gt;0,AZ338*$AE338,"")</f>
        <v>137.30000000000001</v>
      </c>
      <c r="BB338" s="66" t="str">
        <f t="shared" ref="BB338:BB361" si="202">IF(AZ338=0,AZ338*$AE338,"")</f>
        <v/>
      </c>
      <c r="BC338" s="67" t="str">
        <f t="shared" ref="BC338:BC361" si="203">IF(AZ338&lt;0,AZ338*$AE338,"")</f>
        <v/>
      </c>
    </row>
    <row r="339" spans="30:55">
      <c r="AD339" s="68" t="str">
        <v>01</v>
      </c>
      <c r="AE339" s="61">
        <v>127.1</v>
      </c>
      <c r="AF339" s="61">
        <v>-1</v>
      </c>
      <c r="AG339" s="66" t="str">
        <f t="shared" ref="AG339:AG361" si="204">IF(AF339&gt;0,AF339*$AE339,"")</f>
        <v/>
      </c>
      <c r="AH339" s="66" t="str">
        <f t="shared" ref="AH339:AH361" si="205">IF(AF339=0,AF339*$AE339,"")</f>
        <v/>
      </c>
      <c r="AI339" s="67">
        <f t="shared" ref="AI339:AI361" si="206">IF(AF339&lt;0,AF339*$AE339,"")</f>
        <v>-127.1</v>
      </c>
      <c r="AJ339" s="61">
        <v>-1</v>
      </c>
      <c r="AK339" s="66" t="str">
        <f t="shared" ref="AK339:AK361" si="207">IF(AJ339&gt;0,AJ339*$AE339,"")</f>
        <v/>
      </c>
      <c r="AL339" s="66" t="str">
        <f t="shared" ref="AL339:AL361" si="208">IF(AJ339=0,AJ339*$AE339,"")</f>
        <v/>
      </c>
      <c r="AM339" s="67">
        <f t="shared" ref="AM339:AM361" si="209">IF(AJ339&lt;0,AJ339*$AE339,"")</f>
        <v>-127.1</v>
      </c>
      <c r="AN339" s="61">
        <v>1</v>
      </c>
      <c r="AO339" s="66">
        <f t="shared" ref="AO339:AO361" si="210">IF(AN339&gt;0,AN339*$AE339,"")</f>
        <v>127.1</v>
      </c>
      <c r="AP339" s="66" t="str">
        <f t="shared" ref="AP339:AP361" si="211">IF(AN339=0,AN339*$AE339,"")</f>
        <v/>
      </c>
      <c r="AQ339" s="67" t="str">
        <f t="shared" ref="AQ339:AQ361" si="212">IF(AN339&lt;0,AN339*$AE339,"")</f>
        <v/>
      </c>
      <c r="AR339" s="61">
        <v>1</v>
      </c>
      <c r="AS339" s="66">
        <f t="shared" ref="AS339:AS361" si="213">IF(AR339&gt;0,AR339*$AE339,"")</f>
        <v>127.1</v>
      </c>
      <c r="AT339" s="66" t="str">
        <f t="shared" ref="AT339:AT361" si="214">IF(AR339=0,AR339*$AE339,"")</f>
        <v/>
      </c>
      <c r="AU339" s="67" t="str">
        <f t="shared" ref="AU339:AU361" si="215">IF(AR339&lt;0,AR339*$AE339,"")</f>
        <v/>
      </c>
      <c r="AV339" s="61">
        <v>0</v>
      </c>
      <c r="AW339" s="66" t="str">
        <f t="shared" si="198"/>
        <v/>
      </c>
      <c r="AX339" s="66">
        <f t="shared" si="199"/>
        <v>0</v>
      </c>
      <c r="AY339" s="67" t="str">
        <f t="shared" si="200"/>
        <v/>
      </c>
      <c r="AZ339" s="61">
        <v>1</v>
      </c>
      <c r="BA339" s="66">
        <f t="shared" si="201"/>
        <v>127.1</v>
      </c>
      <c r="BB339" s="66" t="str">
        <f t="shared" si="202"/>
        <v/>
      </c>
      <c r="BC339" s="67" t="str">
        <f t="shared" si="203"/>
        <v/>
      </c>
    </row>
    <row r="340" spans="30:55">
      <c r="AD340" s="68" t="str">
        <v>02</v>
      </c>
      <c r="AE340" s="61">
        <v>123.4</v>
      </c>
      <c r="AF340" s="61">
        <v>-1</v>
      </c>
      <c r="AG340" s="66" t="str">
        <f t="shared" si="204"/>
        <v/>
      </c>
      <c r="AH340" s="66" t="str">
        <f t="shared" si="205"/>
        <v/>
      </c>
      <c r="AI340" s="67">
        <f t="shared" si="206"/>
        <v>-123.4</v>
      </c>
      <c r="AJ340" s="61">
        <v>-1</v>
      </c>
      <c r="AK340" s="66" t="str">
        <f t="shared" si="207"/>
        <v/>
      </c>
      <c r="AL340" s="66" t="str">
        <f t="shared" si="208"/>
        <v/>
      </c>
      <c r="AM340" s="67">
        <f t="shared" si="209"/>
        <v>-123.4</v>
      </c>
      <c r="AN340" s="61">
        <v>1</v>
      </c>
      <c r="AO340" s="66">
        <f t="shared" si="210"/>
        <v>123.4</v>
      </c>
      <c r="AP340" s="66" t="str">
        <f t="shared" si="211"/>
        <v/>
      </c>
      <c r="AQ340" s="67" t="str">
        <f t="shared" si="212"/>
        <v/>
      </c>
      <c r="AR340" s="61">
        <v>1</v>
      </c>
      <c r="AS340" s="66">
        <f t="shared" si="213"/>
        <v>123.4</v>
      </c>
      <c r="AT340" s="66" t="str">
        <f t="shared" si="214"/>
        <v/>
      </c>
      <c r="AU340" s="67" t="str">
        <f t="shared" si="215"/>
        <v/>
      </c>
      <c r="AV340" s="61">
        <v>-1</v>
      </c>
      <c r="AW340" s="66" t="str">
        <f t="shared" si="198"/>
        <v/>
      </c>
      <c r="AX340" s="66" t="str">
        <f t="shared" si="199"/>
        <v/>
      </c>
      <c r="AY340" s="67">
        <f t="shared" si="200"/>
        <v>-123.4</v>
      </c>
      <c r="AZ340" s="61">
        <v>1</v>
      </c>
      <c r="BA340" s="66">
        <f t="shared" si="201"/>
        <v>123.4</v>
      </c>
      <c r="BB340" s="66" t="str">
        <f t="shared" si="202"/>
        <v/>
      </c>
      <c r="BC340" s="67" t="str">
        <f t="shared" si="203"/>
        <v/>
      </c>
    </row>
    <row r="341" spans="30:55">
      <c r="AD341" s="68" t="str">
        <v>03</v>
      </c>
      <c r="AE341" s="61">
        <v>127.3</v>
      </c>
      <c r="AF341" s="61">
        <v>-1</v>
      </c>
      <c r="AG341" s="66" t="str">
        <f t="shared" si="204"/>
        <v/>
      </c>
      <c r="AH341" s="66" t="str">
        <f t="shared" si="205"/>
        <v/>
      </c>
      <c r="AI341" s="67">
        <f t="shared" si="206"/>
        <v>-127.3</v>
      </c>
      <c r="AJ341" s="61">
        <v>-1</v>
      </c>
      <c r="AK341" s="66" t="str">
        <f t="shared" si="207"/>
        <v/>
      </c>
      <c r="AL341" s="66" t="str">
        <f t="shared" si="208"/>
        <v/>
      </c>
      <c r="AM341" s="67">
        <f t="shared" si="209"/>
        <v>-127.3</v>
      </c>
      <c r="AN341" s="61">
        <v>-1</v>
      </c>
      <c r="AO341" s="66" t="str">
        <f t="shared" si="210"/>
        <v/>
      </c>
      <c r="AP341" s="66" t="str">
        <f t="shared" si="211"/>
        <v/>
      </c>
      <c r="AQ341" s="67">
        <f t="shared" si="212"/>
        <v>-127.3</v>
      </c>
      <c r="AR341" s="61">
        <v>1</v>
      </c>
      <c r="AS341" s="66">
        <f t="shared" si="213"/>
        <v>127.3</v>
      </c>
      <c r="AT341" s="66" t="str">
        <f t="shared" si="214"/>
        <v/>
      </c>
      <c r="AU341" s="67" t="str">
        <f t="shared" si="215"/>
        <v/>
      </c>
      <c r="AV341" s="61">
        <v>-1</v>
      </c>
      <c r="AW341" s="66" t="str">
        <f t="shared" si="198"/>
        <v/>
      </c>
      <c r="AX341" s="66" t="str">
        <f t="shared" si="199"/>
        <v/>
      </c>
      <c r="AY341" s="67">
        <f t="shared" si="200"/>
        <v>-127.3</v>
      </c>
      <c r="AZ341" s="61">
        <v>-1</v>
      </c>
      <c r="BA341" s="66" t="str">
        <f t="shared" si="201"/>
        <v/>
      </c>
      <c r="BB341" s="66" t="str">
        <f t="shared" si="202"/>
        <v/>
      </c>
      <c r="BC341" s="67">
        <f t="shared" si="203"/>
        <v>-127.3</v>
      </c>
    </row>
    <row r="342" spans="30:55">
      <c r="AD342" s="68" t="str">
        <v>04</v>
      </c>
      <c r="AE342" s="61">
        <v>135.20000000000002</v>
      </c>
      <c r="AF342" s="61">
        <v>-1</v>
      </c>
      <c r="AG342" s="66" t="str">
        <f t="shared" si="204"/>
        <v/>
      </c>
      <c r="AH342" s="66" t="str">
        <f t="shared" si="205"/>
        <v/>
      </c>
      <c r="AI342" s="67">
        <f t="shared" si="206"/>
        <v>-135.20000000000002</v>
      </c>
      <c r="AJ342" s="61">
        <v>-1</v>
      </c>
      <c r="AK342" s="66" t="str">
        <f t="shared" si="207"/>
        <v/>
      </c>
      <c r="AL342" s="66" t="str">
        <f t="shared" si="208"/>
        <v/>
      </c>
      <c r="AM342" s="67">
        <f t="shared" si="209"/>
        <v>-135.20000000000002</v>
      </c>
      <c r="AN342" s="61">
        <v>-1</v>
      </c>
      <c r="AO342" s="66" t="str">
        <f t="shared" si="210"/>
        <v/>
      </c>
      <c r="AP342" s="66" t="str">
        <f t="shared" si="211"/>
        <v/>
      </c>
      <c r="AQ342" s="67">
        <f t="shared" si="212"/>
        <v>-135.20000000000002</v>
      </c>
      <c r="AR342" s="61">
        <v>1</v>
      </c>
      <c r="AS342" s="66">
        <f t="shared" si="213"/>
        <v>135.20000000000002</v>
      </c>
      <c r="AT342" s="66" t="str">
        <f t="shared" si="214"/>
        <v/>
      </c>
      <c r="AU342" s="67" t="str">
        <f t="shared" si="215"/>
        <v/>
      </c>
      <c r="AV342" s="61">
        <v>0</v>
      </c>
      <c r="AW342" s="66" t="str">
        <f t="shared" si="198"/>
        <v/>
      </c>
      <c r="AX342" s="66">
        <f t="shared" si="199"/>
        <v>0</v>
      </c>
      <c r="AY342" s="67" t="str">
        <f t="shared" si="200"/>
        <v/>
      </c>
      <c r="AZ342" s="61">
        <v>-1</v>
      </c>
      <c r="BA342" s="66" t="str">
        <f t="shared" si="201"/>
        <v/>
      </c>
      <c r="BB342" s="66" t="str">
        <f t="shared" si="202"/>
        <v/>
      </c>
      <c r="BC342" s="67">
        <f t="shared" si="203"/>
        <v>-135.20000000000002</v>
      </c>
    </row>
    <row r="343" spans="30:55">
      <c r="AD343" s="68" t="str">
        <v>05</v>
      </c>
      <c r="AE343" s="61">
        <v>152.6</v>
      </c>
      <c r="AF343" s="61">
        <v>-1</v>
      </c>
      <c r="AG343" s="66" t="str">
        <f t="shared" si="204"/>
        <v/>
      </c>
      <c r="AH343" s="66" t="str">
        <f t="shared" si="205"/>
        <v/>
      </c>
      <c r="AI343" s="67">
        <f t="shared" si="206"/>
        <v>-152.6</v>
      </c>
      <c r="AJ343" s="61">
        <v>-1</v>
      </c>
      <c r="AK343" s="66" t="str">
        <f t="shared" si="207"/>
        <v/>
      </c>
      <c r="AL343" s="66" t="str">
        <f t="shared" si="208"/>
        <v/>
      </c>
      <c r="AM343" s="67">
        <f t="shared" si="209"/>
        <v>-152.6</v>
      </c>
      <c r="AN343" s="61">
        <v>-1</v>
      </c>
      <c r="AO343" s="66" t="str">
        <f t="shared" si="210"/>
        <v/>
      </c>
      <c r="AP343" s="66" t="str">
        <f t="shared" si="211"/>
        <v/>
      </c>
      <c r="AQ343" s="67">
        <f t="shared" si="212"/>
        <v>-152.6</v>
      </c>
      <c r="AR343" s="61">
        <v>1</v>
      </c>
      <c r="AS343" s="66">
        <f t="shared" si="213"/>
        <v>152.6</v>
      </c>
      <c r="AT343" s="66" t="str">
        <f t="shared" si="214"/>
        <v/>
      </c>
      <c r="AU343" s="67" t="str">
        <f t="shared" si="215"/>
        <v/>
      </c>
      <c r="AV343" s="61">
        <v>1</v>
      </c>
      <c r="AW343" s="66">
        <f t="shared" si="198"/>
        <v>152.6</v>
      </c>
      <c r="AX343" s="66" t="str">
        <f t="shared" si="199"/>
        <v/>
      </c>
      <c r="AY343" s="67" t="str">
        <f t="shared" si="200"/>
        <v/>
      </c>
      <c r="AZ343" s="61">
        <v>-1</v>
      </c>
      <c r="BA343" s="66" t="str">
        <f t="shared" si="201"/>
        <v/>
      </c>
      <c r="BB343" s="66" t="str">
        <f t="shared" si="202"/>
        <v/>
      </c>
      <c r="BC343" s="67">
        <f t="shared" si="203"/>
        <v>-152.6</v>
      </c>
    </row>
    <row r="344" spans="30:55">
      <c r="AD344" s="68" t="str">
        <v>06</v>
      </c>
      <c r="AE344" s="61">
        <v>173.9</v>
      </c>
      <c r="AF344" s="61">
        <v>1</v>
      </c>
      <c r="AG344" s="66">
        <f t="shared" si="204"/>
        <v>173.9</v>
      </c>
      <c r="AH344" s="66" t="str">
        <f t="shared" si="205"/>
        <v/>
      </c>
      <c r="AI344" s="67" t="str">
        <f t="shared" si="206"/>
        <v/>
      </c>
      <c r="AJ344" s="61">
        <v>-1</v>
      </c>
      <c r="AK344" s="66" t="str">
        <f t="shared" si="207"/>
        <v/>
      </c>
      <c r="AL344" s="66" t="str">
        <f t="shared" si="208"/>
        <v/>
      </c>
      <c r="AM344" s="67">
        <f t="shared" si="209"/>
        <v>-173.9</v>
      </c>
      <c r="AN344" s="61">
        <v>-1</v>
      </c>
      <c r="AO344" s="66" t="str">
        <f t="shared" si="210"/>
        <v/>
      </c>
      <c r="AP344" s="66" t="str">
        <f t="shared" si="211"/>
        <v/>
      </c>
      <c r="AQ344" s="67">
        <f t="shared" si="212"/>
        <v>-173.9</v>
      </c>
      <c r="AR344" s="61">
        <v>-1</v>
      </c>
      <c r="AS344" s="66" t="str">
        <f t="shared" si="213"/>
        <v/>
      </c>
      <c r="AT344" s="66" t="str">
        <f t="shared" si="214"/>
        <v/>
      </c>
      <c r="AU344" s="67">
        <f t="shared" si="215"/>
        <v>-173.9</v>
      </c>
      <c r="AV344" s="61">
        <v>1</v>
      </c>
      <c r="AW344" s="66">
        <f t="shared" si="198"/>
        <v>173.9</v>
      </c>
      <c r="AX344" s="66" t="str">
        <f t="shared" si="199"/>
        <v/>
      </c>
      <c r="AY344" s="67" t="str">
        <f t="shared" si="200"/>
        <v/>
      </c>
      <c r="AZ344" s="61">
        <v>1</v>
      </c>
      <c r="BA344" s="66">
        <f t="shared" si="201"/>
        <v>173.9</v>
      </c>
      <c r="BB344" s="66" t="str">
        <f t="shared" si="202"/>
        <v/>
      </c>
      <c r="BC344" s="67" t="str">
        <f t="shared" si="203"/>
        <v/>
      </c>
    </row>
    <row r="345" spans="30:55">
      <c r="AD345" s="68" t="str">
        <v>07</v>
      </c>
      <c r="AE345" s="61">
        <v>190.5</v>
      </c>
      <c r="AF345" s="61">
        <v>1</v>
      </c>
      <c r="AG345" s="66">
        <f t="shared" si="204"/>
        <v>190.5</v>
      </c>
      <c r="AH345" s="66" t="str">
        <f t="shared" si="205"/>
        <v/>
      </c>
      <c r="AI345" s="67" t="str">
        <f t="shared" si="206"/>
        <v/>
      </c>
      <c r="AJ345" s="61">
        <v>-1</v>
      </c>
      <c r="AK345" s="66" t="str">
        <f t="shared" si="207"/>
        <v/>
      </c>
      <c r="AL345" s="66" t="str">
        <f t="shared" si="208"/>
        <v/>
      </c>
      <c r="AM345" s="67">
        <f t="shared" si="209"/>
        <v>-190.5</v>
      </c>
      <c r="AN345" s="61">
        <v>-1</v>
      </c>
      <c r="AO345" s="66" t="str">
        <f t="shared" si="210"/>
        <v/>
      </c>
      <c r="AP345" s="66" t="str">
        <f t="shared" si="211"/>
        <v/>
      </c>
      <c r="AQ345" s="67">
        <f t="shared" si="212"/>
        <v>-190.5</v>
      </c>
      <c r="AR345" s="61">
        <v>-1</v>
      </c>
      <c r="AS345" s="66" t="str">
        <f t="shared" si="213"/>
        <v/>
      </c>
      <c r="AT345" s="66" t="str">
        <f t="shared" si="214"/>
        <v/>
      </c>
      <c r="AU345" s="67">
        <f t="shared" si="215"/>
        <v>-190.5</v>
      </c>
      <c r="AV345" s="61">
        <v>0</v>
      </c>
      <c r="AW345" s="66" t="str">
        <f t="shared" si="198"/>
        <v/>
      </c>
      <c r="AX345" s="66">
        <f t="shared" si="199"/>
        <v>0</v>
      </c>
      <c r="AY345" s="67" t="str">
        <f t="shared" si="200"/>
        <v/>
      </c>
      <c r="AZ345" s="61">
        <v>1</v>
      </c>
      <c r="BA345" s="66">
        <f t="shared" si="201"/>
        <v>190.5</v>
      </c>
      <c r="BB345" s="66" t="str">
        <f t="shared" si="202"/>
        <v/>
      </c>
      <c r="BC345" s="67" t="str">
        <f t="shared" si="203"/>
        <v/>
      </c>
    </row>
    <row r="346" spans="30:55">
      <c r="AD346" s="68" t="str">
        <v>08</v>
      </c>
      <c r="AE346" s="61">
        <v>203.9</v>
      </c>
      <c r="AF346" s="61">
        <v>1</v>
      </c>
      <c r="AG346" s="66">
        <f t="shared" si="204"/>
        <v>203.9</v>
      </c>
      <c r="AH346" s="66" t="str">
        <f t="shared" si="205"/>
        <v/>
      </c>
      <c r="AI346" s="67" t="str">
        <f t="shared" si="206"/>
        <v/>
      </c>
      <c r="AJ346" s="61">
        <v>-1</v>
      </c>
      <c r="AK346" s="66" t="str">
        <f t="shared" si="207"/>
        <v/>
      </c>
      <c r="AL346" s="66" t="str">
        <f t="shared" si="208"/>
        <v/>
      </c>
      <c r="AM346" s="67">
        <f t="shared" si="209"/>
        <v>-203.9</v>
      </c>
      <c r="AN346" s="61">
        <v>-1</v>
      </c>
      <c r="AO346" s="66" t="str">
        <f t="shared" si="210"/>
        <v/>
      </c>
      <c r="AP346" s="66" t="str">
        <f t="shared" si="211"/>
        <v/>
      </c>
      <c r="AQ346" s="67">
        <f t="shared" si="212"/>
        <v>-203.9</v>
      </c>
      <c r="AR346" s="61">
        <v>-1</v>
      </c>
      <c r="AS346" s="66" t="str">
        <f t="shared" si="213"/>
        <v/>
      </c>
      <c r="AT346" s="66" t="str">
        <f t="shared" si="214"/>
        <v/>
      </c>
      <c r="AU346" s="67">
        <f t="shared" si="215"/>
        <v>-203.9</v>
      </c>
      <c r="AV346" s="61">
        <v>-1</v>
      </c>
      <c r="AW346" s="66" t="str">
        <f t="shared" si="198"/>
        <v/>
      </c>
      <c r="AX346" s="66" t="str">
        <f t="shared" si="199"/>
        <v/>
      </c>
      <c r="AY346" s="67">
        <f t="shared" si="200"/>
        <v>-203.9</v>
      </c>
      <c r="AZ346" s="61">
        <v>1</v>
      </c>
      <c r="BA346" s="66">
        <f t="shared" si="201"/>
        <v>203.9</v>
      </c>
      <c r="BB346" s="66" t="str">
        <f t="shared" si="202"/>
        <v/>
      </c>
      <c r="BC346" s="67" t="str">
        <f t="shared" si="203"/>
        <v/>
      </c>
    </row>
    <row r="347" spans="30:55">
      <c r="AD347" s="68" t="str">
        <v>09</v>
      </c>
      <c r="AE347" s="61">
        <v>208.70000000000002</v>
      </c>
      <c r="AF347" s="61">
        <v>1</v>
      </c>
      <c r="AG347" s="66">
        <f t="shared" si="204"/>
        <v>208.70000000000002</v>
      </c>
      <c r="AH347" s="66" t="str">
        <f t="shared" si="205"/>
        <v/>
      </c>
      <c r="AI347" s="67" t="str">
        <f t="shared" si="206"/>
        <v/>
      </c>
      <c r="AJ347" s="61">
        <v>-1</v>
      </c>
      <c r="AK347" s="66" t="str">
        <f t="shared" si="207"/>
        <v/>
      </c>
      <c r="AL347" s="66" t="str">
        <f t="shared" si="208"/>
        <v/>
      </c>
      <c r="AM347" s="67">
        <f t="shared" si="209"/>
        <v>-208.70000000000002</v>
      </c>
      <c r="AN347" s="61">
        <v>1</v>
      </c>
      <c r="AO347" s="66">
        <f t="shared" si="210"/>
        <v>208.70000000000002</v>
      </c>
      <c r="AP347" s="66" t="str">
        <f t="shared" si="211"/>
        <v/>
      </c>
      <c r="AQ347" s="67" t="str">
        <f t="shared" si="212"/>
        <v/>
      </c>
      <c r="AR347" s="61">
        <v>-1</v>
      </c>
      <c r="AS347" s="66" t="str">
        <f t="shared" si="213"/>
        <v/>
      </c>
      <c r="AT347" s="66" t="str">
        <f t="shared" si="214"/>
        <v/>
      </c>
      <c r="AU347" s="67">
        <f t="shared" si="215"/>
        <v>-208.70000000000002</v>
      </c>
      <c r="AV347" s="61">
        <v>-1</v>
      </c>
      <c r="AW347" s="66" t="str">
        <f t="shared" si="198"/>
        <v/>
      </c>
      <c r="AX347" s="66" t="str">
        <f t="shared" si="199"/>
        <v/>
      </c>
      <c r="AY347" s="67">
        <f t="shared" si="200"/>
        <v>-208.70000000000002</v>
      </c>
      <c r="AZ347" s="61">
        <v>-1</v>
      </c>
      <c r="BA347" s="66" t="str">
        <f t="shared" si="201"/>
        <v/>
      </c>
      <c r="BB347" s="66" t="str">
        <f t="shared" si="202"/>
        <v/>
      </c>
      <c r="BC347" s="67">
        <f t="shared" si="203"/>
        <v>-208.70000000000002</v>
      </c>
    </row>
    <row r="348" spans="30:55">
      <c r="AD348" s="68" t="str">
        <v>10</v>
      </c>
      <c r="AE348" s="61">
        <v>207.7</v>
      </c>
      <c r="AF348" s="61">
        <v>1</v>
      </c>
      <c r="AG348" s="66">
        <f t="shared" si="204"/>
        <v>207.7</v>
      </c>
      <c r="AH348" s="66" t="str">
        <f t="shared" si="205"/>
        <v/>
      </c>
      <c r="AI348" s="67" t="str">
        <f t="shared" si="206"/>
        <v/>
      </c>
      <c r="AJ348" s="61">
        <v>-1</v>
      </c>
      <c r="AK348" s="66" t="str">
        <f t="shared" si="207"/>
        <v/>
      </c>
      <c r="AL348" s="66" t="str">
        <f t="shared" si="208"/>
        <v/>
      </c>
      <c r="AM348" s="67">
        <f t="shared" si="209"/>
        <v>-207.7</v>
      </c>
      <c r="AN348" s="61">
        <v>1</v>
      </c>
      <c r="AO348" s="66">
        <f t="shared" si="210"/>
        <v>207.7</v>
      </c>
      <c r="AP348" s="66" t="str">
        <f t="shared" si="211"/>
        <v/>
      </c>
      <c r="AQ348" s="67" t="str">
        <f t="shared" si="212"/>
        <v/>
      </c>
      <c r="AR348" s="61">
        <v>-1</v>
      </c>
      <c r="AS348" s="66" t="str">
        <f t="shared" si="213"/>
        <v/>
      </c>
      <c r="AT348" s="66" t="str">
        <f t="shared" si="214"/>
        <v/>
      </c>
      <c r="AU348" s="67">
        <f t="shared" si="215"/>
        <v>-207.7</v>
      </c>
      <c r="AV348" s="61">
        <v>0</v>
      </c>
      <c r="AW348" s="66" t="str">
        <f t="shared" si="198"/>
        <v/>
      </c>
      <c r="AX348" s="66">
        <f t="shared" si="199"/>
        <v>0</v>
      </c>
      <c r="AY348" s="67" t="str">
        <f t="shared" si="200"/>
        <v/>
      </c>
      <c r="AZ348" s="61">
        <v>-1</v>
      </c>
      <c r="BA348" s="66" t="str">
        <f t="shared" si="201"/>
        <v/>
      </c>
      <c r="BB348" s="66" t="str">
        <f t="shared" si="202"/>
        <v/>
      </c>
      <c r="BC348" s="67">
        <f t="shared" si="203"/>
        <v>-207.7</v>
      </c>
    </row>
    <row r="349" spans="30:55">
      <c r="AD349" s="68" t="str">
        <v>11</v>
      </c>
      <c r="AE349" s="61">
        <v>203.6</v>
      </c>
      <c r="AF349" s="61">
        <v>1</v>
      </c>
      <c r="AG349" s="66">
        <f t="shared" si="204"/>
        <v>203.6</v>
      </c>
      <c r="AH349" s="66" t="str">
        <f t="shared" si="205"/>
        <v/>
      </c>
      <c r="AI349" s="67" t="str">
        <f t="shared" si="206"/>
        <v/>
      </c>
      <c r="AJ349" s="61">
        <v>-1</v>
      </c>
      <c r="AK349" s="66" t="str">
        <f t="shared" si="207"/>
        <v/>
      </c>
      <c r="AL349" s="66" t="str">
        <f t="shared" si="208"/>
        <v/>
      </c>
      <c r="AM349" s="67">
        <f t="shared" si="209"/>
        <v>-203.6</v>
      </c>
      <c r="AN349" s="61">
        <v>1</v>
      </c>
      <c r="AO349" s="66">
        <f t="shared" si="210"/>
        <v>203.6</v>
      </c>
      <c r="AP349" s="66" t="str">
        <f t="shared" si="211"/>
        <v/>
      </c>
      <c r="AQ349" s="67" t="str">
        <f t="shared" si="212"/>
        <v/>
      </c>
      <c r="AR349" s="61">
        <v>-1</v>
      </c>
      <c r="AS349" s="66" t="str">
        <f t="shared" si="213"/>
        <v/>
      </c>
      <c r="AT349" s="66" t="str">
        <f t="shared" si="214"/>
        <v/>
      </c>
      <c r="AU349" s="67">
        <f t="shared" si="215"/>
        <v>-203.6</v>
      </c>
      <c r="AV349" s="61">
        <v>1</v>
      </c>
      <c r="AW349" s="66">
        <f t="shared" si="198"/>
        <v>203.6</v>
      </c>
      <c r="AX349" s="66" t="str">
        <f t="shared" si="199"/>
        <v/>
      </c>
      <c r="AY349" s="67" t="str">
        <f t="shared" si="200"/>
        <v/>
      </c>
      <c r="AZ349" s="61">
        <v>-1</v>
      </c>
      <c r="BA349" s="66" t="str">
        <f t="shared" si="201"/>
        <v/>
      </c>
      <c r="BB349" s="66" t="str">
        <f t="shared" si="202"/>
        <v/>
      </c>
      <c r="BC349" s="67">
        <f t="shared" si="203"/>
        <v>-203.6</v>
      </c>
    </row>
    <row r="350" spans="30:55">
      <c r="AD350" s="68" t="str">
        <v>12</v>
      </c>
      <c r="AE350" s="61">
        <v>197.6</v>
      </c>
      <c r="AF350" s="61">
        <v>1</v>
      </c>
      <c r="AG350" s="66">
        <f t="shared" si="204"/>
        <v>197.6</v>
      </c>
      <c r="AH350" s="66" t="str">
        <f t="shared" si="205"/>
        <v/>
      </c>
      <c r="AI350" s="67" t="str">
        <f t="shared" si="206"/>
        <v/>
      </c>
      <c r="AJ350" s="61">
        <v>1</v>
      </c>
      <c r="AK350" s="66">
        <f t="shared" si="207"/>
        <v>197.6</v>
      </c>
      <c r="AL350" s="66" t="str">
        <f t="shared" si="208"/>
        <v/>
      </c>
      <c r="AM350" s="67" t="str">
        <f t="shared" si="209"/>
        <v/>
      </c>
      <c r="AN350" s="61">
        <v>1</v>
      </c>
      <c r="AO350" s="66">
        <f t="shared" si="210"/>
        <v>197.6</v>
      </c>
      <c r="AP350" s="66" t="str">
        <f t="shared" si="211"/>
        <v/>
      </c>
      <c r="AQ350" s="67" t="str">
        <f t="shared" si="212"/>
        <v/>
      </c>
      <c r="AR350" s="61">
        <v>1</v>
      </c>
      <c r="AS350" s="66">
        <f t="shared" si="213"/>
        <v>197.6</v>
      </c>
      <c r="AT350" s="66" t="str">
        <f t="shared" si="214"/>
        <v/>
      </c>
      <c r="AU350" s="67" t="str">
        <f t="shared" si="215"/>
        <v/>
      </c>
      <c r="AV350" s="61">
        <v>1</v>
      </c>
      <c r="AW350" s="66">
        <f t="shared" si="198"/>
        <v>197.6</v>
      </c>
      <c r="AX350" s="66" t="str">
        <f t="shared" si="199"/>
        <v/>
      </c>
      <c r="AY350" s="67" t="str">
        <f t="shared" si="200"/>
        <v/>
      </c>
      <c r="AZ350" s="61">
        <v>1</v>
      </c>
      <c r="BA350" s="66">
        <f t="shared" si="201"/>
        <v>197.6</v>
      </c>
      <c r="BB350" s="66" t="str">
        <f t="shared" si="202"/>
        <v/>
      </c>
      <c r="BC350" s="67" t="str">
        <f t="shared" si="203"/>
        <v/>
      </c>
    </row>
    <row r="351" spans="30:55">
      <c r="AD351" s="68" t="str">
        <v>13</v>
      </c>
      <c r="AE351" s="61">
        <v>187.3</v>
      </c>
      <c r="AF351" s="61">
        <v>1</v>
      </c>
      <c r="AG351" s="66">
        <f t="shared" si="204"/>
        <v>187.3</v>
      </c>
      <c r="AH351" s="66" t="str">
        <f t="shared" si="205"/>
        <v/>
      </c>
      <c r="AI351" s="67" t="str">
        <f t="shared" si="206"/>
        <v/>
      </c>
      <c r="AJ351" s="61">
        <v>1</v>
      </c>
      <c r="AK351" s="66">
        <f t="shared" si="207"/>
        <v>187.3</v>
      </c>
      <c r="AL351" s="66" t="str">
        <f t="shared" si="208"/>
        <v/>
      </c>
      <c r="AM351" s="67" t="str">
        <f t="shared" si="209"/>
        <v/>
      </c>
      <c r="AN351" s="61">
        <v>1</v>
      </c>
      <c r="AO351" s="66">
        <f t="shared" si="210"/>
        <v>187.3</v>
      </c>
      <c r="AP351" s="66" t="str">
        <f t="shared" si="211"/>
        <v/>
      </c>
      <c r="AQ351" s="67" t="str">
        <f t="shared" si="212"/>
        <v/>
      </c>
      <c r="AR351" s="61">
        <v>1</v>
      </c>
      <c r="AS351" s="66">
        <f t="shared" si="213"/>
        <v>187.3</v>
      </c>
      <c r="AT351" s="66" t="str">
        <f t="shared" si="214"/>
        <v/>
      </c>
      <c r="AU351" s="67" t="str">
        <f t="shared" si="215"/>
        <v/>
      </c>
      <c r="AV351" s="61">
        <v>0</v>
      </c>
      <c r="AW351" s="66" t="str">
        <f t="shared" si="198"/>
        <v/>
      </c>
      <c r="AX351" s="66">
        <f t="shared" si="199"/>
        <v>0</v>
      </c>
      <c r="AY351" s="67" t="str">
        <f t="shared" si="200"/>
        <v/>
      </c>
      <c r="AZ351" s="61">
        <v>1</v>
      </c>
      <c r="BA351" s="66">
        <f t="shared" si="201"/>
        <v>187.3</v>
      </c>
      <c r="BB351" s="66" t="str">
        <f t="shared" si="202"/>
        <v/>
      </c>
      <c r="BC351" s="67" t="str">
        <f t="shared" si="203"/>
        <v/>
      </c>
    </row>
    <row r="352" spans="30:55">
      <c r="AD352" s="68" t="str">
        <v>14</v>
      </c>
      <c r="AE352" s="61">
        <v>176.5</v>
      </c>
      <c r="AF352" s="61">
        <v>1</v>
      </c>
      <c r="AG352" s="66">
        <f t="shared" si="204"/>
        <v>176.5</v>
      </c>
      <c r="AH352" s="66" t="str">
        <f t="shared" si="205"/>
        <v/>
      </c>
      <c r="AI352" s="67" t="str">
        <f t="shared" si="206"/>
        <v/>
      </c>
      <c r="AJ352" s="61">
        <v>1</v>
      </c>
      <c r="AK352" s="66">
        <f t="shared" si="207"/>
        <v>176.5</v>
      </c>
      <c r="AL352" s="66" t="str">
        <f t="shared" si="208"/>
        <v/>
      </c>
      <c r="AM352" s="67" t="str">
        <f t="shared" si="209"/>
        <v/>
      </c>
      <c r="AN352" s="61">
        <v>1</v>
      </c>
      <c r="AO352" s="66">
        <f t="shared" si="210"/>
        <v>176.5</v>
      </c>
      <c r="AP352" s="66" t="str">
        <f t="shared" si="211"/>
        <v/>
      </c>
      <c r="AQ352" s="67" t="str">
        <f t="shared" si="212"/>
        <v/>
      </c>
      <c r="AR352" s="61">
        <v>1</v>
      </c>
      <c r="AS352" s="66">
        <f t="shared" si="213"/>
        <v>176.5</v>
      </c>
      <c r="AT352" s="66" t="str">
        <f t="shared" si="214"/>
        <v/>
      </c>
      <c r="AU352" s="67" t="str">
        <f t="shared" si="215"/>
        <v/>
      </c>
      <c r="AV352" s="61">
        <v>-1</v>
      </c>
      <c r="AW352" s="66" t="str">
        <f t="shared" si="198"/>
        <v/>
      </c>
      <c r="AX352" s="66" t="str">
        <f t="shared" si="199"/>
        <v/>
      </c>
      <c r="AY352" s="67">
        <f t="shared" si="200"/>
        <v>-176.5</v>
      </c>
      <c r="AZ352" s="61">
        <v>1</v>
      </c>
      <c r="BA352" s="66">
        <f t="shared" si="201"/>
        <v>176.5</v>
      </c>
      <c r="BB352" s="66" t="str">
        <f t="shared" si="202"/>
        <v/>
      </c>
      <c r="BC352" s="67" t="str">
        <f t="shared" si="203"/>
        <v/>
      </c>
    </row>
    <row r="353" spans="29:55">
      <c r="AD353" s="68" t="str">
        <v>15</v>
      </c>
      <c r="AE353" s="61">
        <v>163.19999999999999</v>
      </c>
      <c r="AF353" s="61">
        <v>1</v>
      </c>
      <c r="AG353" s="66">
        <f t="shared" si="204"/>
        <v>163.19999999999999</v>
      </c>
      <c r="AH353" s="66" t="str">
        <f t="shared" si="205"/>
        <v/>
      </c>
      <c r="AI353" s="67" t="str">
        <f t="shared" si="206"/>
        <v/>
      </c>
      <c r="AJ353" s="61">
        <v>1</v>
      </c>
      <c r="AK353" s="66">
        <f t="shared" si="207"/>
        <v>163.19999999999999</v>
      </c>
      <c r="AL353" s="66" t="str">
        <f t="shared" si="208"/>
        <v/>
      </c>
      <c r="AM353" s="67" t="str">
        <f t="shared" si="209"/>
        <v/>
      </c>
      <c r="AN353" s="61">
        <v>-1</v>
      </c>
      <c r="AO353" s="66" t="str">
        <f t="shared" si="210"/>
        <v/>
      </c>
      <c r="AP353" s="66" t="str">
        <f t="shared" si="211"/>
        <v/>
      </c>
      <c r="AQ353" s="67">
        <f t="shared" si="212"/>
        <v>-163.19999999999999</v>
      </c>
      <c r="AR353" s="61">
        <v>1</v>
      </c>
      <c r="AS353" s="66">
        <f t="shared" si="213"/>
        <v>163.19999999999999</v>
      </c>
      <c r="AT353" s="66" t="str">
        <f t="shared" si="214"/>
        <v/>
      </c>
      <c r="AU353" s="67" t="str">
        <f t="shared" si="215"/>
        <v/>
      </c>
      <c r="AV353" s="61">
        <v>-1</v>
      </c>
      <c r="AW353" s="66" t="str">
        <f t="shared" si="198"/>
        <v/>
      </c>
      <c r="AX353" s="66" t="str">
        <f t="shared" si="199"/>
        <v/>
      </c>
      <c r="AY353" s="67">
        <f t="shared" si="200"/>
        <v>-163.19999999999999</v>
      </c>
      <c r="AZ353" s="61">
        <v>-1</v>
      </c>
      <c r="BA353" s="66" t="str">
        <f t="shared" si="201"/>
        <v/>
      </c>
      <c r="BB353" s="66" t="str">
        <f t="shared" si="202"/>
        <v/>
      </c>
      <c r="BC353" s="67">
        <f t="shared" si="203"/>
        <v>-163.19999999999999</v>
      </c>
    </row>
    <row r="354" spans="29:55">
      <c r="AD354" s="68" t="str">
        <v>16</v>
      </c>
      <c r="AE354" s="61">
        <v>157.80000000000001</v>
      </c>
      <c r="AF354" s="61">
        <v>1</v>
      </c>
      <c r="AG354" s="66">
        <f t="shared" si="204"/>
        <v>157.80000000000001</v>
      </c>
      <c r="AH354" s="66" t="str">
        <f t="shared" si="205"/>
        <v/>
      </c>
      <c r="AI354" s="67" t="str">
        <f t="shared" si="206"/>
        <v/>
      </c>
      <c r="AJ354" s="61">
        <v>1</v>
      </c>
      <c r="AK354" s="66">
        <f t="shared" si="207"/>
        <v>157.80000000000001</v>
      </c>
      <c r="AL354" s="66" t="str">
        <f t="shared" si="208"/>
        <v/>
      </c>
      <c r="AM354" s="67" t="str">
        <f t="shared" si="209"/>
        <v/>
      </c>
      <c r="AN354" s="61">
        <v>-1</v>
      </c>
      <c r="AO354" s="66" t="str">
        <f t="shared" si="210"/>
        <v/>
      </c>
      <c r="AP354" s="66" t="str">
        <f t="shared" si="211"/>
        <v/>
      </c>
      <c r="AQ354" s="67">
        <f t="shared" si="212"/>
        <v>-157.80000000000001</v>
      </c>
      <c r="AR354" s="61">
        <v>1</v>
      </c>
      <c r="AS354" s="66">
        <f t="shared" si="213"/>
        <v>157.80000000000001</v>
      </c>
      <c r="AT354" s="66" t="str">
        <f t="shared" si="214"/>
        <v/>
      </c>
      <c r="AU354" s="67" t="str">
        <f t="shared" si="215"/>
        <v/>
      </c>
      <c r="AV354" s="61">
        <v>0</v>
      </c>
      <c r="AW354" s="66" t="str">
        <f t="shared" si="198"/>
        <v/>
      </c>
      <c r="AX354" s="66">
        <f t="shared" si="199"/>
        <v>0</v>
      </c>
      <c r="AY354" s="67" t="str">
        <f t="shared" si="200"/>
        <v/>
      </c>
      <c r="AZ354" s="61">
        <v>-1</v>
      </c>
      <c r="BA354" s="66" t="str">
        <f t="shared" si="201"/>
        <v/>
      </c>
      <c r="BB354" s="66" t="str">
        <f t="shared" si="202"/>
        <v/>
      </c>
      <c r="BC354" s="67">
        <f t="shared" si="203"/>
        <v>-157.80000000000001</v>
      </c>
    </row>
    <row r="355" spans="29:55">
      <c r="AD355" s="68" t="str">
        <v>17</v>
      </c>
      <c r="AE355" s="61">
        <v>153.80000000000001</v>
      </c>
      <c r="AF355" s="61">
        <v>1</v>
      </c>
      <c r="AG355" s="66">
        <f t="shared" si="204"/>
        <v>153.80000000000001</v>
      </c>
      <c r="AH355" s="66" t="str">
        <f t="shared" si="205"/>
        <v/>
      </c>
      <c r="AI355" s="67" t="str">
        <f t="shared" si="206"/>
        <v/>
      </c>
      <c r="AJ355" s="61">
        <v>1</v>
      </c>
      <c r="AK355" s="66">
        <f t="shared" si="207"/>
        <v>153.80000000000001</v>
      </c>
      <c r="AL355" s="66" t="str">
        <f t="shared" si="208"/>
        <v/>
      </c>
      <c r="AM355" s="67" t="str">
        <f t="shared" si="209"/>
        <v/>
      </c>
      <c r="AN355" s="61">
        <v>-1</v>
      </c>
      <c r="AO355" s="66" t="str">
        <f t="shared" si="210"/>
        <v/>
      </c>
      <c r="AP355" s="66" t="str">
        <f t="shared" si="211"/>
        <v/>
      </c>
      <c r="AQ355" s="67">
        <f t="shared" si="212"/>
        <v>-153.80000000000001</v>
      </c>
      <c r="AR355" s="61">
        <v>1</v>
      </c>
      <c r="AS355" s="66">
        <f t="shared" si="213"/>
        <v>153.80000000000001</v>
      </c>
      <c r="AT355" s="66" t="str">
        <f t="shared" si="214"/>
        <v/>
      </c>
      <c r="AU355" s="67" t="str">
        <f t="shared" si="215"/>
        <v/>
      </c>
      <c r="AV355" s="61">
        <v>1</v>
      </c>
      <c r="AW355" s="66">
        <f t="shared" si="198"/>
        <v>153.80000000000001</v>
      </c>
      <c r="AX355" s="66" t="str">
        <f t="shared" si="199"/>
        <v/>
      </c>
      <c r="AY355" s="67" t="str">
        <f t="shared" si="200"/>
        <v/>
      </c>
      <c r="AZ355" s="61">
        <v>-1</v>
      </c>
      <c r="BA355" s="66" t="str">
        <f t="shared" si="201"/>
        <v/>
      </c>
      <c r="BB355" s="66" t="str">
        <f t="shared" si="202"/>
        <v/>
      </c>
      <c r="BC355" s="67">
        <f t="shared" si="203"/>
        <v>-153.80000000000001</v>
      </c>
    </row>
    <row r="356" spans="29:55">
      <c r="AD356" s="68" t="str">
        <v>18</v>
      </c>
      <c r="AE356" s="61">
        <v>154.4</v>
      </c>
      <c r="AF356" s="61">
        <v>-1</v>
      </c>
      <c r="AG356" s="66" t="str">
        <f t="shared" si="204"/>
        <v/>
      </c>
      <c r="AH356" s="66" t="str">
        <f t="shared" si="205"/>
        <v/>
      </c>
      <c r="AI356" s="67">
        <f t="shared" si="206"/>
        <v>-154.4</v>
      </c>
      <c r="AJ356" s="61">
        <v>1</v>
      </c>
      <c r="AK356" s="66">
        <f t="shared" si="207"/>
        <v>154.4</v>
      </c>
      <c r="AL356" s="66" t="str">
        <f t="shared" si="208"/>
        <v/>
      </c>
      <c r="AM356" s="67" t="str">
        <f t="shared" si="209"/>
        <v/>
      </c>
      <c r="AN356" s="61">
        <v>-1</v>
      </c>
      <c r="AO356" s="66" t="str">
        <f t="shared" si="210"/>
        <v/>
      </c>
      <c r="AP356" s="66" t="str">
        <f t="shared" si="211"/>
        <v/>
      </c>
      <c r="AQ356" s="67">
        <f t="shared" si="212"/>
        <v>-154.4</v>
      </c>
      <c r="AR356" s="61">
        <v>-1</v>
      </c>
      <c r="AS356" s="66" t="str">
        <f t="shared" si="213"/>
        <v/>
      </c>
      <c r="AT356" s="66" t="str">
        <f t="shared" si="214"/>
        <v/>
      </c>
      <c r="AU356" s="67">
        <f t="shared" si="215"/>
        <v>-154.4</v>
      </c>
      <c r="AV356" s="61">
        <v>1</v>
      </c>
      <c r="AW356" s="66">
        <f t="shared" si="198"/>
        <v>154.4</v>
      </c>
      <c r="AX356" s="66" t="str">
        <f t="shared" si="199"/>
        <v/>
      </c>
      <c r="AY356" s="67" t="str">
        <f t="shared" si="200"/>
        <v/>
      </c>
      <c r="AZ356" s="61">
        <v>1</v>
      </c>
      <c r="BA356" s="66">
        <f t="shared" si="201"/>
        <v>154.4</v>
      </c>
      <c r="BB356" s="66" t="str">
        <f t="shared" si="202"/>
        <v/>
      </c>
      <c r="BC356" s="67" t="str">
        <f t="shared" si="203"/>
        <v/>
      </c>
    </row>
    <row r="357" spans="29:55">
      <c r="AD357" s="68" t="str">
        <v>19</v>
      </c>
      <c r="AE357" s="61">
        <v>162.1</v>
      </c>
      <c r="AF357" s="61">
        <v>-1</v>
      </c>
      <c r="AG357" s="66" t="str">
        <f t="shared" si="204"/>
        <v/>
      </c>
      <c r="AH357" s="66" t="str">
        <f t="shared" si="205"/>
        <v/>
      </c>
      <c r="AI357" s="67">
        <f t="shared" si="206"/>
        <v>-162.1</v>
      </c>
      <c r="AJ357" s="61">
        <v>1</v>
      </c>
      <c r="AK357" s="66">
        <f t="shared" si="207"/>
        <v>162.1</v>
      </c>
      <c r="AL357" s="66" t="str">
        <f t="shared" si="208"/>
        <v/>
      </c>
      <c r="AM357" s="67" t="str">
        <f t="shared" si="209"/>
        <v/>
      </c>
      <c r="AN357" s="61">
        <v>-1</v>
      </c>
      <c r="AO357" s="66" t="str">
        <f t="shared" si="210"/>
        <v/>
      </c>
      <c r="AP357" s="66" t="str">
        <f t="shared" si="211"/>
        <v/>
      </c>
      <c r="AQ357" s="67">
        <f t="shared" si="212"/>
        <v>-162.1</v>
      </c>
      <c r="AR357" s="61">
        <v>-1</v>
      </c>
      <c r="AS357" s="66" t="str">
        <f t="shared" si="213"/>
        <v/>
      </c>
      <c r="AT357" s="66" t="str">
        <f t="shared" si="214"/>
        <v/>
      </c>
      <c r="AU357" s="67">
        <f t="shared" si="215"/>
        <v>-162.1</v>
      </c>
      <c r="AV357" s="61">
        <v>0</v>
      </c>
      <c r="AW357" s="66" t="str">
        <f t="shared" si="198"/>
        <v/>
      </c>
      <c r="AX357" s="66">
        <f t="shared" si="199"/>
        <v>0</v>
      </c>
      <c r="AY357" s="67" t="str">
        <f t="shared" si="200"/>
        <v/>
      </c>
      <c r="AZ357" s="61">
        <v>1</v>
      </c>
      <c r="BA357" s="66">
        <f t="shared" si="201"/>
        <v>162.1</v>
      </c>
      <c r="BB357" s="66" t="str">
        <f t="shared" si="202"/>
        <v/>
      </c>
      <c r="BC357" s="67" t="str">
        <f t="shared" si="203"/>
        <v/>
      </c>
    </row>
    <row r="358" spans="29:55">
      <c r="AD358" s="68" t="str">
        <v>20</v>
      </c>
      <c r="AE358" s="61">
        <v>170.4</v>
      </c>
      <c r="AF358" s="61">
        <v>-1</v>
      </c>
      <c r="AG358" s="66" t="str">
        <f t="shared" si="204"/>
        <v/>
      </c>
      <c r="AH358" s="66" t="str">
        <f t="shared" si="205"/>
        <v/>
      </c>
      <c r="AI358" s="67">
        <f t="shared" si="206"/>
        <v>-170.4</v>
      </c>
      <c r="AJ358" s="61">
        <v>1</v>
      </c>
      <c r="AK358" s="66">
        <f t="shared" si="207"/>
        <v>170.4</v>
      </c>
      <c r="AL358" s="66" t="str">
        <f t="shared" si="208"/>
        <v/>
      </c>
      <c r="AM358" s="67" t="str">
        <f t="shared" si="209"/>
        <v/>
      </c>
      <c r="AN358" s="61">
        <v>-1</v>
      </c>
      <c r="AO358" s="66" t="str">
        <f t="shared" si="210"/>
        <v/>
      </c>
      <c r="AP358" s="66" t="str">
        <f t="shared" si="211"/>
        <v/>
      </c>
      <c r="AQ358" s="67">
        <f t="shared" si="212"/>
        <v>-170.4</v>
      </c>
      <c r="AR358" s="61">
        <v>-1</v>
      </c>
      <c r="AS358" s="66" t="str">
        <f t="shared" si="213"/>
        <v/>
      </c>
      <c r="AT358" s="66" t="str">
        <f t="shared" si="214"/>
        <v/>
      </c>
      <c r="AU358" s="67">
        <f t="shared" si="215"/>
        <v>-170.4</v>
      </c>
      <c r="AV358" s="61">
        <v>-1</v>
      </c>
      <c r="AW358" s="66" t="str">
        <f t="shared" si="198"/>
        <v/>
      </c>
      <c r="AX358" s="66" t="str">
        <f t="shared" si="199"/>
        <v/>
      </c>
      <c r="AY358" s="67">
        <f t="shared" si="200"/>
        <v>-170.4</v>
      </c>
      <c r="AZ358" s="61">
        <v>1</v>
      </c>
      <c r="BA358" s="66">
        <f t="shared" si="201"/>
        <v>170.4</v>
      </c>
      <c r="BB358" s="66" t="str">
        <f t="shared" si="202"/>
        <v/>
      </c>
      <c r="BC358" s="67" t="str">
        <f t="shared" si="203"/>
        <v/>
      </c>
    </row>
    <row r="359" spans="29:55">
      <c r="AD359" s="68" t="str">
        <v>21</v>
      </c>
      <c r="AE359" s="61">
        <v>172.10000000000002</v>
      </c>
      <c r="AF359" s="61">
        <v>-1</v>
      </c>
      <c r="AG359" s="66" t="str">
        <f t="shared" si="204"/>
        <v/>
      </c>
      <c r="AH359" s="66" t="str">
        <f t="shared" si="205"/>
        <v/>
      </c>
      <c r="AI359" s="67">
        <f t="shared" si="206"/>
        <v>-172.10000000000002</v>
      </c>
      <c r="AJ359" s="61">
        <v>1</v>
      </c>
      <c r="AK359" s="66">
        <f t="shared" si="207"/>
        <v>172.10000000000002</v>
      </c>
      <c r="AL359" s="66" t="str">
        <f t="shared" si="208"/>
        <v/>
      </c>
      <c r="AM359" s="67" t="str">
        <f t="shared" si="209"/>
        <v/>
      </c>
      <c r="AN359" s="61">
        <v>1</v>
      </c>
      <c r="AO359" s="66">
        <f t="shared" si="210"/>
        <v>172.10000000000002</v>
      </c>
      <c r="AP359" s="66" t="str">
        <f t="shared" si="211"/>
        <v/>
      </c>
      <c r="AQ359" s="67" t="str">
        <f t="shared" si="212"/>
        <v/>
      </c>
      <c r="AR359" s="61">
        <v>-1</v>
      </c>
      <c r="AS359" s="66" t="str">
        <f t="shared" si="213"/>
        <v/>
      </c>
      <c r="AT359" s="66" t="str">
        <f t="shared" si="214"/>
        <v/>
      </c>
      <c r="AU359" s="67">
        <f t="shared" si="215"/>
        <v>-172.10000000000002</v>
      </c>
      <c r="AV359" s="61">
        <v>-1</v>
      </c>
      <c r="AW359" s="66" t="str">
        <f t="shared" si="198"/>
        <v/>
      </c>
      <c r="AX359" s="66" t="str">
        <f t="shared" si="199"/>
        <v/>
      </c>
      <c r="AY359" s="67">
        <f t="shared" si="200"/>
        <v>-172.10000000000002</v>
      </c>
      <c r="AZ359" s="61">
        <v>-1</v>
      </c>
      <c r="BA359" s="66" t="str">
        <f t="shared" si="201"/>
        <v/>
      </c>
      <c r="BB359" s="66" t="str">
        <f t="shared" si="202"/>
        <v/>
      </c>
      <c r="BC359" s="67">
        <f t="shared" si="203"/>
        <v>-172.10000000000002</v>
      </c>
    </row>
    <row r="360" spans="29:55">
      <c r="AD360" s="68" t="str">
        <v>22</v>
      </c>
      <c r="AE360" s="61">
        <v>169.3</v>
      </c>
      <c r="AF360" s="61">
        <v>-1</v>
      </c>
      <c r="AG360" s="66" t="str">
        <f t="shared" si="204"/>
        <v/>
      </c>
      <c r="AH360" s="66" t="str">
        <f t="shared" si="205"/>
        <v/>
      </c>
      <c r="AI360" s="67">
        <f t="shared" si="206"/>
        <v>-169.3</v>
      </c>
      <c r="AJ360" s="61">
        <v>1</v>
      </c>
      <c r="AK360" s="66">
        <f t="shared" si="207"/>
        <v>169.3</v>
      </c>
      <c r="AL360" s="66" t="str">
        <f t="shared" si="208"/>
        <v/>
      </c>
      <c r="AM360" s="67" t="str">
        <f t="shared" si="209"/>
        <v/>
      </c>
      <c r="AN360" s="61">
        <v>1</v>
      </c>
      <c r="AO360" s="66">
        <f t="shared" si="210"/>
        <v>169.3</v>
      </c>
      <c r="AP360" s="66" t="str">
        <f t="shared" si="211"/>
        <v/>
      </c>
      <c r="AQ360" s="67" t="str">
        <f t="shared" si="212"/>
        <v/>
      </c>
      <c r="AR360" s="61">
        <v>-1</v>
      </c>
      <c r="AS360" s="66" t="str">
        <f t="shared" si="213"/>
        <v/>
      </c>
      <c r="AT360" s="66" t="str">
        <f t="shared" si="214"/>
        <v/>
      </c>
      <c r="AU360" s="67">
        <f t="shared" si="215"/>
        <v>-169.3</v>
      </c>
      <c r="AV360" s="61">
        <v>0</v>
      </c>
      <c r="AW360" s="66" t="str">
        <f t="shared" si="198"/>
        <v/>
      </c>
      <c r="AX360" s="66">
        <f t="shared" si="199"/>
        <v>0</v>
      </c>
      <c r="AY360" s="67" t="str">
        <f t="shared" si="200"/>
        <v/>
      </c>
      <c r="AZ360" s="61">
        <v>-1</v>
      </c>
      <c r="BA360" s="66" t="str">
        <f t="shared" si="201"/>
        <v/>
      </c>
      <c r="BB360" s="66" t="str">
        <f t="shared" si="202"/>
        <v/>
      </c>
      <c r="BC360" s="67">
        <f t="shared" si="203"/>
        <v>-169.3</v>
      </c>
    </row>
    <row r="361" spans="29:55">
      <c r="AD361" s="68" t="str">
        <v>23</v>
      </c>
      <c r="AE361" s="61">
        <v>161</v>
      </c>
      <c r="AF361" s="61">
        <v>-1</v>
      </c>
      <c r="AG361" s="66" t="str">
        <f t="shared" si="204"/>
        <v/>
      </c>
      <c r="AH361" s="66" t="str">
        <f t="shared" si="205"/>
        <v/>
      </c>
      <c r="AI361" s="67">
        <f t="shared" si="206"/>
        <v>-161</v>
      </c>
      <c r="AJ361" s="61">
        <v>1</v>
      </c>
      <c r="AK361" s="66">
        <f t="shared" si="207"/>
        <v>161</v>
      </c>
      <c r="AL361" s="66" t="str">
        <f t="shared" si="208"/>
        <v/>
      </c>
      <c r="AM361" s="67" t="str">
        <f t="shared" si="209"/>
        <v/>
      </c>
      <c r="AN361" s="61">
        <v>1</v>
      </c>
      <c r="AO361" s="66">
        <f t="shared" si="210"/>
        <v>161</v>
      </c>
      <c r="AP361" s="66" t="str">
        <f t="shared" si="211"/>
        <v/>
      </c>
      <c r="AQ361" s="67" t="str">
        <f t="shared" si="212"/>
        <v/>
      </c>
      <c r="AR361" s="61">
        <v>-1</v>
      </c>
      <c r="AS361" s="66" t="str">
        <f t="shared" si="213"/>
        <v/>
      </c>
      <c r="AT361" s="66" t="str">
        <f t="shared" si="214"/>
        <v/>
      </c>
      <c r="AU361" s="67">
        <f t="shared" si="215"/>
        <v>-161</v>
      </c>
      <c r="AV361" s="61">
        <v>1</v>
      </c>
      <c r="AW361" s="66">
        <f t="shared" si="198"/>
        <v>161</v>
      </c>
      <c r="AX361" s="66" t="str">
        <f t="shared" si="199"/>
        <v/>
      </c>
      <c r="AY361" s="67" t="str">
        <f t="shared" si="200"/>
        <v/>
      </c>
      <c r="AZ361" s="61">
        <v>-1</v>
      </c>
      <c r="BA361" s="66" t="str">
        <f t="shared" si="201"/>
        <v/>
      </c>
      <c r="BB361" s="66" t="str">
        <f t="shared" si="202"/>
        <v/>
      </c>
      <c r="BC361" s="67">
        <f t="shared" si="203"/>
        <v>-161</v>
      </c>
    </row>
    <row r="362" spans="29:55" ht="15.75" thickBot="1">
      <c r="AC362" s="476">
        <f>AD334</f>
        <v>44720</v>
      </c>
      <c r="AD362" s="69" t="s">
        <v>85</v>
      </c>
      <c r="AE362" s="70">
        <f>SUM(AE338:AE361)</f>
        <v>4016.7000000000007</v>
      </c>
      <c r="AF362" s="70"/>
      <c r="AG362" s="71">
        <f>ABS(SUM(AG338:AG361))</f>
        <v>2224.5</v>
      </c>
      <c r="AH362" s="70"/>
      <c r="AI362" s="72">
        <f>ABS(SUM(AI338:AI361))</f>
        <v>1792.2</v>
      </c>
      <c r="AJ362" s="70"/>
      <c r="AK362" s="71">
        <f>ABS(SUM(AK338:AK361))</f>
        <v>2025.4999999999998</v>
      </c>
      <c r="AL362" s="70"/>
      <c r="AM362" s="72">
        <f>ABS(SUM(AM338:AM361))</f>
        <v>1991.2</v>
      </c>
      <c r="AN362" s="70"/>
      <c r="AO362" s="71">
        <f>ABS(SUM(AO338:AO361))</f>
        <v>2071.6000000000004</v>
      </c>
      <c r="AP362" s="70"/>
      <c r="AQ362" s="72">
        <f>ABS(SUM(AQ338:AQ361))</f>
        <v>1945.1</v>
      </c>
      <c r="AR362" s="70"/>
      <c r="AS362" s="71">
        <f>ABS(SUM(AS338:AS361))</f>
        <v>1839.1</v>
      </c>
      <c r="AT362" s="70"/>
      <c r="AU362" s="72">
        <f>ABS(SUM(AU338:AU361))</f>
        <v>2177.6000000000004</v>
      </c>
      <c r="AV362" s="70"/>
      <c r="AW362" s="71">
        <f>ABS(SUM(AW338:AW361))</f>
        <v>1334.2</v>
      </c>
      <c r="AX362" s="70"/>
      <c r="AY362" s="72">
        <f>ABS(SUM(AY338:AY361))</f>
        <v>1345.5</v>
      </c>
      <c r="AZ362" s="70"/>
      <c r="BA362" s="71">
        <f>ABS(SUM(BA338:BA361))</f>
        <v>2004.3999999999999</v>
      </c>
      <c r="BB362" s="70"/>
      <c r="BC362" s="72">
        <f>ABS(SUM(BC338:BC361))</f>
        <v>2012.3</v>
      </c>
    </row>
    <row r="364" spans="29:55" ht="15" thickBot="1">
      <c r="AD364" s="476">
        <f>skemA1!B17</f>
        <v>44721</v>
      </c>
    </row>
    <row r="365" spans="29:55" ht="15" thickBot="1">
      <c r="AD365" s="677" t="s">
        <v>75</v>
      </c>
      <c r="AE365" s="60" t="s">
        <v>558</v>
      </c>
      <c r="AF365" s="672" t="s">
        <v>559</v>
      </c>
      <c r="AG365" s="672"/>
      <c r="AH365" s="672"/>
      <c r="AI365" s="673"/>
      <c r="AJ365" s="672" t="s">
        <v>562</v>
      </c>
      <c r="AK365" s="672"/>
      <c r="AL365" s="672"/>
      <c r="AM365" s="673"/>
      <c r="AN365" s="672" t="s">
        <v>563</v>
      </c>
      <c r="AO365" s="672"/>
      <c r="AP365" s="672"/>
      <c r="AQ365" s="673"/>
      <c r="AR365" s="672" t="s">
        <v>564</v>
      </c>
      <c r="AS365" s="672"/>
      <c r="AT365" s="672"/>
      <c r="AU365" s="673"/>
      <c r="AV365" s="672" t="s">
        <v>565</v>
      </c>
      <c r="AW365" s="672"/>
      <c r="AX365" s="672"/>
      <c r="AY365" s="673"/>
      <c r="AZ365" s="672" t="s">
        <v>566</v>
      </c>
      <c r="BA365" s="672"/>
      <c r="BB365" s="672"/>
      <c r="BC365" s="673"/>
    </row>
    <row r="366" spans="29:55" ht="15" thickBot="1">
      <c r="AD366" s="677"/>
      <c r="AE366" s="61"/>
      <c r="AF366" s="674" t="s">
        <v>561</v>
      </c>
      <c r="AG366" s="670" t="s">
        <v>560</v>
      </c>
      <c r="AH366" s="670"/>
      <c r="AI366" s="671"/>
      <c r="AJ366" s="674" t="s">
        <v>561</v>
      </c>
      <c r="AK366" s="670" t="s">
        <v>560</v>
      </c>
      <c r="AL366" s="670"/>
      <c r="AM366" s="671"/>
      <c r="AN366" s="674" t="s">
        <v>561</v>
      </c>
      <c r="AO366" s="670" t="s">
        <v>560</v>
      </c>
      <c r="AP366" s="670"/>
      <c r="AQ366" s="671"/>
      <c r="AR366" s="674" t="s">
        <v>561</v>
      </c>
      <c r="AS366" s="670" t="s">
        <v>560</v>
      </c>
      <c r="AT366" s="670"/>
      <c r="AU366" s="671"/>
      <c r="AV366" s="674" t="s">
        <v>561</v>
      </c>
      <c r="AW366" s="670" t="s">
        <v>560</v>
      </c>
      <c r="AX366" s="670"/>
      <c r="AY366" s="671"/>
      <c r="AZ366" s="674" t="s">
        <v>561</v>
      </c>
      <c r="BA366" s="670" t="s">
        <v>560</v>
      </c>
      <c r="BB366" s="670"/>
      <c r="BC366" s="671"/>
    </row>
    <row r="367" spans="29:55">
      <c r="AD367" s="677"/>
      <c r="AE367" s="62"/>
      <c r="AF367" s="674"/>
      <c r="AG367" s="63" t="s">
        <v>76</v>
      </c>
      <c r="AH367" s="63">
        <v>0</v>
      </c>
      <c r="AI367" s="64" t="s">
        <v>77</v>
      </c>
      <c r="AJ367" s="674"/>
      <c r="AK367" s="63" t="s">
        <v>76</v>
      </c>
      <c r="AL367" s="63">
        <v>0</v>
      </c>
      <c r="AM367" s="64" t="s">
        <v>77</v>
      </c>
      <c r="AN367" s="674"/>
      <c r="AO367" s="63" t="s">
        <v>76</v>
      </c>
      <c r="AP367" s="63">
        <v>0</v>
      </c>
      <c r="AQ367" s="64" t="s">
        <v>77</v>
      </c>
      <c r="AR367" s="674"/>
      <c r="AS367" s="63" t="s">
        <v>76</v>
      </c>
      <c r="AT367" s="63">
        <v>0</v>
      </c>
      <c r="AU367" s="64" t="s">
        <v>77</v>
      </c>
      <c r="AV367" s="674"/>
      <c r="AW367" s="63" t="s">
        <v>76</v>
      </c>
      <c r="AX367" s="63">
        <v>0</v>
      </c>
      <c r="AY367" s="64" t="s">
        <v>77</v>
      </c>
      <c r="AZ367" s="674"/>
      <c r="BA367" s="63" t="s">
        <v>76</v>
      </c>
      <c r="BB367" s="63">
        <v>0</v>
      </c>
      <c r="BC367" s="64" t="s">
        <v>77</v>
      </c>
    </row>
    <row r="368" spans="29:55">
      <c r="AD368" s="65" t="str">
        <f t="array" ref="AD368:AD391">TRANSPOSE($C$5:$Z$5)</f>
        <v>00</v>
      </c>
      <c r="AE368" s="66">
        <f t="array" ref="AE368:AE391">TRANSPOSE(skemA1!$C$17:$Z$17)</f>
        <v>149.6</v>
      </c>
      <c r="AF368" s="66">
        <f t="array" ref="AF368:AF391">TRANSPOSE($C$6:$Z$6)</f>
        <v>-1</v>
      </c>
      <c r="AG368" s="66" t="str">
        <f>IF(AF368&gt;0,AF368*$AE368,"")</f>
        <v/>
      </c>
      <c r="AH368" s="66" t="str">
        <f>IF(AF368=0,AF368*$AE368,"")</f>
        <v/>
      </c>
      <c r="AI368" s="67">
        <f>IF(AF368&lt;0,AF368*$AE368,"")</f>
        <v>-149.6</v>
      </c>
      <c r="AJ368" s="66">
        <f t="array" ref="AJ368:AJ391">TRANSPOSE($C$7:$Z$7)</f>
        <v>-1</v>
      </c>
      <c r="AK368" s="66" t="str">
        <f>IF(AJ368&gt;0,AJ368*$AE368,"")</f>
        <v/>
      </c>
      <c r="AL368" s="66" t="str">
        <f>IF(AJ368=0,AJ368*$AE368,"")</f>
        <v/>
      </c>
      <c r="AM368" s="67">
        <f>IF(AJ368&lt;0,AJ368*$AE368,"")</f>
        <v>-149.6</v>
      </c>
      <c r="AN368" s="66">
        <f t="array" ref="AN368:AN391">TRANSPOSE($C$8:$Z$8)</f>
        <v>1</v>
      </c>
      <c r="AO368" s="66">
        <f>IF(AN368&gt;0,AN368*$AE368,"")</f>
        <v>149.6</v>
      </c>
      <c r="AP368" s="66" t="str">
        <f>IF(AN368=0,AN368*$AE368,"")</f>
        <v/>
      </c>
      <c r="AQ368" s="67" t="str">
        <f>IF(AN368&lt;0,AN368*$AE368,"")</f>
        <v/>
      </c>
      <c r="AR368" s="66">
        <f t="array" ref="AR368:AR391">TRANSPOSE($C$9:$Z$9)</f>
        <v>1</v>
      </c>
      <c r="AS368" s="66">
        <f>IF(AR368&gt;0,AR368*$AE368,"")</f>
        <v>149.6</v>
      </c>
      <c r="AT368" s="66" t="str">
        <f>IF(AR368=0,AR368*$AE368,"")</f>
        <v/>
      </c>
      <c r="AU368" s="67" t="str">
        <f>IF(AR368&lt;0,AR368*$AE368,"")</f>
        <v/>
      </c>
      <c r="AV368" s="66">
        <f t="array" ref="AV368:AV391">TRANSPOSE($C$10:$Z$10)</f>
        <v>1</v>
      </c>
      <c r="AW368" s="66">
        <f t="shared" ref="AW368:AW391" si="216">IF(AV368&gt;0,AV368*$AE368,"")</f>
        <v>149.6</v>
      </c>
      <c r="AX368" s="66" t="str">
        <f t="shared" ref="AX368:AX391" si="217">IF(AV368=0,AV368*$AE368,"")</f>
        <v/>
      </c>
      <c r="AY368" s="67" t="str">
        <f t="shared" ref="AY368:AY391" si="218">IF(AV368&lt;0,AV368*$AE368,"")</f>
        <v/>
      </c>
      <c r="AZ368" s="66">
        <f t="array" ref="AZ368:AZ391">TRANSPOSE($C$11:$Z$11)</f>
        <v>1</v>
      </c>
      <c r="BA368" s="66">
        <f t="shared" ref="BA368:BA391" si="219">IF(AZ368&gt;0,AZ368*$AE368,"")</f>
        <v>149.6</v>
      </c>
      <c r="BB368" s="66" t="str">
        <f t="shared" ref="BB368:BB391" si="220">IF(AZ368=0,AZ368*$AE368,"")</f>
        <v/>
      </c>
      <c r="BC368" s="67" t="str">
        <f t="shared" ref="BC368:BC391" si="221">IF(AZ368&lt;0,AZ368*$AE368,"")</f>
        <v/>
      </c>
    </row>
    <row r="369" spans="30:55">
      <c r="AD369" s="68" t="str">
        <v>01</v>
      </c>
      <c r="AE369" s="61">
        <v>143.70000000000002</v>
      </c>
      <c r="AF369" s="61">
        <v>-1</v>
      </c>
      <c r="AG369" s="66" t="str">
        <f t="shared" ref="AG369:AG391" si="222">IF(AF369&gt;0,AF369*$AE369,"")</f>
        <v/>
      </c>
      <c r="AH369" s="66" t="str">
        <f t="shared" ref="AH369:AH391" si="223">IF(AF369=0,AF369*$AE369,"")</f>
        <v/>
      </c>
      <c r="AI369" s="67">
        <f t="shared" ref="AI369:AI391" si="224">IF(AF369&lt;0,AF369*$AE369,"")</f>
        <v>-143.70000000000002</v>
      </c>
      <c r="AJ369" s="61">
        <v>-1</v>
      </c>
      <c r="AK369" s="66" t="str">
        <f t="shared" ref="AK369:AK391" si="225">IF(AJ369&gt;0,AJ369*$AE369,"")</f>
        <v/>
      </c>
      <c r="AL369" s="66" t="str">
        <f t="shared" ref="AL369:AL391" si="226">IF(AJ369=0,AJ369*$AE369,"")</f>
        <v/>
      </c>
      <c r="AM369" s="67">
        <f t="shared" ref="AM369:AM391" si="227">IF(AJ369&lt;0,AJ369*$AE369,"")</f>
        <v>-143.70000000000002</v>
      </c>
      <c r="AN369" s="61">
        <v>1</v>
      </c>
      <c r="AO369" s="66">
        <f t="shared" ref="AO369:AO391" si="228">IF(AN369&gt;0,AN369*$AE369,"")</f>
        <v>143.70000000000002</v>
      </c>
      <c r="AP369" s="66" t="str">
        <f t="shared" ref="AP369:AP391" si="229">IF(AN369=0,AN369*$AE369,"")</f>
        <v/>
      </c>
      <c r="AQ369" s="67" t="str">
        <f t="shared" ref="AQ369:AQ391" si="230">IF(AN369&lt;0,AN369*$AE369,"")</f>
        <v/>
      </c>
      <c r="AR369" s="61">
        <v>1</v>
      </c>
      <c r="AS369" s="66">
        <f t="shared" ref="AS369:AS391" si="231">IF(AR369&gt;0,AR369*$AE369,"")</f>
        <v>143.70000000000002</v>
      </c>
      <c r="AT369" s="66" t="str">
        <f t="shared" ref="AT369:AT391" si="232">IF(AR369=0,AR369*$AE369,"")</f>
        <v/>
      </c>
      <c r="AU369" s="67" t="str">
        <f t="shared" ref="AU369:AU391" si="233">IF(AR369&lt;0,AR369*$AE369,"")</f>
        <v/>
      </c>
      <c r="AV369" s="61">
        <v>0</v>
      </c>
      <c r="AW369" s="66" t="str">
        <f t="shared" si="216"/>
        <v/>
      </c>
      <c r="AX369" s="66">
        <f t="shared" si="217"/>
        <v>0</v>
      </c>
      <c r="AY369" s="67" t="str">
        <f t="shared" si="218"/>
        <v/>
      </c>
      <c r="AZ369" s="61">
        <v>1</v>
      </c>
      <c r="BA369" s="66">
        <f t="shared" si="219"/>
        <v>143.70000000000002</v>
      </c>
      <c r="BB369" s="66" t="str">
        <f t="shared" si="220"/>
        <v/>
      </c>
      <c r="BC369" s="67" t="str">
        <f t="shared" si="221"/>
        <v/>
      </c>
    </row>
    <row r="370" spans="30:55">
      <c r="AD370" s="68" t="str">
        <v>02</v>
      </c>
      <c r="AE370" s="61">
        <v>143.1</v>
      </c>
      <c r="AF370" s="61">
        <v>-1</v>
      </c>
      <c r="AG370" s="66" t="str">
        <f t="shared" si="222"/>
        <v/>
      </c>
      <c r="AH370" s="66" t="str">
        <f t="shared" si="223"/>
        <v/>
      </c>
      <c r="AI370" s="67">
        <f t="shared" si="224"/>
        <v>-143.1</v>
      </c>
      <c r="AJ370" s="61">
        <v>-1</v>
      </c>
      <c r="AK370" s="66" t="str">
        <f t="shared" si="225"/>
        <v/>
      </c>
      <c r="AL370" s="66" t="str">
        <f t="shared" si="226"/>
        <v/>
      </c>
      <c r="AM370" s="67">
        <f t="shared" si="227"/>
        <v>-143.1</v>
      </c>
      <c r="AN370" s="61">
        <v>1</v>
      </c>
      <c r="AO370" s="66">
        <f t="shared" si="228"/>
        <v>143.1</v>
      </c>
      <c r="AP370" s="66" t="str">
        <f t="shared" si="229"/>
        <v/>
      </c>
      <c r="AQ370" s="67" t="str">
        <f t="shared" si="230"/>
        <v/>
      </c>
      <c r="AR370" s="61">
        <v>1</v>
      </c>
      <c r="AS370" s="66">
        <f t="shared" si="231"/>
        <v>143.1</v>
      </c>
      <c r="AT370" s="66" t="str">
        <f t="shared" si="232"/>
        <v/>
      </c>
      <c r="AU370" s="67" t="str">
        <f t="shared" si="233"/>
        <v/>
      </c>
      <c r="AV370" s="61">
        <v>-1</v>
      </c>
      <c r="AW370" s="66" t="str">
        <f t="shared" si="216"/>
        <v/>
      </c>
      <c r="AX370" s="66" t="str">
        <f t="shared" si="217"/>
        <v/>
      </c>
      <c r="AY370" s="67">
        <f t="shared" si="218"/>
        <v>-143.1</v>
      </c>
      <c r="AZ370" s="61">
        <v>1</v>
      </c>
      <c r="BA370" s="66">
        <f t="shared" si="219"/>
        <v>143.1</v>
      </c>
      <c r="BB370" s="66" t="str">
        <f t="shared" si="220"/>
        <v/>
      </c>
      <c r="BC370" s="67" t="str">
        <f t="shared" si="221"/>
        <v/>
      </c>
    </row>
    <row r="371" spans="30:55">
      <c r="AD371" s="68" t="str">
        <v>03</v>
      </c>
      <c r="AE371" s="61">
        <v>146.6</v>
      </c>
      <c r="AF371" s="61">
        <v>-1</v>
      </c>
      <c r="AG371" s="66" t="str">
        <f t="shared" si="222"/>
        <v/>
      </c>
      <c r="AH371" s="66" t="str">
        <f t="shared" si="223"/>
        <v/>
      </c>
      <c r="AI371" s="67">
        <f t="shared" si="224"/>
        <v>-146.6</v>
      </c>
      <c r="AJ371" s="61">
        <v>-1</v>
      </c>
      <c r="AK371" s="66" t="str">
        <f t="shared" si="225"/>
        <v/>
      </c>
      <c r="AL371" s="66" t="str">
        <f t="shared" si="226"/>
        <v/>
      </c>
      <c r="AM371" s="67">
        <f t="shared" si="227"/>
        <v>-146.6</v>
      </c>
      <c r="AN371" s="61">
        <v>-1</v>
      </c>
      <c r="AO371" s="66" t="str">
        <f t="shared" si="228"/>
        <v/>
      </c>
      <c r="AP371" s="66" t="str">
        <f t="shared" si="229"/>
        <v/>
      </c>
      <c r="AQ371" s="67">
        <f t="shared" si="230"/>
        <v>-146.6</v>
      </c>
      <c r="AR371" s="61">
        <v>1</v>
      </c>
      <c r="AS371" s="66">
        <f t="shared" si="231"/>
        <v>146.6</v>
      </c>
      <c r="AT371" s="66" t="str">
        <f t="shared" si="232"/>
        <v/>
      </c>
      <c r="AU371" s="67" t="str">
        <f t="shared" si="233"/>
        <v/>
      </c>
      <c r="AV371" s="61">
        <v>-1</v>
      </c>
      <c r="AW371" s="66" t="str">
        <f t="shared" si="216"/>
        <v/>
      </c>
      <c r="AX371" s="66" t="str">
        <f t="shared" si="217"/>
        <v/>
      </c>
      <c r="AY371" s="67">
        <f t="shared" si="218"/>
        <v>-146.6</v>
      </c>
      <c r="AZ371" s="61">
        <v>-1</v>
      </c>
      <c r="BA371" s="66" t="str">
        <f t="shared" si="219"/>
        <v/>
      </c>
      <c r="BB371" s="66" t="str">
        <f t="shared" si="220"/>
        <v/>
      </c>
      <c r="BC371" s="67">
        <f t="shared" si="221"/>
        <v>-146.6</v>
      </c>
    </row>
    <row r="372" spans="30:55">
      <c r="AD372" s="68" t="str">
        <v>04</v>
      </c>
      <c r="AE372" s="61">
        <v>153.9</v>
      </c>
      <c r="AF372" s="61">
        <v>-1</v>
      </c>
      <c r="AG372" s="66" t="str">
        <f t="shared" si="222"/>
        <v/>
      </c>
      <c r="AH372" s="66" t="str">
        <f t="shared" si="223"/>
        <v/>
      </c>
      <c r="AI372" s="67">
        <f t="shared" si="224"/>
        <v>-153.9</v>
      </c>
      <c r="AJ372" s="61">
        <v>-1</v>
      </c>
      <c r="AK372" s="66" t="str">
        <f t="shared" si="225"/>
        <v/>
      </c>
      <c r="AL372" s="66" t="str">
        <f t="shared" si="226"/>
        <v/>
      </c>
      <c r="AM372" s="67">
        <f t="shared" si="227"/>
        <v>-153.9</v>
      </c>
      <c r="AN372" s="61">
        <v>-1</v>
      </c>
      <c r="AO372" s="66" t="str">
        <f t="shared" si="228"/>
        <v/>
      </c>
      <c r="AP372" s="66" t="str">
        <f t="shared" si="229"/>
        <v/>
      </c>
      <c r="AQ372" s="67">
        <f t="shared" si="230"/>
        <v>-153.9</v>
      </c>
      <c r="AR372" s="61">
        <v>1</v>
      </c>
      <c r="AS372" s="66">
        <f t="shared" si="231"/>
        <v>153.9</v>
      </c>
      <c r="AT372" s="66" t="str">
        <f t="shared" si="232"/>
        <v/>
      </c>
      <c r="AU372" s="67" t="str">
        <f t="shared" si="233"/>
        <v/>
      </c>
      <c r="AV372" s="61">
        <v>0</v>
      </c>
      <c r="AW372" s="66" t="str">
        <f t="shared" si="216"/>
        <v/>
      </c>
      <c r="AX372" s="66">
        <f t="shared" si="217"/>
        <v>0</v>
      </c>
      <c r="AY372" s="67" t="str">
        <f t="shared" si="218"/>
        <v/>
      </c>
      <c r="AZ372" s="61">
        <v>-1</v>
      </c>
      <c r="BA372" s="66" t="str">
        <f t="shared" si="219"/>
        <v/>
      </c>
      <c r="BB372" s="66" t="str">
        <f t="shared" si="220"/>
        <v/>
      </c>
      <c r="BC372" s="67">
        <f t="shared" si="221"/>
        <v>-153.9</v>
      </c>
    </row>
    <row r="373" spans="30:55">
      <c r="AD373" s="68" t="str">
        <v>05</v>
      </c>
      <c r="AE373" s="61">
        <v>163.6</v>
      </c>
      <c r="AF373" s="61">
        <v>-1</v>
      </c>
      <c r="AG373" s="66" t="str">
        <f t="shared" si="222"/>
        <v/>
      </c>
      <c r="AH373" s="66" t="str">
        <f t="shared" si="223"/>
        <v/>
      </c>
      <c r="AI373" s="67">
        <f t="shared" si="224"/>
        <v>-163.6</v>
      </c>
      <c r="AJ373" s="61">
        <v>-1</v>
      </c>
      <c r="AK373" s="66" t="str">
        <f t="shared" si="225"/>
        <v/>
      </c>
      <c r="AL373" s="66" t="str">
        <f t="shared" si="226"/>
        <v/>
      </c>
      <c r="AM373" s="67">
        <f t="shared" si="227"/>
        <v>-163.6</v>
      </c>
      <c r="AN373" s="61">
        <v>-1</v>
      </c>
      <c r="AO373" s="66" t="str">
        <f t="shared" si="228"/>
        <v/>
      </c>
      <c r="AP373" s="66" t="str">
        <f t="shared" si="229"/>
        <v/>
      </c>
      <c r="AQ373" s="67">
        <f t="shared" si="230"/>
        <v>-163.6</v>
      </c>
      <c r="AR373" s="61">
        <v>1</v>
      </c>
      <c r="AS373" s="66">
        <f t="shared" si="231"/>
        <v>163.6</v>
      </c>
      <c r="AT373" s="66" t="str">
        <f t="shared" si="232"/>
        <v/>
      </c>
      <c r="AU373" s="67" t="str">
        <f t="shared" si="233"/>
        <v/>
      </c>
      <c r="AV373" s="61">
        <v>1</v>
      </c>
      <c r="AW373" s="66">
        <f t="shared" si="216"/>
        <v>163.6</v>
      </c>
      <c r="AX373" s="66" t="str">
        <f t="shared" si="217"/>
        <v/>
      </c>
      <c r="AY373" s="67" t="str">
        <f t="shared" si="218"/>
        <v/>
      </c>
      <c r="AZ373" s="61">
        <v>-1</v>
      </c>
      <c r="BA373" s="66" t="str">
        <f t="shared" si="219"/>
        <v/>
      </c>
      <c r="BB373" s="66" t="str">
        <f t="shared" si="220"/>
        <v/>
      </c>
      <c r="BC373" s="67">
        <f t="shared" si="221"/>
        <v>-163.6</v>
      </c>
    </row>
    <row r="374" spans="30:55">
      <c r="AD374" s="68" t="str">
        <v>06</v>
      </c>
      <c r="AE374" s="61">
        <v>170.70000000000002</v>
      </c>
      <c r="AF374" s="61">
        <v>1</v>
      </c>
      <c r="AG374" s="66">
        <f t="shared" si="222"/>
        <v>170.70000000000002</v>
      </c>
      <c r="AH374" s="66" t="str">
        <f t="shared" si="223"/>
        <v/>
      </c>
      <c r="AI374" s="67" t="str">
        <f t="shared" si="224"/>
        <v/>
      </c>
      <c r="AJ374" s="61">
        <v>-1</v>
      </c>
      <c r="AK374" s="66" t="str">
        <f t="shared" si="225"/>
        <v/>
      </c>
      <c r="AL374" s="66" t="str">
        <f t="shared" si="226"/>
        <v/>
      </c>
      <c r="AM374" s="67">
        <f t="shared" si="227"/>
        <v>-170.70000000000002</v>
      </c>
      <c r="AN374" s="61">
        <v>-1</v>
      </c>
      <c r="AO374" s="66" t="str">
        <f t="shared" si="228"/>
        <v/>
      </c>
      <c r="AP374" s="66" t="str">
        <f t="shared" si="229"/>
        <v/>
      </c>
      <c r="AQ374" s="67">
        <f t="shared" si="230"/>
        <v>-170.70000000000002</v>
      </c>
      <c r="AR374" s="61">
        <v>-1</v>
      </c>
      <c r="AS374" s="66" t="str">
        <f t="shared" si="231"/>
        <v/>
      </c>
      <c r="AT374" s="66" t="str">
        <f t="shared" si="232"/>
        <v/>
      </c>
      <c r="AU374" s="67">
        <f t="shared" si="233"/>
        <v>-170.70000000000002</v>
      </c>
      <c r="AV374" s="61">
        <v>1</v>
      </c>
      <c r="AW374" s="66">
        <f t="shared" si="216"/>
        <v>170.70000000000002</v>
      </c>
      <c r="AX374" s="66" t="str">
        <f t="shared" si="217"/>
        <v/>
      </c>
      <c r="AY374" s="67" t="str">
        <f t="shared" si="218"/>
        <v/>
      </c>
      <c r="AZ374" s="61">
        <v>1</v>
      </c>
      <c r="BA374" s="66">
        <f t="shared" si="219"/>
        <v>170.70000000000002</v>
      </c>
      <c r="BB374" s="66" t="str">
        <f t="shared" si="220"/>
        <v/>
      </c>
      <c r="BC374" s="67" t="str">
        <f t="shared" si="221"/>
        <v/>
      </c>
    </row>
    <row r="375" spans="30:55">
      <c r="AD375" s="68" t="str">
        <v>07</v>
      </c>
      <c r="AE375" s="61">
        <v>179.7</v>
      </c>
      <c r="AF375" s="61">
        <v>1</v>
      </c>
      <c r="AG375" s="66">
        <f t="shared" si="222"/>
        <v>179.7</v>
      </c>
      <c r="AH375" s="66" t="str">
        <f t="shared" si="223"/>
        <v/>
      </c>
      <c r="AI375" s="67" t="str">
        <f t="shared" si="224"/>
        <v/>
      </c>
      <c r="AJ375" s="61">
        <v>-1</v>
      </c>
      <c r="AK375" s="66" t="str">
        <f t="shared" si="225"/>
        <v/>
      </c>
      <c r="AL375" s="66" t="str">
        <f t="shared" si="226"/>
        <v/>
      </c>
      <c r="AM375" s="67">
        <f t="shared" si="227"/>
        <v>-179.7</v>
      </c>
      <c r="AN375" s="61">
        <v>-1</v>
      </c>
      <c r="AO375" s="66" t="str">
        <f t="shared" si="228"/>
        <v/>
      </c>
      <c r="AP375" s="66" t="str">
        <f t="shared" si="229"/>
        <v/>
      </c>
      <c r="AQ375" s="67">
        <f t="shared" si="230"/>
        <v>-179.7</v>
      </c>
      <c r="AR375" s="61">
        <v>-1</v>
      </c>
      <c r="AS375" s="66" t="str">
        <f t="shared" si="231"/>
        <v/>
      </c>
      <c r="AT375" s="66" t="str">
        <f t="shared" si="232"/>
        <v/>
      </c>
      <c r="AU375" s="67">
        <f t="shared" si="233"/>
        <v>-179.7</v>
      </c>
      <c r="AV375" s="61">
        <v>0</v>
      </c>
      <c r="AW375" s="66" t="str">
        <f t="shared" si="216"/>
        <v/>
      </c>
      <c r="AX375" s="66">
        <f t="shared" si="217"/>
        <v>0</v>
      </c>
      <c r="AY375" s="67" t="str">
        <f t="shared" si="218"/>
        <v/>
      </c>
      <c r="AZ375" s="61">
        <v>1</v>
      </c>
      <c r="BA375" s="66">
        <f t="shared" si="219"/>
        <v>179.7</v>
      </c>
      <c r="BB375" s="66" t="str">
        <f t="shared" si="220"/>
        <v/>
      </c>
      <c r="BC375" s="67" t="str">
        <f t="shared" si="221"/>
        <v/>
      </c>
    </row>
    <row r="376" spans="30:55">
      <c r="AD376" s="68" t="str">
        <v>08</v>
      </c>
      <c r="AE376" s="61">
        <v>184.3</v>
      </c>
      <c r="AF376" s="61">
        <v>1</v>
      </c>
      <c r="AG376" s="66">
        <f t="shared" si="222"/>
        <v>184.3</v>
      </c>
      <c r="AH376" s="66" t="str">
        <f t="shared" si="223"/>
        <v/>
      </c>
      <c r="AI376" s="67" t="str">
        <f t="shared" si="224"/>
        <v/>
      </c>
      <c r="AJ376" s="61">
        <v>-1</v>
      </c>
      <c r="AK376" s="66" t="str">
        <f t="shared" si="225"/>
        <v/>
      </c>
      <c r="AL376" s="66" t="str">
        <f t="shared" si="226"/>
        <v/>
      </c>
      <c r="AM376" s="67">
        <f t="shared" si="227"/>
        <v>-184.3</v>
      </c>
      <c r="AN376" s="61">
        <v>-1</v>
      </c>
      <c r="AO376" s="66" t="str">
        <f t="shared" si="228"/>
        <v/>
      </c>
      <c r="AP376" s="66" t="str">
        <f t="shared" si="229"/>
        <v/>
      </c>
      <c r="AQ376" s="67">
        <f t="shared" si="230"/>
        <v>-184.3</v>
      </c>
      <c r="AR376" s="61">
        <v>-1</v>
      </c>
      <c r="AS376" s="66" t="str">
        <f t="shared" si="231"/>
        <v/>
      </c>
      <c r="AT376" s="66" t="str">
        <f t="shared" si="232"/>
        <v/>
      </c>
      <c r="AU376" s="67">
        <f t="shared" si="233"/>
        <v>-184.3</v>
      </c>
      <c r="AV376" s="61">
        <v>-1</v>
      </c>
      <c r="AW376" s="66" t="str">
        <f t="shared" si="216"/>
        <v/>
      </c>
      <c r="AX376" s="66" t="str">
        <f t="shared" si="217"/>
        <v/>
      </c>
      <c r="AY376" s="67">
        <f t="shared" si="218"/>
        <v>-184.3</v>
      </c>
      <c r="AZ376" s="61">
        <v>1</v>
      </c>
      <c r="BA376" s="66">
        <f t="shared" si="219"/>
        <v>184.3</v>
      </c>
      <c r="BB376" s="66" t="str">
        <f t="shared" si="220"/>
        <v/>
      </c>
      <c r="BC376" s="67" t="str">
        <f t="shared" si="221"/>
        <v/>
      </c>
    </row>
    <row r="377" spans="30:55">
      <c r="AD377" s="68" t="str">
        <v>09</v>
      </c>
      <c r="AE377" s="61">
        <v>187.4</v>
      </c>
      <c r="AF377" s="61">
        <v>1</v>
      </c>
      <c r="AG377" s="66">
        <f t="shared" si="222"/>
        <v>187.4</v>
      </c>
      <c r="AH377" s="66" t="str">
        <f t="shared" si="223"/>
        <v/>
      </c>
      <c r="AI377" s="67" t="str">
        <f t="shared" si="224"/>
        <v/>
      </c>
      <c r="AJ377" s="61">
        <v>-1</v>
      </c>
      <c r="AK377" s="66" t="str">
        <f t="shared" si="225"/>
        <v/>
      </c>
      <c r="AL377" s="66" t="str">
        <f t="shared" si="226"/>
        <v/>
      </c>
      <c r="AM377" s="67">
        <f t="shared" si="227"/>
        <v>-187.4</v>
      </c>
      <c r="AN377" s="61">
        <v>1</v>
      </c>
      <c r="AO377" s="66">
        <f t="shared" si="228"/>
        <v>187.4</v>
      </c>
      <c r="AP377" s="66" t="str">
        <f t="shared" si="229"/>
        <v/>
      </c>
      <c r="AQ377" s="67" t="str">
        <f t="shared" si="230"/>
        <v/>
      </c>
      <c r="AR377" s="61">
        <v>-1</v>
      </c>
      <c r="AS377" s="66" t="str">
        <f t="shared" si="231"/>
        <v/>
      </c>
      <c r="AT377" s="66" t="str">
        <f t="shared" si="232"/>
        <v/>
      </c>
      <c r="AU377" s="67">
        <f t="shared" si="233"/>
        <v>-187.4</v>
      </c>
      <c r="AV377" s="61">
        <v>-1</v>
      </c>
      <c r="AW377" s="66" t="str">
        <f t="shared" si="216"/>
        <v/>
      </c>
      <c r="AX377" s="66" t="str">
        <f t="shared" si="217"/>
        <v/>
      </c>
      <c r="AY377" s="67">
        <f t="shared" si="218"/>
        <v>-187.4</v>
      </c>
      <c r="AZ377" s="61">
        <v>-1</v>
      </c>
      <c r="BA377" s="66" t="str">
        <f t="shared" si="219"/>
        <v/>
      </c>
      <c r="BB377" s="66" t="str">
        <f t="shared" si="220"/>
        <v/>
      </c>
      <c r="BC377" s="67">
        <f t="shared" si="221"/>
        <v>-187.4</v>
      </c>
    </row>
    <row r="378" spans="30:55">
      <c r="AD378" s="68" t="str">
        <v>10</v>
      </c>
      <c r="AE378" s="61">
        <v>189.9</v>
      </c>
      <c r="AF378" s="61">
        <v>1</v>
      </c>
      <c r="AG378" s="66">
        <f t="shared" si="222"/>
        <v>189.9</v>
      </c>
      <c r="AH378" s="66" t="str">
        <f t="shared" si="223"/>
        <v/>
      </c>
      <c r="AI378" s="67" t="str">
        <f t="shared" si="224"/>
        <v/>
      </c>
      <c r="AJ378" s="61">
        <v>-1</v>
      </c>
      <c r="AK378" s="66" t="str">
        <f t="shared" si="225"/>
        <v/>
      </c>
      <c r="AL378" s="66" t="str">
        <f t="shared" si="226"/>
        <v/>
      </c>
      <c r="AM378" s="67">
        <f t="shared" si="227"/>
        <v>-189.9</v>
      </c>
      <c r="AN378" s="61">
        <v>1</v>
      </c>
      <c r="AO378" s="66">
        <f t="shared" si="228"/>
        <v>189.9</v>
      </c>
      <c r="AP378" s="66" t="str">
        <f t="shared" si="229"/>
        <v/>
      </c>
      <c r="AQ378" s="67" t="str">
        <f t="shared" si="230"/>
        <v/>
      </c>
      <c r="AR378" s="61">
        <v>-1</v>
      </c>
      <c r="AS378" s="66" t="str">
        <f t="shared" si="231"/>
        <v/>
      </c>
      <c r="AT378" s="66" t="str">
        <f t="shared" si="232"/>
        <v/>
      </c>
      <c r="AU378" s="67">
        <f t="shared" si="233"/>
        <v>-189.9</v>
      </c>
      <c r="AV378" s="61">
        <v>0</v>
      </c>
      <c r="AW378" s="66" t="str">
        <f t="shared" si="216"/>
        <v/>
      </c>
      <c r="AX378" s="66">
        <f t="shared" si="217"/>
        <v>0</v>
      </c>
      <c r="AY378" s="67" t="str">
        <f t="shared" si="218"/>
        <v/>
      </c>
      <c r="AZ378" s="61">
        <v>-1</v>
      </c>
      <c r="BA378" s="66" t="str">
        <f t="shared" si="219"/>
        <v/>
      </c>
      <c r="BB378" s="66" t="str">
        <f t="shared" si="220"/>
        <v/>
      </c>
      <c r="BC378" s="67">
        <f t="shared" si="221"/>
        <v>-189.9</v>
      </c>
    </row>
    <row r="379" spans="30:55">
      <c r="AD379" s="68" t="str">
        <v>11</v>
      </c>
      <c r="AE379" s="61">
        <v>192.4</v>
      </c>
      <c r="AF379" s="61">
        <v>1</v>
      </c>
      <c r="AG379" s="66">
        <f t="shared" si="222"/>
        <v>192.4</v>
      </c>
      <c r="AH379" s="66" t="str">
        <f t="shared" si="223"/>
        <v/>
      </c>
      <c r="AI379" s="67" t="str">
        <f t="shared" si="224"/>
        <v/>
      </c>
      <c r="AJ379" s="61">
        <v>-1</v>
      </c>
      <c r="AK379" s="66" t="str">
        <f t="shared" si="225"/>
        <v/>
      </c>
      <c r="AL379" s="66" t="str">
        <f t="shared" si="226"/>
        <v/>
      </c>
      <c r="AM379" s="67">
        <f t="shared" si="227"/>
        <v>-192.4</v>
      </c>
      <c r="AN379" s="61">
        <v>1</v>
      </c>
      <c r="AO379" s="66">
        <f t="shared" si="228"/>
        <v>192.4</v>
      </c>
      <c r="AP379" s="66" t="str">
        <f t="shared" si="229"/>
        <v/>
      </c>
      <c r="AQ379" s="67" t="str">
        <f t="shared" si="230"/>
        <v/>
      </c>
      <c r="AR379" s="61">
        <v>-1</v>
      </c>
      <c r="AS379" s="66" t="str">
        <f t="shared" si="231"/>
        <v/>
      </c>
      <c r="AT379" s="66" t="str">
        <f t="shared" si="232"/>
        <v/>
      </c>
      <c r="AU379" s="67">
        <f t="shared" si="233"/>
        <v>-192.4</v>
      </c>
      <c r="AV379" s="61">
        <v>1</v>
      </c>
      <c r="AW379" s="66">
        <f t="shared" si="216"/>
        <v>192.4</v>
      </c>
      <c r="AX379" s="66" t="str">
        <f t="shared" si="217"/>
        <v/>
      </c>
      <c r="AY379" s="67" t="str">
        <f t="shared" si="218"/>
        <v/>
      </c>
      <c r="AZ379" s="61">
        <v>-1</v>
      </c>
      <c r="BA379" s="66" t="str">
        <f t="shared" si="219"/>
        <v/>
      </c>
      <c r="BB379" s="66" t="str">
        <f t="shared" si="220"/>
        <v/>
      </c>
      <c r="BC379" s="67">
        <f t="shared" si="221"/>
        <v>-192.4</v>
      </c>
    </row>
    <row r="380" spans="30:55">
      <c r="AD380" s="68" t="str">
        <v>12</v>
      </c>
      <c r="AE380" s="61">
        <v>189.39999999999998</v>
      </c>
      <c r="AF380" s="61">
        <v>1</v>
      </c>
      <c r="AG380" s="66">
        <f t="shared" si="222"/>
        <v>189.39999999999998</v>
      </c>
      <c r="AH380" s="66" t="str">
        <f t="shared" si="223"/>
        <v/>
      </c>
      <c r="AI380" s="67" t="str">
        <f t="shared" si="224"/>
        <v/>
      </c>
      <c r="AJ380" s="61">
        <v>1</v>
      </c>
      <c r="AK380" s="66">
        <f t="shared" si="225"/>
        <v>189.39999999999998</v>
      </c>
      <c r="AL380" s="66" t="str">
        <f t="shared" si="226"/>
        <v/>
      </c>
      <c r="AM380" s="67" t="str">
        <f t="shared" si="227"/>
        <v/>
      </c>
      <c r="AN380" s="61">
        <v>1</v>
      </c>
      <c r="AO380" s="66">
        <f t="shared" si="228"/>
        <v>189.39999999999998</v>
      </c>
      <c r="AP380" s="66" t="str">
        <f t="shared" si="229"/>
        <v/>
      </c>
      <c r="AQ380" s="67" t="str">
        <f t="shared" si="230"/>
        <v/>
      </c>
      <c r="AR380" s="61">
        <v>1</v>
      </c>
      <c r="AS380" s="66">
        <f t="shared" si="231"/>
        <v>189.39999999999998</v>
      </c>
      <c r="AT380" s="66" t="str">
        <f t="shared" si="232"/>
        <v/>
      </c>
      <c r="AU380" s="67" t="str">
        <f t="shared" si="233"/>
        <v/>
      </c>
      <c r="AV380" s="61">
        <v>1</v>
      </c>
      <c r="AW380" s="66">
        <f t="shared" si="216"/>
        <v>189.39999999999998</v>
      </c>
      <c r="AX380" s="66" t="str">
        <f t="shared" si="217"/>
        <v/>
      </c>
      <c r="AY380" s="67" t="str">
        <f t="shared" si="218"/>
        <v/>
      </c>
      <c r="AZ380" s="61">
        <v>1</v>
      </c>
      <c r="BA380" s="66">
        <f t="shared" si="219"/>
        <v>189.39999999999998</v>
      </c>
      <c r="BB380" s="66" t="str">
        <f t="shared" si="220"/>
        <v/>
      </c>
      <c r="BC380" s="67" t="str">
        <f t="shared" si="221"/>
        <v/>
      </c>
    </row>
    <row r="381" spans="30:55">
      <c r="AD381" s="68" t="str">
        <v>13</v>
      </c>
      <c r="AE381" s="61">
        <v>183.5</v>
      </c>
      <c r="AF381" s="61">
        <v>1</v>
      </c>
      <c r="AG381" s="66">
        <f t="shared" si="222"/>
        <v>183.5</v>
      </c>
      <c r="AH381" s="66" t="str">
        <f t="shared" si="223"/>
        <v/>
      </c>
      <c r="AI381" s="67" t="str">
        <f t="shared" si="224"/>
        <v/>
      </c>
      <c r="AJ381" s="61">
        <v>1</v>
      </c>
      <c r="AK381" s="66">
        <f t="shared" si="225"/>
        <v>183.5</v>
      </c>
      <c r="AL381" s="66" t="str">
        <f t="shared" si="226"/>
        <v/>
      </c>
      <c r="AM381" s="67" t="str">
        <f t="shared" si="227"/>
        <v/>
      </c>
      <c r="AN381" s="61">
        <v>1</v>
      </c>
      <c r="AO381" s="66">
        <f t="shared" si="228"/>
        <v>183.5</v>
      </c>
      <c r="AP381" s="66" t="str">
        <f t="shared" si="229"/>
        <v/>
      </c>
      <c r="AQ381" s="67" t="str">
        <f t="shared" si="230"/>
        <v/>
      </c>
      <c r="AR381" s="61">
        <v>1</v>
      </c>
      <c r="AS381" s="66">
        <f t="shared" si="231"/>
        <v>183.5</v>
      </c>
      <c r="AT381" s="66" t="str">
        <f t="shared" si="232"/>
        <v/>
      </c>
      <c r="AU381" s="67" t="str">
        <f t="shared" si="233"/>
        <v/>
      </c>
      <c r="AV381" s="61">
        <v>0</v>
      </c>
      <c r="AW381" s="66" t="str">
        <f t="shared" si="216"/>
        <v/>
      </c>
      <c r="AX381" s="66">
        <f t="shared" si="217"/>
        <v>0</v>
      </c>
      <c r="AY381" s="67" t="str">
        <f t="shared" si="218"/>
        <v/>
      </c>
      <c r="AZ381" s="61">
        <v>1</v>
      </c>
      <c r="BA381" s="66">
        <f t="shared" si="219"/>
        <v>183.5</v>
      </c>
      <c r="BB381" s="66" t="str">
        <f t="shared" si="220"/>
        <v/>
      </c>
      <c r="BC381" s="67" t="str">
        <f t="shared" si="221"/>
        <v/>
      </c>
    </row>
    <row r="382" spans="30:55">
      <c r="AD382" s="68" t="str">
        <v>14</v>
      </c>
      <c r="AE382" s="61">
        <v>178.9</v>
      </c>
      <c r="AF382" s="61">
        <v>1</v>
      </c>
      <c r="AG382" s="66">
        <f t="shared" si="222"/>
        <v>178.9</v>
      </c>
      <c r="AH382" s="66" t="str">
        <f t="shared" si="223"/>
        <v/>
      </c>
      <c r="AI382" s="67" t="str">
        <f t="shared" si="224"/>
        <v/>
      </c>
      <c r="AJ382" s="61">
        <v>1</v>
      </c>
      <c r="AK382" s="66">
        <f t="shared" si="225"/>
        <v>178.9</v>
      </c>
      <c r="AL382" s="66" t="str">
        <f t="shared" si="226"/>
        <v/>
      </c>
      <c r="AM382" s="67" t="str">
        <f t="shared" si="227"/>
        <v/>
      </c>
      <c r="AN382" s="61">
        <v>1</v>
      </c>
      <c r="AO382" s="66">
        <f t="shared" si="228"/>
        <v>178.9</v>
      </c>
      <c r="AP382" s="66" t="str">
        <f t="shared" si="229"/>
        <v/>
      </c>
      <c r="AQ382" s="67" t="str">
        <f t="shared" si="230"/>
        <v/>
      </c>
      <c r="AR382" s="61">
        <v>1</v>
      </c>
      <c r="AS382" s="66">
        <f t="shared" si="231"/>
        <v>178.9</v>
      </c>
      <c r="AT382" s="66" t="str">
        <f t="shared" si="232"/>
        <v/>
      </c>
      <c r="AU382" s="67" t="str">
        <f t="shared" si="233"/>
        <v/>
      </c>
      <c r="AV382" s="61">
        <v>-1</v>
      </c>
      <c r="AW382" s="66" t="str">
        <f t="shared" si="216"/>
        <v/>
      </c>
      <c r="AX382" s="66" t="str">
        <f t="shared" si="217"/>
        <v/>
      </c>
      <c r="AY382" s="67">
        <f t="shared" si="218"/>
        <v>-178.9</v>
      </c>
      <c r="AZ382" s="61">
        <v>1</v>
      </c>
      <c r="BA382" s="66">
        <f t="shared" si="219"/>
        <v>178.9</v>
      </c>
      <c r="BB382" s="66" t="str">
        <f t="shared" si="220"/>
        <v/>
      </c>
      <c r="BC382" s="67" t="str">
        <f t="shared" si="221"/>
        <v/>
      </c>
    </row>
    <row r="383" spans="30:55">
      <c r="AD383" s="68" t="str">
        <v>15</v>
      </c>
      <c r="AE383" s="61">
        <v>167.4</v>
      </c>
      <c r="AF383" s="61">
        <v>1</v>
      </c>
      <c r="AG383" s="66">
        <f t="shared" si="222"/>
        <v>167.4</v>
      </c>
      <c r="AH383" s="66" t="str">
        <f t="shared" si="223"/>
        <v/>
      </c>
      <c r="AI383" s="67" t="str">
        <f t="shared" si="224"/>
        <v/>
      </c>
      <c r="AJ383" s="61">
        <v>1</v>
      </c>
      <c r="AK383" s="66">
        <f t="shared" si="225"/>
        <v>167.4</v>
      </c>
      <c r="AL383" s="66" t="str">
        <f t="shared" si="226"/>
        <v/>
      </c>
      <c r="AM383" s="67" t="str">
        <f t="shared" si="227"/>
        <v/>
      </c>
      <c r="AN383" s="61">
        <v>-1</v>
      </c>
      <c r="AO383" s="66" t="str">
        <f t="shared" si="228"/>
        <v/>
      </c>
      <c r="AP383" s="66" t="str">
        <f t="shared" si="229"/>
        <v/>
      </c>
      <c r="AQ383" s="67">
        <f t="shared" si="230"/>
        <v>-167.4</v>
      </c>
      <c r="AR383" s="61">
        <v>1</v>
      </c>
      <c r="AS383" s="66">
        <f t="shared" si="231"/>
        <v>167.4</v>
      </c>
      <c r="AT383" s="66" t="str">
        <f t="shared" si="232"/>
        <v/>
      </c>
      <c r="AU383" s="67" t="str">
        <f t="shared" si="233"/>
        <v/>
      </c>
      <c r="AV383" s="61">
        <v>-1</v>
      </c>
      <c r="AW383" s="66" t="str">
        <f t="shared" si="216"/>
        <v/>
      </c>
      <c r="AX383" s="66" t="str">
        <f t="shared" si="217"/>
        <v/>
      </c>
      <c r="AY383" s="67">
        <f t="shared" si="218"/>
        <v>-167.4</v>
      </c>
      <c r="AZ383" s="61">
        <v>-1</v>
      </c>
      <c r="BA383" s="66" t="str">
        <f t="shared" si="219"/>
        <v/>
      </c>
      <c r="BB383" s="66" t="str">
        <f t="shared" si="220"/>
        <v/>
      </c>
      <c r="BC383" s="67">
        <f t="shared" si="221"/>
        <v>-167.4</v>
      </c>
    </row>
    <row r="384" spans="30:55">
      <c r="AD384" s="68" t="str">
        <v>16</v>
      </c>
      <c r="AE384" s="61">
        <v>157.6</v>
      </c>
      <c r="AF384" s="61">
        <v>1</v>
      </c>
      <c r="AG384" s="66">
        <f t="shared" si="222"/>
        <v>157.6</v>
      </c>
      <c r="AH384" s="66" t="str">
        <f t="shared" si="223"/>
        <v/>
      </c>
      <c r="AI384" s="67" t="str">
        <f t="shared" si="224"/>
        <v/>
      </c>
      <c r="AJ384" s="61">
        <v>1</v>
      </c>
      <c r="AK384" s="66">
        <f t="shared" si="225"/>
        <v>157.6</v>
      </c>
      <c r="AL384" s="66" t="str">
        <f t="shared" si="226"/>
        <v/>
      </c>
      <c r="AM384" s="67" t="str">
        <f t="shared" si="227"/>
        <v/>
      </c>
      <c r="AN384" s="61">
        <v>-1</v>
      </c>
      <c r="AO384" s="66" t="str">
        <f t="shared" si="228"/>
        <v/>
      </c>
      <c r="AP384" s="66" t="str">
        <f t="shared" si="229"/>
        <v/>
      </c>
      <c r="AQ384" s="67">
        <f t="shared" si="230"/>
        <v>-157.6</v>
      </c>
      <c r="AR384" s="61">
        <v>1</v>
      </c>
      <c r="AS384" s="66">
        <f t="shared" si="231"/>
        <v>157.6</v>
      </c>
      <c r="AT384" s="66" t="str">
        <f t="shared" si="232"/>
        <v/>
      </c>
      <c r="AU384" s="67" t="str">
        <f t="shared" si="233"/>
        <v/>
      </c>
      <c r="AV384" s="61">
        <v>0</v>
      </c>
      <c r="AW384" s="66" t="str">
        <f t="shared" si="216"/>
        <v/>
      </c>
      <c r="AX384" s="66">
        <f t="shared" si="217"/>
        <v>0</v>
      </c>
      <c r="AY384" s="67" t="str">
        <f t="shared" si="218"/>
        <v/>
      </c>
      <c r="AZ384" s="61">
        <v>-1</v>
      </c>
      <c r="BA384" s="66" t="str">
        <f t="shared" si="219"/>
        <v/>
      </c>
      <c r="BB384" s="66" t="str">
        <f t="shared" si="220"/>
        <v/>
      </c>
      <c r="BC384" s="67">
        <f t="shared" si="221"/>
        <v>-157.6</v>
      </c>
    </row>
    <row r="385" spans="29:55">
      <c r="AD385" s="68" t="str">
        <v>17</v>
      </c>
      <c r="AE385" s="61">
        <v>150.89999999999998</v>
      </c>
      <c r="AF385" s="61">
        <v>1</v>
      </c>
      <c r="AG385" s="66">
        <f t="shared" si="222"/>
        <v>150.89999999999998</v>
      </c>
      <c r="AH385" s="66" t="str">
        <f t="shared" si="223"/>
        <v/>
      </c>
      <c r="AI385" s="67" t="str">
        <f t="shared" si="224"/>
        <v/>
      </c>
      <c r="AJ385" s="61">
        <v>1</v>
      </c>
      <c r="AK385" s="66">
        <f t="shared" si="225"/>
        <v>150.89999999999998</v>
      </c>
      <c r="AL385" s="66" t="str">
        <f t="shared" si="226"/>
        <v/>
      </c>
      <c r="AM385" s="67" t="str">
        <f t="shared" si="227"/>
        <v/>
      </c>
      <c r="AN385" s="61">
        <v>-1</v>
      </c>
      <c r="AO385" s="66" t="str">
        <f t="shared" si="228"/>
        <v/>
      </c>
      <c r="AP385" s="66" t="str">
        <f t="shared" si="229"/>
        <v/>
      </c>
      <c r="AQ385" s="67">
        <f t="shared" si="230"/>
        <v>-150.89999999999998</v>
      </c>
      <c r="AR385" s="61">
        <v>1</v>
      </c>
      <c r="AS385" s="66">
        <f t="shared" si="231"/>
        <v>150.89999999999998</v>
      </c>
      <c r="AT385" s="66" t="str">
        <f t="shared" si="232"/>
        <v/>
      </c>
      <c r="AU385" s="67" t="str">
        <f t="shared" si="233"/>
        <v/>
      </c>
      <c r="AV385" s="61">
        <v>1</v>
      </c>
      <c r="AW385" s="66">
        <f t="shared" si="216"/>
        <v>150.89999999999998</v>
      </c>
      <c r="AX385" s="66" t="str">
        <f t="shared" si="217"/>
        <v/>
      </c>
      <c r="AY385" s="67" t="str">
        <f t="shared" si="218"/>
        <v/>
      </c>
      <c r="AZ385" s="61">
        <v>-1</v>
      </c>
      <c r="BA385" s="66" t="str">
        <f t="shared" si="219"/>
        <v/>
      </c>
      <c r="BB385" s="66" t="str">
        <f t="shared" si="220"/>
        <v/>
      </c>
      <c r="BC385" s="67">
        <f t="shared" si="221"/>
        <v>-150.89999999999998</v>
      </c>
    </row>
    <row r="386" spans="29:55">
      <c r="AD386" s="68" t="str">
        <v>18</v>
      </c>
      <c r="AE386" s="61">
        <v>146.80000000000001</v>
      </c>
      <c r="AF386" s="61">
        <v>-1</v>
      </c>
      <c r="AG386" s="66" t="str">
        <f t="shared" si="222"/>
        <v/>
      </c>
      <c r="AH386" s="66" t="str">
        <f t="shared" si="223"/>
        <v/>
      </c>
      <c r="AI386" s="67">
        <f t="shared" si="224"/>
        <v>-146.80000000000001</v>
      </c>
      <c r="AJ386" s="61">
        <v>1</v>
      </c>
      <c r="AK386" s="66">
        <f t="shared" si="225"/>
        <v>146.80000000000001</v>
      </c>
      <c r="AL386" s="66" t="str">
        <f t="shared" si="226"/>
        <v/>
      </c>
      <c r="AM386" s="67" t="str">
        <f t="shared" si="227"/>
        <v/>
      </c>
      <c r="AN386" s="61">
        <v>-1</v>
      </c>
      <c r="AO386" s="66" t="str">
        <f t="shared" si="228"/>
        <v/>
      </c>
      <c r="AP386" s="66" t="str">
        <f t="shared" si="229"/>
        <v/>
      </c>
      <c r="AQ386" s="67">
        <f t="shared" si="230"/>
        <v>-146.80000000000001</v>
      </c>
      <c r="AR386" s="61">
        <v>-1</v>
      </c>
      <c r="AS386" s="66" t="str">
        <f t="shared" si="231"/>
        <v/>
      </c>
      <c r="AT386" s="66" t="str">
        <f t="shared" si="232"/>
        <v/>
      </c>
      <c r="AU386" s="67">
        <f t="shared" si="233"/>
        <v>-146.80000000000001</v>
      </c>
      <c r="AV386" s="61">
        <v>1</v>
      </c>
      <c r="AW386" s="66">
        <f t="shared" si="216"/>
        <v>146.80000000000001</v>
      </c>
      <c r="AX386" s="66" t="str">
        <f t="shared" si="217"/>
        <v/>
      </c>
      <c r="AY386" s="67" t="str">
        <f t="shared" si="218"/>
        <v/>
      </c>
      <c r="AZ386" s="61">
        <v>1</v>
      </c>
      <c r="BA386" s="66">
        <f t="shared" si="219"/>
        <v>146.80000000000001</v>
      </c>
      <c r="BB386" s="66" t="str">
        <f t="shared" si="220"/>
        <v/>
      </c>
      <c r="BC386" s="67" t="str">
        <f t="shared" si="221"/>
        <v/>
      </c>
    </row>
    <row r="387" spans="29:55">
      <c r="AD387" s="68" t="str">
        <v>19</v>
      </c>
      <c r="AE387" s="61">
        <v>148.4</v>
      </c>
      <c r="AF387" s="61">
        <v>-1</v>
      </c>
      <c r="AG387" s="66" t="str">
        <f t="shared" si="222"/>
        <v/>
      </c>
      <c r="AH387" s="66" t="str">
        <f t="shared" si="223"/>
        <v/>
      </c>
      <c r="AI387" s="67">
        <f t="shared" si="224"/>
        <v>-148.4</v>
      </c>
      <c r="AJ387" s="61">
        <v>1</v>
      </c>
      <c r="AK387" s="66">
        <f t="shared" si="225"/>
        <v>148.4</v>
      </c>
      <c r="AL387" s="66" t="str">
        <f t="shared" si="226"/>
        <v/>
      </c>
      <c r="AM387" s="67" t="str">
        <f t="shared" si="227"/>
        <v/>
      </c>
      <c r="AN387" s="61">
        <v>-1</v>
      </c>
      <c r="AO387" s="66" t="str">
        <f t="shared" si="228"/>
        <v/>
      </c>
      <c r="AP387" s="66" t="str">
        <f t="shared" si="229"/>
        <v/>
      </c>
      <c r="AQ387" s="67">
        <f t="shared" si="230"/>
        <v>-148.4</v>
      </c>
      <c r="AR387" s="61">
        <v>-1</v>
      </c>
      <c r="AS387" s="66" t="str">
        <f t="shared" si="231"/>
        <v/>
      </c>
      <c r="AT387" s="66" t="str">
        <f t="shared" si="232"/>
        <v/>
      </c>
      <c r="AU387" s="67">
        <f t="shared" si="233"/>
        <v>-148.4</v>
      </c>
      <c r="AV387" s="61">
        <v>0</v>
      </c>
      <c r="AW387" s="66" t="str">
        <f t="shared" si="216"/>
        <v/>
      </c>
      <c r="AX387" s="66">
        <f t="shared" si="217"/>
        <v>0</v>
      </c>
      <c r="AY387" s="67" t="str">
        <f t="shared" si="218"/>
        <v/>
      </c>
      <c r="AZ387" s="61">
        <v>1</v>
      </c>
      <c r="BA387" s="66">
        <f t="shared" si="219"/>
        <v>148.4</v>
      </c>
      <c r="BB387" s="66" t="str">
        <f t="shared" si="220"/>
        <v/>
      </c>
      <c r="BC387" s="67" t="str">
        <f t="shared" si="221"/>
        <v/>
      </c>
    </row>
    <row r="388" spans="29:55">
      <c r="AD388" s="68" t="str">
        <v>20</v>
      </c>
      <c r="AE388" s="61">
        <v>152.69999999999999</v>
      </c>
      <c r="AF388" s="61">
        <v>-1</v>
      </c>
      <c r="AG388" s="66" t="str">
        <f t="shared" si="222"/>
        <v/>
      </c>
      <c r="AH388" s="66" t="str">
        <f t="shared" si="223"/>
        <v/>
      </c>
      <c r="AI388" s="67">
        <f t="shared" si="224"/>
        <v>-152.69999999999999</v>
      </c>
      <c r="AJ388" s="61">
        <v>1</v>
      </c>
      <c r="AK388" s="66">
        <f t="shared" si="225"/>
        <v>152.69999999999999</v>
      </c>
      <c r="AL388" s="66" t="str">
        <f t="shared" si="226"/>
        <v/>
      </c>
      <c r="AM388" s="67" t="str">
        <f t="shared" si="227"/>
        <v/>
      </c>
      <c r="AN388" s="61">
        <v>-1</v>
      </c>
      <c r="AO388" s="66" t="str">
        <f t="shared" si="228"/>
        <v/>
      </c>
      <c r="AP388" s="66" t="str">
        <f t="shared" si="229"/>
        <v/>
      </c>
      <c r="AQ388" s="67">
        <f t="shared" si="230"/>
        <v>-152.69999999999999</v>
      </c>
      <c r="AR388" s="61">
        <v>-1</v>
      </c>
      <c r="AS388" s="66" t="str">
        <f t="shared" si="231"/>
        <v/>
      </c>
      <c r="AT388" s="66" t="str">
        <f t="shared" si="232"/>
        <v/>
      </c>
      <c r="AU388" s="67">
        <f t="shared" si="233"/>
        <v>-152.69999999999999</v>
      </c>
      <c r="AV388" s="61">
        <v>-1</v>
      </c>
      <c r="AW388" s="66" t="str">
        <f t="shared" si="216"/>
        <v/>
      </c>
      <c r="AX388" s="66" t="str">
        <f t="shared" si="217"/>
        <v/>
      </c>
      <c r="AY388" s="67">
        <f t="shared" si="218"/>
        <v>-152.69999999999999</v>
      </c>
      <c r="AZ388" s="61">
        <v>1</v>
      </c>
      <c r="BA388" s="66">
        <f t="shared" si="219"/>
        <v>152.69999999999999</v>
      </c>
      <c r="BB388" s="66" t="str">
        <f t="shared" si="220"/>
        <v/>
      </c>
      <c r="BC388" s="67" t="str">
        <f t="shared" si="221"/>
        <v/>
      </c>
    </row>
    <row r="389" spans="29:55">
      <c r="AD389" s="68" t="str">
        <v>21</v>
      </c>
      <c r="AE389" s="61">
        <v>154.4</v>
      </c>
      <c r="AF389" s="61">
        <v>-1</v>
      </c>
      <c r="AG389" s="66" t="str">
        <f t="shared" si="222"/>
        <v/>
      </c>
      <c r="AH389" s="66" t="str">
        <f t="shared" si="223"/>
        <v/>
      </c>
      <c r="AI389" s="67">
        <f t="shared" si="224"/>
        <v>-154.4</v>
      </c>
      <c r="AJ389" s="61">
        <v>1</v>
      </c>
      <c r="AK389" s="66">
        <f t="shared" si="225"/>
        <v>154.4</v>
      </c>
      <c r="AL389" s="66" t="str">
        <f t="shared" si="226"/>
        <v/>
      </c>
      <c r="AM389" s="67" t="str">
        <f t="shared" si="227"/>
        <v/>
      </c>
      <c r="AN389" s="61">
        <v>1</v>
      </c>
      <c r="AO389" s="66">
        <f t="shared" si="228"/>
        <v>154.4</v>
      </c>
      <c r="AP389" s="66" t="str">
        <f t="shared" si="229"/>
        <v/>
      </c>
      <c r="AQ389" s="67" t="str">
        <f t="shared" si="230"/>
        <v/>
      </c>
      <c r="AR389" s="61">
        <v>-1</v>
      </c>
      <c r="AS389" s="66" t="str">
        <f t="shared" si="231"/>
        <v/>
      </c>
      <c r="AT389" s="66" t="str">
        <f t="shared" si="232"/>
        <v/>
      </c>
      <c r="AU389" s="67">
        <f t="shared" si="233"/>
        <v>-154.4</v>
      </c>
      <c r="AV389" s="61">
        <v>-1</v>
      </c>
      <c r="AW389" s="66" t="str">
        <f t="shared" si="216"/>
        <v/>
      </c>
      <c r="AX389" s="66" t="str">
        <f t="shared" si="217"/>
        <v/>
      </c>
      <c r="AY389" s="67">
        <f t="shared" si="218"/>
        <v>-154.4</v>
      </c>
      <c r="AZ389" s="61">
        <v>-1</v>
      </c>
      <c r="BA389" s="66" t="str">
        <f t="shared" si="219"/>
        <v/>
      </c>
      <c r="BB389" s="66" t="str">
        <f t="shared" si="220"/>
        <v/>
      </c>
      <c r="BC389" s="67">
        <f t="shared" si="221"/>
        <v>-154.4</v>
      </c>
    </row>
    <row r="390" spans="29:55">
      <c r="AD390" s="68" t="str">
        <v>22</v>
      </c>
      <c r="AE390" s="61">
        <v>158.4</v>
      </c>
      <c r="AF390" s="61">
        <v>-1</v>
      </c>
      <c r="AG390" s="66" t="str">
        <f t="shared" si="222"/>
        <v/>
      </c>
      <c r="AH390" s="66" t="str">
        <f t="shared" si="223"/>
        <v/>
      </c>
      <c r="AI390" s="67">
        <f t="shared" si="224"/>
        <v>-158.4</v>
      </c>
      <c r="AJ390" s="61">
        <v>1</v>
      </c>
      <c r="AK390" s="66">
        <f t="shared" si="225"/>
        <v>158.4</v>
      </c>
      <c r="AL390" s="66" t="str">
        <f t="shared" si="226"/>
        <v/>
      </c>
      <c r="AM390" s="67" t="str">
        <f t="shared" si="227"/>
        <v/>
      </c>
      <c r="AN390" s="61">
        <v>1</v>
      </c>
      <c r="AO390" s="66">
        <f t="shared" si="228"/>
        <v>158.4</v>
      </c>
      <c r="AP390" s="66" t="str">
        <f t="shared" si="229"/>
        <v/>
      </c>
      <c r="AQ390" s="67" t="str">
        <f t="shared" si="230"/>
        <v/>
      </c>
      <c r="AR390" s="61">
        <v>-1</v>
      </c>
      <c r="AS390" s="66" t="str">
        <f t="shared" si="231"/>
        <v/>
      </c>
      <c r="AT390" s="66" t="str">
        <f t="shared" si="232"/>
        <v/>
      </c>
      <c r="AU390" s="67">
        <f t="shared" si="233"/>
        <v>-158.4</v>
      </c>
      <c r="AV390" s="61">
        <v>0</v>
      </c>
      <c r="AW390" s="66" t="str">
        <f t="shared" si="216"/>
        <v/>
      </c>
      <c r="AX390" s="66">
        <f t="shared" si="217"/>
        <v>0</v>
      </c>
      <c r="AY390" s="67" t="str">
        <f t="shared" si="218"/>
        <v/>
      </c>
      <c r="AZ390" s="61">
        <v>-1</v>
      </c>
      <c r="BA390" s="66" t="str">
        <f t="shared" si="219"/>
        <v/>
      </c>
      <c r="BB390" s="66" t="str">
        <f t="shared" si="220"/>
        <v/>
      </c>
      <c r="BC390" s="67">
        <f t="shared" si="221"/>
        <v>-158.4</v>
      </c>
    </row>
    <row r="391" spans="29:55">
      <c r="AD391" s="68" t="str">
        <v>23</v>
      </c>
      <c r="AE391" s="61">
        <v>156.9</v>
      </c>
      <c r="AF391" s="61">
        <v>-1</v>
      </c>
      <c r="AG391" s="66" t="str">
        <f t="shared" si="222"/>
        <v/>
      </c>
      <c r="AH391" s="66" t="str">
        <f t="shared" si="223"/>
        <v/>
      </c>
      <c r="AI391" s="67">
        <f t="shared" si="224"/>
        <v>-156.9</v>
      </c>
      <c r="AJ391" s="61">
        <v>1</v>
      </c>
      <c r="AK391" s="66">
        <f t="shared" si="225"/>
        <v>156.9</v>
      </c>
      <c r="AL391" s="66" t="str">
        <f t="shared" si="226"/>
        <v/>
      </c>
      <c r="AM391" s="67" t="str">
        <f t="shared" si="227"/>
        <v/>
      </c>
      <c r="AN391" s="61">
        <v>1</v>
      </c>
      <c r="AO391" s="66">
        <f t="shared" si="228"/>
        <v>156.9</v>
      </c>
      <c r="AP391" s="66" t="str">
        <f t="shared" si="229"/>
        <v/>
      </c>
      <c r="AQ391" s="67" t="str">
        <f t="shared" si="230"/>
        <v/>
      </c>
      <c r="AR391" s="61">
        <v>-1</v>
      </c>
      <c r="AS391" s="66" t="str">
        <f t="shared" si="231"/>
        <v/>
      </c>
      <c r="AT391" s="66" t="str">
        <f t="shared" si="232"/>
        <v/>
      </c>
      <c r="AU391" s="67">
        <f t="shared" si="233"/>
        <v>-156.9</v>
      </c>
      <c r="AV391" s="61">
        <v>1</v>
      </c>
      <c r="AW391" s="66">
        <f t="shared" si="216"/>
        <v>156.9</v>
      </c>
      <c r="AX391" s="66" t="str">
        <f t="shared" si="217"/>
        <v/>
      </c>
      <c r="AY391" s="67" t="str">
        <f t="shared" si="218"/>
        <v/>
      </c>
      <c r="AZ391" s="61">
        <v>-1</v>
      </c>
      <c r="BA391" s="66" t="str">
        <f t="shared" si="219"/>
        <v/>
      </c>
      <c r="BB391" s="66" t="str">
        <f t="shared" si="220"/>
        <v/>
      </c>
      <c r="BC391" s="67">
        <f t="shared" si="221"/>
        <v>-156.9</v>
      </c>
    </row>
    <row r="392" spans="29:55" ht="15.75" thickBot="1">
      <c r="AC392" s="476">
        <f>AD364</f>
        <v>44721</v>
      </c>
      <c r="AD392" s="69" t="s">
        <v>85</v>
      </c>
      <c r="AE392" s="70">
        <f>SUM(AE368:AE391)</f>
        <v>3950.2000000000007</v>
      </c>
      <c r="AF392" s="70"/>
      <c r="AG392" s="71">
        <f>ABS(SUM(AG368:AG391))</f>
        <v>2132.1000000000004</v>
      </c>
      <c r="AH392" s="70"/>
      <c r="AI392" s="72">
        <f>ABS(SUM(AI368:AI391))</f>
        <v>1818.1000000000004</v>
      </c>
      <c r="AJ392" s="70"/>
      <c r="AK392" s="71">
        <f>ABS(SUM(AK368:AK391))</f>
        <v>1945.3000000000002</v>
      </c>
      <c r="AL392" s="70"/>
      <c r="AM392" s="72">
        <f>ABS(SUM(AM368:AM391))</f>
        <v>2004.9000000000003</v>
      </c>
      <c r="AN392" s="70"/>
      <c r="AO392" s="71">
        <f>ABS(SUM(AO368:AO391))</f>
        <v>2027.6000000000004</v>
      </c>
      <c r="AP392" s="70"/>
      <c r="AQ392" s="72">
        <f>ABS(SUM(AQ368:AQ391))</f>
        <v>1922.6</v>
      </c>
      <c r="AR392" s="70"/>
      <c r="AS392" s="71">
        <f>ABS(SUM(AS368:AS391))</f>
        <v>1928.2000000000003</v>
      </c>
      <c r="AT392" s="70"/>
      <c r="AU392" s="72">
        <f>ABS(SUM(AU368:AU391))</f>
        <v>2022.0000000000005</v>
      </c>
      <c r="AV392" s="70"/>
      <c r="AW392" s="71">
        <f>ABS(SUM(AW368:AW391))</f>
        <v>1320.3</v>
      </c>
      <c r="AX392" s="70"/>
      <c r="AY392" s="72">
        <f>ABS(SUM(AY368:AY391))</f>
        <v>1314.8</v>
      </c>
      <c r="AZ392" s="70"/>
      <c r="BA392" s="71">
        <f>ABS(SUM(BA368:BA391))</f>
        <v>1970.8000000000002</v>
      </c>
      <c r="BB392" s="70"/>
      <c r="BC392" s="72">
        <f>ABS(SUM(BC368:BC391))</f>
        <v>1979.4</v>
      </c>
    </row>
    <row r="394" spans="29:55" ht="15" thickBot="1">
      <c r="AD394" s="476">
        <f>skemA1!B18</f>
        <v>44722</v>
      </c>
    </row>
    <row r="395" spans="29:55" ht="15" thickBot="1">
      <c r="AD395" s="677" t="s">
        <v>75</v>
      </c>
      <c r="AE395" s="60" t="s">
        <v>558</v>
      </c>
      <c r="AF395" s="672" t="s">
        <v>559</v>
      </c>
      <c r="AG395" s="672"/>
      <c r="AH395" s="672"/>
      <c r="AI395" s="673"/>
      <c r="AJ395" s="672" t="s">
        <v>562</v>
      </c>
      <c r="AK395" s="672"/>
      <c r="AL395" s="672"/>
      <c r="AM395" s="673"/>
      <c r="AN395" s="672" t="s">
        <v>563</v>
      </c>
      <c r="AO395" s="672"/>
      <c r="AP395" s="672"/>
      <c r="AQ395" s="673"/>
      <c r="AR395" s="672" t="s">
        <v>564</v>
      </c>
      <c r="AS395" s="672"/>
      <c r="AT395" s="672"/>
      <c r="AU395" s="673"/>
      <c r="AV395" s="672" t="s">
        <v>565</v>
      </c>
      <c r="AW395" s="672"/>
      <c r="AX395" s="672"/>
      <c r="AY395" s="673"/>
      <c r="AZ395" s="672" t="s">
        <v>566</v>
      </c>
      <c r="BA395" s="672"/>
      <c r="BB395" s="672"/>
      <c r="BC395" s="673"/>
    </row>
    <row r="396" spans="29:55" ht="15" thickBot="1">
      <c r="AD396" s="677"/>
      <c r="AE396" s="61"/>
      <c r="AF396" s="674" t="s">
        <v>561</v>
      </c>
      <c r="AG396" s="670" t="s">
        <v>560</v>
      </c>
      <c r="AH396" s="670"/>
      <c r="AI396" s="671"/>
      <c r="AJ396" s="674" t="s">
        <v>561</v>
      </c>
      <c r="AK396" s="670" t="s">
        <v>560</v>
      </c>
      <c r="AL396" s="670"/>
      <c r="AM396" s="671"/>
      <c r="AN396" s="674" t="s">
        <v>561</v>
      </c>
      <c r="AO396" s="670" t="s">
        <v>560</v>
      </c>
      <c r="AP396" s="670"/>
      <c r="AQ396" s="671"/>
      <c r="AR396" s="674" t="s">
        <v>561</v>
      </c>
      <c r="AS396" s="670" t="s">
        <v>560</v>
      </c>
      <c r="AT396" s="670"/>
      <c r="AU396" s="671"/>
      <c r="AV396" s="674" t="s">
        <v>561</v>
      </c>
      <c r="AW396" s="670" t="s">
        <v>560</v>
      </c>
      <c r="AX396" s="670"/>
      <c r="AY396" s="671"/>
      <c r="AZ396" s="674" t="s">
        <v>561</v>
      </c>
      <c r="BA396" s="670" t="s">
        <v>560</v>
      </c>
      <c r="BB396" s="670"/>
      <c r="BC396" s="671"/>
    </row>
    <row r="397" spans="29:55">
      <c r="AD397" s="677"/>
      <c r="AE397" s="62"/>
      <c r="AF397" s="674"/>
      <c r="AG397" s="63" t="s">
        <v>76</v>
      </c>
      <c r="AH397" s="63">
        <v>0</v>
      </c>
      <c r="AI397" s="64" t="s">
        <v>77</v>
      </c>
      <c r="AJ397" s="674"/>
      <c r="AK397" s="63" t="s">
        <v>76</v>
      </c>
      <c r="AL397" s="63">
        <v>0</v>
      </c>
      <c r="AM397" s="64" t="s">
        <v>77</v>
      </c>
      <c r="AN397" s="674"/>
      <c r="AO397" s="63" t="s">
        <v>76</v>
      </c>
      <c r="AP397" s="63">
        <v>0</v>
      </c>
      <c r="AQ397" s="64" t="s">
        <v>77</v>
      </c>
      <c r="AR397" s="674"/>
      <c r="AS397" s="63" t="s">
        <v>76</v>
      </c>
      <c r="AT397" s="63">
        <v>0</v>
      </c>
      <c r="AU397" s="64" t="s">
        <v>77</v>
      </c>
      <c r="AV397" s="674"/>
      <c r="AW397" s="63" t="s">
        <v>76</v>
      </c>
      <c r="AX397" s="63">
        <v>0</v>
      </c>
      <c r="AY397" s="64" t="s">
        <v>77</v>
      </c>
      <c r="AZ397" s="674"/>
      <c r="BA397" s="63" t="s">
        <v>76</v>
      </c>
      <c r="BB397" s="63">
        <v>0</v>
      </c>
      <c r="BC397" s="64" t="s">
        <v>77</v>
      </c>
    </row>
    <row r="398" spans="29:55">
      <c r="AD398" s="65" t="str">
        <f t="array" ref="AD398:AD421">TRANSPOSE($C$5:$Z$5)</f>
        <v>00</v>
      </c>
      <c r="AE398" s="66">
        <f t="array" ref="AE398:AE421">TRANSPOSE(skemA1!$C$18:$Z$18)</f>
        <v>162</v>
      </c>
      <c r="AF398" s="66">
        <f t="array" ref="AF398:AF421">TRANSPOSE($C$6:$Z$6)</f>
        <v>-1</v>
      </c>
      <c r="AG398" s="66" t="str">
        <f>IF(AF398&gt;0,AF398*$AE398,"")</f>
        <v/>
      </c>
      <c r="AH398" s="66" t="str">
        <f>IF(AF398=0,AF398*$AE398,"")</f>
        <v/>
      </c>
      <c r="AI398" s="67">
        <f>IF(AF398&lt;0,AF398*$AE398,"")</f>
        <v>-162</v>
      </c>
      <c r="AJ398" s="66">
        <f t="array" ref="AJ398:AJ421">TRANSPOSE($C$7:$Z$7)</f>
        <v>-1</v>
      </c>
      <c r="AK398" s="66" t="str">
        <f>IF(AJ398&gt;0,AJ398*$AE398,"")</f>
        <v/>
      </c>
      <c r="AL398" s="66" t="str">
        <f>IF(AJ398=0,AJ398*$AE398,"")</f>
        <v/>
      </c>
      <c r="AM398" s="67">
        <f>IF(AJ398&lt;0,AJ398*$AE398,"")</f>
        <v>-162</v>
      </c>
      <c r="AN398" s="66">
        <f t="array" ref="AN398:AN421">TRANSPOSE($C$8:$Z$8)</f>
        <v>1</v>
      </c>
      <c r="AO398" s="66">
        <f>IF(AN398&gt;0,AN398*$AE398,"")</f>
        <v>162</v>
      </c>
      <c r="AP398" s="66" t="str">
        <f>IF(AN398=0,AN398*$AE398,"")</f>
        <v/>
      </c>
      <c r="AQ398" s="67" t="str">
        <f>IF(AN398&lt;0,AN398*$AE398,"")</f>
        <v/>
      </c>
      <c r="AR398" s="66">
        <f t="array" ref="AR398:AR421">TRANSPOSE($C$9:$Z$9)</f>
        <v>1</v>
      </c>
      <c r="AS398" s="66">
        <f>IF(AR398&gt;0,AR398*$AE398,"")</f>
        <v>162</v>
      </c>
      <c r="AT398" s="66" t="str">
        <f>IF(AR398=0,AR398*$AE398,"")</f>
        <v/>
      </c>
      <c r="AU398" s="67" t="str">
        <f>IF(AR398&lt;0,AR398*$AE398,"")</f>
        <v/>
      </c>
      <c r="AV398" s="66">
        <f t="array" ref="AV398:AV421">TRANSPOSE($C$10:$Z$10)</f>
        <v>1</v>
      </c>
      <c r="AW398" s="66">
        <f t="shared" ref="AW398:AW421" si="234">IF(AV398&gt;0,AV398*$AE398,"")</f>
        <v>162</v>
      </c>
      <c r="AX398" s="66" t="str">
        <f t="shared" ref="AX398:AX421" si="235">IF(AV398=0,AV398*$AE398,"")</f>
        <v/>
      </c>
      <c r="AY398" s="67" t="str">
        <f t="shared" ref="AY398:AY421" si="236">IF(AV398&lt;0,AV398*$AE398,"")</f>
        <v/>
      </c>
      <c r="AZ398" s="66">
        <f t="array" ref="AZ398:AZ421">TRANSPOSE($C$11:$Z$11)</f>
        <v>1</v>
      </c>
      <c r="BA398" s="66">
        <f t="shared" ref="BA398:BA421" si="237">IF(AZ398&gt;0,AZ398*$AE398,"")</f>
        <v>162</v>
      </c>
      <c r="BB398" s="66" t="str">
        <f t="shared" ref="BB398:BB421" si="238">IF(AZ398=0,AZ398*$AE398,"")</f>
        <v/>
      </c>
      <c r="BC398" s="67" t="str">
        <f t="shared" ref="BC398:BC421" si="239">IF(AZ398&lt;0,AZ398*$AE398,"")</f>
        <v/>
      </c>
    </row>
    <row r="399" spans="29:55">
      <c r="AD399" s="68" t="str">
        <v>01</v>
      </c>
      <c r="AE399" s="61">
        <v>167.6</v>
      </c>
      <c r="AF399" s="61">
        <v>-1</v>
      </c>
      <c r="AG399" s="66" t="str">
        <f t="shared" ref="AG399:AG421" si="240">IF(AF399&gt;0,AF399*$AE399,"")</f>
        <v/>
      </c>
      <c r="AH399" s="66" t="str">
        <f t="shared" ref="AH399:AH421" si="241">IF(AF399=0,AF399*$AE399,"")</f>
        <v/>
      </c>
      <c r="AI399" s="67">
        <f t="shared" ref="AI399:AI421" si="242">IF(AF399&lt;0,AF399*$AE399,"")</f>
        <v>-167.6</v>
      </c>
      <c r="AJ399" s="61">
        <v>-1</v>
      </c>
      <c r="AK399" s="66" t="str">
        <f t="shared" ref="AK399:AK421" si="243">IF(AJ399&gt;0,AJ399*$AE399,"")</f>
        <v/>
      </c>
      <c r="AL399" s="66" t="str">
        <f t="shared" ref="AL399:AL421" si="244">IF(AJ399=0,AJ399*$AE399,"")</f>
        <v/>
      </c>
      <c r="AM399" s="67">
        <f t="shared" ref="AM399:AM421" si="245">IF(AJ399&lt;0,AJ399*$AE399,"")</f>
        <v>-167.6</v>
      </c>
      <c r="AN399" s="61">
        <v>1</v>
      </c>
      <c r="AO399" s="66">
        <f t="shared" ref="AO399:AO421" si="246">IF(AN399&gt;0,AN399*$AE399,"")</f>
        <v>167.6</v>
      </c>
      <c r="AP399" s="66" t="str">
        <f t="shared" ref="AP399:AP421" si="247">IF(AN399=0,AN399*$AE399,"")</f>
        <v/>
      </c>
      <c r="AQ399" s="67" t="str">
        <f t="shared" ref="AQ399:AQ421" si="248">IF(AN399&lt;0,AN399*$AE399,"")</f>
        <v/>
      </c>
      <c r="AR399" s="61">
        <v>1</v>
      </c>
      <c r="AS399" s="66">
        <f t="shared" ref="AS399:AS421" si="249">IF(AR399&gt;0,AR399*$AE399,"")</f>
        <v>167.6</v>
      </c>
      <c r="AT399" s="66" t="str">
        <f t="shared" ref="AT399:AT421" si="250">IF(AR399=0,AR399*$AE399,"")</f>
        <v/>
      </c>
      <c r="AU399" s="67" t="str">
        <f t="shared" ref="AU399:AU421" si="251">IF(AR399&lt;0,AR399*$AE399,"")</f>
        <v/>
      </c>
      <c r="AV399" s="61">
        <v>0</v>
      </c>
      <c r="AW399" s="66" t="str">
        <f t="shared" si="234"/>
        <v/>
      </c>
      <c r="AX399" s="66">
        <f t="shared" si="235"/>
        <v>0</v>
      </c>
      <c r="AY399" s="67" t="str">
        <f t="shared" si="236"/>
        <v/>
      </c>
      <c r="AZ399" s="61">
        <v>1</v>
      </c>
      <c r="BA399" s="66">
        <f t="shared" si="237"/>
        <v>167.6</v>
      </c>
      <c r="BB399" s="66" t="str">
        <f t="shared" si="238"/>
        <v/>
      </c>
      <c r="BC399" s="67" t="str">
        <f t="shared" si="239"/>
        <v/>
      </c>
    </row>
    <row r="400" spans="29:55">
      <c r="AD400" s="68" t="str">
        <v>02</v>
      </c>
      <c r="AE400" s="61">
        <v>166.9</v>
      </c>
      <c r="AF400" s="61">
        <v>-1</v>
      </c>
      <c r="AG400" s="66" t="str">
        <f t="shared" si="240"/>
        <v/>
      </c>
      <c r="AH400" s="66" t="str">
        <f t="shared" si="241"/>
        <v/>
      </c>
      <c r="AI400" s="67">
        <f t="shared" si="242"/>
        <v>-166.9</v>
      </c>
      <c r="AJ400" s="61">
        <v>-1</v>
      </c>
      <c r="AK400" s="66" t="str">
        <f t="shared" si="243"/>
        <v/>
      </c>
      <c r="AL400" s="66" t="str">
        <f t="shared" si="244"/>
        <v/>
      </c>
      <c r="AM400" s="67">
        <f t="shared" si="245"/>
        <v>-166.9</v>
      </c>
      <c r="AN400" s="61">
        <v>1</v>
      </c>
      <c r="AO400" s="66">
        <f t="shared" si="246"/>
        <v>166.9</v>
      </c>
      <c r="AP400" s="66" t="str">
        <f t="shared" si="247"/>
        <v/>
      </c>
      <c r="AQ400" s="67" t="str">
        <f t="shared" si="248"/>
        <v/>
      </c>
      <c r="AR400" s="61">
        <v>1</v>
      </c>
      <c r="AS400" s="66">
        <f t="shared" si="249"/>
        <v>166.9</v>
      </c>
      <c r="AT400" s="66" t="str">
        <f t="shared" si="250"/>
        <v/>
      </c>
      <c r="AU400" s="67" t="str">
        <f t="shared" si="251"/>
        <v/>
      </c>
      <c r="AV400" s="61">
        <v>-1</v>
      </c>
      <c r="AW400" s="66" t="str">
        <f t="shared" si="234"/>
        <v/>
      </c>
      <c r="AX400" s="66" t="str">
        <f t="shared" si="235"/>
        <v/>
      </c>
      <c r="AY400" s="67">
        <f t="shared" si="236"/>
        <v>-166.9</v>
      </c>
      <c r="AZ400" s="61">
        <v>1</v>
      </c>
      <c r="BA400" s="66">
        <f t="shared" si="237"/>
        <v>166.9</v>
      </c>
      <c r="BB400" s="66" t="str">
        <f t="shared" si="238"/>
        <v/>
      </c>
      <c r="BC400" s="67" t="str">
        <f t="shared" si="239"/>
        <v/>
      </c>
    </row>
    <row r="401" spans="30:55">
      <c r="AD401" s="68" t="str">
        <v>03</v>
      </c>
      <c r="AE401" s="61">
        <v>169.9</v>
      </c>
      <c r="AF401" s="61">
        <v>-1</v>
      </c>
      <c r="AG401" s="66" t="str">
        <f t="shared" si="240"/>
        <v/>
      </c>
      <c r="AH401" s="66" t="str">
        <f t="shared" si="241"/>
        <v/>
      </c>
      <c r="AI401" s="67">
        <f t="shared" si="242"/>
        <v>-169.9</v>
      </c>
      <c r="AJ401" s="61">
        <v>-1</v>
      </c>
      <c r="AK401" s="66" t="str">
        <f t="shared" si="243"/>
        <v/>
      </c>
      <c r="AL401" s="66" t="str">
        <f t="shared" si="244"/>
        <v/>
      </c>
      <c r="AM401" s="67">
        <f t="shared" si="245"/>
        <v>-169.9</v>
      </c>
      <c r="AN401" s="61">
        <v>-1</v>
      </c>
      <c r="AO401" s="66" t="str">
        <f t="shared" si="246"/>
        <v/>
      </c>
      <c r="AP401" s="66" t="str">
        <f t="shared" si="247"/>
        <v/>
      </c>
      <c r="AQ401" s="67">
        <f t="shared" si="248"/>
        <v>-169.9</v>
      </c>
      <c r="AR401" s="61">
        <v>1</v>
      </c>
      <c r="AS401" s="66">
        <f t="shared" si="249"/>
        <v>169.9</v>
      </c>
      <c r="AT401" s="66" t="str">
        <f t="shared" si="250"/>
        <v/>
      </c>
      <c r="AU401" s="67" t="str">
        <f t="shared" si="251"/>
        <v/>
      </c>
      <c r="AV401" s="61">
        <v>-1</v>
      </c>
      <c r="AW401" s="66" t="str">
        <f t="shared" si="234"/>
        <v/>
      </c>
      <c r="AX401" s="66" t="str">
        <f t="shared" si="235"/>
        <v/>
      </c>
      <c r="AY401" s="67">
        <f t="shared" si="236"/>
        <v>-169.9</v>
      </c>
      <c r="AZ401" s="61">
        <v>-1</v>
      </c>
      <c r="BA401" s="66" t="str">
        <f t="shared" si="237"/>
        <v/>
      </c>
      <c r="BB401" s="66" t="str">
        <f t="shared" si="238"/>
        <v/>
      </c>
      <c r="BC401" s="67">
        <f t="shared" si="239"/>
        <v>-169.9</v>
      </c>
    </row>
    <row r="402" spans="30:55">
      <c r="AD402" s="68" t="str">
        <v>04</v>
      </c>
      <c r="AE402" s="61">
        <v>171.4</v>
      </c>
      <c r="AF402" s="61">
        <v>-1</v>
      </c>
      <c r="AG402" s="66" t="str">
        <f t="shared" si="240"/>
        <v/>
      </c>
      <c r="AH402" s="66" t="str">
        <f t="shared" si="241"/>
        <v/>
      </c>
      <c r="AI402" s="67">
        <f t="shared" si="242"/>
        <v>-171.4</v>
      </c>
      <c r="AJ402" s="61">
        <v>-1</v>
      </c>
      <c r="AK402" s="66" t="str">
        <f t="shared" si="243"/>
        <v/>
      </c>
      <c r="AL402" s="66" t="str">
        <f t="shared" si="244"/>
        <v/>
      </c>
      <c r="AM402" s="67">
        <f t="shared" si="245"/>
        <v>-171.4</v>
      </c>
      <c r="AN402" s="61">
        <v>-1</v>
      </c>
      <c r="AO402" s="66" t="str">
        <f t="shared" si="246"/>
        <v/>
      </c>
      <c r="AP402" s="66" t="str">
        <f t="shared" si="247"/>
        <v/>
      </c>
      <c r="AQ402" s="67">
        <f t="shared" si="248"/>
        <v>-171.4</v>
      </c>
      <c r="AR402" s="61">
        <v>1</v>
      </c>
      <c r="AS402" s="66">
        <f t="shared" si="249"/>
        <v>171.4</v>
      </c>
      <c r="AT402" s="66" t="str">
        <f t="shared" si="250"/>
        <v/>
      </c>
      <c r="AU402" s="67" t="str">
        <f t="shared" si="251"/>
        <v/>
      </c>
      <c r="AV402" s="61">
        <v>0</v>
      </c>
      <c r="AW402" s="66" t="str">
        <f t="shared" si="234"/>
        <v/>
      </c>
      <c r="AX402" s="66">
        <f t="shared" si="235"/>
        <v>0</v>
      </c>
      <c r="AY402" s="67" t="str">
        <f t="shared" si="236"/>
        <v/>
      </c>
      <c r="AZ402" s="61">
        <v>-1</v>
      </c>
      <c r="BA402" s="66" t="str">
        <f t="shared" si="237"/>
        <v/>
      </c>
      <c r="BB402" s="66" t="str">
        <f t="shared" si="238"/>
        <v/>
      </c>
      <c r="BC402" s="67">
        <f t="shared" si="239"/>
        <v>-171.4</v>
      </c>
    </row>
    <row r="403" spans="30:55">
      <c r="AD403" s="68" t="str">
        <v>05</v>
      </c>
      <c r="AE403" s="61">
        <v>171.4</v>
      </c>
      <c r="AF403" s="61">
        <v>-1</v>
      </c>
      <c r="AG403" s="66" t="str">
        <f t="shared" si="240"/>
        <v/>
      </c>
      <c r="AH403" s="66" t="str">
        <f t="shared" si="241"/>
        <v/>
      </c>
      <c r="AI403" s="67">
        <f t="shared" si="242"/>
        <v>-171.4</v>
      </c>
      <c r="AJ403" s="61">
        <v>-1</v>
      </c>
      <c r="AK403" s="66" t="str">
        <f t="shared" si="243"/>
        <v/>
      </c>
      <c r="AL403" s="66" t="str">
        <f t="shared" si="244"/>
        <v/>
      </c>
      <c r="AM403" s="67">
        <f t="shared" si="245"/>
        <v>-171.4</v>
      </c>
      <c r="AN403" s="61">
        <v>-1</v>
      </c>
      <c r="AO403" s="66" t="str">
        <f t="shared" si="246"/>
        <v/>
      </c>
      <c r="AP403" s="66" t="str">
        <f t="shared" si="247"/>
        <v/>
      </c>
      <c r="AQ403" s="67">
        <f t="shared" si="248"/>
        <v>-171.4</v>
      </c>
      <c r="AR403" s="61">
        <v>1</v>
      </c>
      <c r="AS403" s="66">
        <f t="shared" si="249"/>
        <v>171.4</v>
      </c>
      <c r="AT403" s="66" t="str">
        <f t="shared" si="250"/>
        <v/>
      </c>
      <c r="AU403" s="67" t="str">
        <f t="shared" si="251"/>
        <v/>
      </c>
      <c r="AV403" s="61">
        <v>1</v>
      </c>
      <c r="AW403" s="66">
        <f t="shared" si="234"/>
        <v>171.4</v>
      </c>
      <c r="AX403" s="66" t="str">
        <f t="shared" si="235"/>
        <v/>
      </c>
      <c r="AY403" s="67" t="str">
        <f t="shared" si="236"/>
        <v/>
      </c>
      <c r="AZ403" s="61">
        <v>-1</v>
      </c>
      <c r="BA403" s="66" t="str">
        <f t="shared" si="237"/>
        <v/>
      </c>
      <c r="BB403" s="66" t="str">
        <f t="shared" si="238"/>
        <v/>
      </c>
      <c r="BC403" s="67">
        <f t="shared" si="239"/>
        <v>-171.4</v>
      </c>
    </row>
    <row r="404" spans="30:55">
      <c r="AD404" s="68" t="str">
        <v>06</v>
      </c>
      <c r="AE404" s="61">
        <v>171.2</v>
      </c>
      <c r="AF404" s="61">
        <v>1</v>
      </c>
      <c r="AG404" s="66">
        <f t="shared" si="240"/>
        <v>171.2</v>
      </c>
      <c r="AH404" s="66" t="str">
        <f t="shared" si="241"/>
        <v/>
      </c>
      <c r="AI404" s="67" t="str">
        <f t="shared" si="242"/>
        <v/>
      </c>
      <c r="AJ404" s="61">
        <v>-1</v>
      </c>
      <c r="AK404" s="66" t="str">
        <f t="shared" si="243"/>
        <v/>
      </c>
      <c r="AL404" s="66" t="str">
        <f t="shared" si="244"/>
        <v/>
      </c>
      <c r="AM404" s="67">
        <f t="shared" si="245"/>
        <v>-171.2</v>
      </c>
      <c r="AN404" s="61">
        <v>-1</v>
      </c>
      <c r="AO404" s="66" t="str">
        <f t="shared" si="246"/>
        <v/>
      </c>
      <c r="AP404" s="66" t="str">
        <f t="shared" si="247"/>
        <v/>
      </c>
      <c r="AQ404" s="67">
        <f t="shared" si="248"/>
        <v>-171.2</v>
      </c>
      <c r="AR404" s="61">
        <v>-1</v>
      </c>
      <c r="AS404" s="66" t="str">
        <f t="shared" si="249"/>
        <v/>
      </c>
      <c r="AT404" s="66" t="str">
        <f t="shared" si="250"/>
        <v/>
      </c>
      <c r="AU404" s="67">
        <f t="shared" si="251"/>
        <v>-171.2</v>
      </c>
      <c r="AV404" s="61">
        <v>1</v>
      </c>
      <c r="AW404" s="66">
        <f t="shared" si="234"/>
        <v>171.2</v>
      </c>
      <c r="AX404" s="66" t="str">
        <f t="shared" si="235"/>
        <v/>
      </c>
      <c r="AY404" s="67" t="str">
        <f t="shared" si="236"/>
        <v/>
      </c>
      <c r="AZ404" s="61">
        <v>1</v>
      </c>
      <c r="BA404" s="66">
        <f t="shared" si="237"/>
        <v>171.2</v>
      </c>
      <c r="BB404" s="66" t="str">
        <f t="shared" si="238"/>
        <v/>
      </c>
      <c r="BC404" s="67" t="str">
        <f t="shared" si="239"/>
        <v/>
      </c>
    </row>
    <row r="405" spans="30:55">
      <c r="AD405" s="68" t="str">
        <v>07</v>
      </c>
      <c r="AE405" s="61">
        <v>173</v>
      </c>
      <c r="AF405" s="61">
        <v>1</v>
      </c>
      <c r="AG405" s="66">
        <f t="shared" si="240"/>
        <v>173</v>
      </c>
      <c r="AH405" s="66" t="str">
        <f t="shared" si="241"/>
        <v/>
      </c>
      <c r="AI405" s="67" t="str">
        <f t="shared" si="242"/>
        <v/>
      </c>
      <c r="AJ405" s="61">
        <v>-1</v>
      </c>
      <c r="AK405" s="66" t="str">
        <f t="shared" si="243"/>
        <v/>
      </c>
      <c r="AL405" s="66" t="str">
        <f t="shared" si="244"/>
        <v/>
      </c>
      <c r="AM405" s="67">
        <f t="shared" si="245"/>
        <v>-173</v>
      </c>
      <c r="AN405" s="61">
        <v>-1</v>
      </c>
      <c r="AO405" s="66" t="str">
        <f t="shared" si="246"/>
        <v/>
      </c>
      <c r="AP405" s="66" t="str">
        <f t="shared" si="247"/>
        <v/>
      </c>
      <c r="AQ405" s="67">
        <f t="shared" si="248"/>
        <v>-173</v>
      </c>
      <c r="AR405" s="61">
        <v>-1</v>
      </c>
      <c r="AS405" s="66" t="str">
        <f t="shared" si="249"/>
        <v/>
      </c>
      <c r="AT405" s="66" t="str">
        <f t="shared" si="250"/>
        <v/>
      </c>
      <c r="AU405" s="67">
        <f t="shared" si="251"/>
        <v>-173</v>
      </c>
      <c r="AV405" s="61">
        <v>0</v>
      </c>
      <c r="AW405" s="66" t="str">
        <f t="shared" si="234"/>
        <v/>
      </c>
      <c r="AX405" s="66">
        <f t="shared" si="235"/>
        <v>0</v>
      </c>
      <c r="AY405" s="67" t="str">
        <f t="shared" si="236"/>
        <v/>
      </c>
      <c r="AZ405" s="61">
        <v>1</v>
      </c>
      <c r="BA405" s="66">
        <f t="shared" si="237"/>
        <v>173</v>
      </c>
      <c r="BB405" s="66" t="str">
        <f t="shared" si="238"/>
        <v/>
      </c>
      <c r="BC405" s="67" t="str">
        <f t="shared" si="239"/>
        <v/>
      </c>
    </row>
    <row r="406" spans="30:55">
      <c r="AD406" s="68" t="str">
        <v>08</v>
      </c>
      <c r="AE406" s="61">
        <v>175.2</v>
      </c>
      <c r="AF406" s="61">
        <v>1</v>
      </c>
      <c r="AG406" s="66">
        <f t="shared" si="240"/>
        <v>175.2</v>
      </c>
      <c r="AH406" s="66" t="str">
        <f t="shared" si="241"/>
        <v/>
      </c>
      <c r="AI406" s="67" t="str">
        <f t="shared" si="242"/>
        <v/>
      </c>
      <c r="AJ406" s="61">
        <v>-1</v>
      </c>
      <c r="AK406" s="66" t="str">
        <f t="shared" si="243"/>
        <v/>
      </c>
      <c r="AL406" s="66" t="str">
        <f t="shared" si="244"/>
        <v/>
      </c>
      <c r="AM406" s="67">
        <f t="shared" si="245"/>
        <v>-175.2</v>
      </c>
      <c r="AN406" s="61">
        <v>-1</v>
      </c>
      <c r="AO406" s="66" t="str">
        <f t="shared" si="246"/>
        <v/>
      </c>
      <c r="AP406" s="66" t="str">
        <f t="shared" si="247"/>
        <v/>
      </c>
      <c r="AQ406" s="67">
        <f t="shared" si="248"/>
        <v>-175.2</v>
      </c>
      <c r="AR406" s="61">
        <v>-1</v>
      </c>
      <c r="AS406" s="66" t="str">
        <f t="shared" si="249"/>
        <v/>
      </c>
      <c r="AT406" s="66" t="str">
        <f t="shared" si="250"/>
        <v/>
      </c>
      <c r="AU406" s="67">
        <f t="shared" si="251"/>
        <v>-175.2</v>
      </c>
      <c r="AV406" s="61">
        <v>-1</v>
      </c>
      <c r="AW406" s="66" t="str">
        <f t="shared" si="234"/>
        <v/>
      </c>
      <c r="AX406" s="66" t="str">
        <f t="shared" si="235"/>
        <v/>
      </c>
      <c r="AY406" s="67">
        <f t="shared" si="236"/>
        <v>-175.2</v>
      </c>
      <c r="AZ406" s="61">
        <v>1</v>
      </c>
      <c r="BA406" s="66">
        <f t="shared" si="237"/>
        <v>175.2</v>
      </c>
      <c r="BB406" s="66" t="str">
        <f t="shared" si="238"/>
        <v/>
      </c>
      <c r="BC406" s="67" t="str">
        <f t="shared" si="239"/>
        <v/>
      </c>
    </row>
    <row r="407" spans="30:55">
      <c r="AD407" s="68" t="str">
        <v>09</v>
      </c>
      <c r="AE407" s="61">
        <v>172.3</v>
      </c>
      <c r="AF407" s="61">
        <v>1</v>
      </c>
      <c r="AG407" s="66">
        <f t="shared" si="240"/>
        <v>172.3</v>
      </c>
      <c r="AH407" s="66" t="str">
        <f t="shared" si="241"/>
        <v/>
      </c>
      <c r="AI407" s="67" t="str">
        <f t="shared" si="242"/>
        <v/>
      </c>
      <c r="AJ407" s="61">
        <v>-1</v>
      </c>
      <c r="AK407" s="66" t="str">
        <f t="shared" si="243"/>
        <v/>
      </c>
      <c r="AL407" s="66" t="str">
        <f t="shared" si="244"/>
        <v/>
      </c>
      <c r="AM407" s="67">
        <f t="shared" si="245"/>
        <v>-172.3</v>
      </c>
      <c r="AN407" s="61">
        <v>1</v>
      </c>
      <c r="AO407" s="66">
        <f t="shared" si="246"/>
        <v>172.3</v>
      </c>
      <c r="AP407" s="66" t="str">
        <f t="shared" si="247"/>
        <v/>
      </c>
      <c r="AQ407" s="67" t="str">
        <f t="shared" si="248"/>
        <v/>
      </c>
      <c r="AR407" s="61">
        <v>-1</v>
      </c>
      <c r="AS407" s="66" t="str">
        <f t="shared" si="249"/>
        <v/>
      </c>
      <c r="AT407" s="66" t="str">
        <f t="shared" si="250"/>
        <v/>
      </c>
      <c r="AU407" s="67">
        <f t="shared" si="251"/>
        <v>-172.3</v>
      </c>
      <c r="AV407" s="61">
        <v>-1</v>
      </c>
      <c r="AW407" s="66" t="str">
        <f t="shared" si="234"/>
        <v/>
      </c>
      <c r="AX407" s="66" t="str">
        <f t="shared" si="235"/>
        <v/>
      </c>
      <c r="AY407" s="67">
        <f t="shared" si="236"/>
        <v>-172.3</v>
      </c>
      <c r="AZ407" s="61">
        <v>-1</v>
      </c>
      <c r="BA407" s="66" t="str">
        <f t="shared" si="237"/>
        <v/>
      </c>
      <c r="BB407" s="66" t="str">
        <f t="shared" si="238"/>
        <v/>
      </c>
      <c r="BC407" s="67">
        <f t="shared" si="239"/>
        <v>-172.3</v>
      </c>
    </row>
    <row r="408" spans="30:55">
      <c r="AD408" s="68" t="str">
        <v>10</v>
      </c>
      <c r="AE408" s="61">
        <v>171.5</v>
      </c>
      <c r="AF408" s="61">
        <v>1</v>
      </c>
      <c r="AG408" s="66">
        <f t="shared" si="240"/>
        <v>171.5</v>
      </c>
      <c r="AH408" s="66" t="str">
        <f t="shared" si="241"/>
        <v/>
      </c>
      <c r="AI408" s="67" t="str">
        <f t="shared" si="242"/>
        <v/>
      </c>
      <c r="AJ408" s="61">
        <v>-1</v>
      </c>
      <c r="AK408" s="66" t="str">
        <f t="shared" si="243"/>
        <v/>
      </c>
      <c r="AL408" s="66" t="str">
        <f t="shared" si="244"/>
        <v/>
      </c>
      <c r="AM408" s="67">
        <f t="shared" si="245"/>
        <v>-171.5</v>
      </c>
      <c r="AN408" s="61">
        <v>1</v>
      </c>
      <c r="AO408" s="66">
        <f t="shared" si="246"/>
        <v>171.5</v>
      </c>
      <c r="AP408" s="66" t="str">
        <f t="shared" si="247"/>
        <v/>
      </c>
      <c r="AQ408" s="67" t="str">
        <f t="shared" si="248"/>
        <v/>
      </c>
      <c r="AR408" s="61">
        <v>-1</v>
      </c>
      <c r="AS408" s="66" t="str">
        <f t="shared" si="249"/>
        <v/>
      </c>
      <c r="AT408" s="66" t="str">
        <f t="shared" si="250"/>
        <v/>
      </c>
      <c r="AU408" s="67">
        <f t="shared" si="251"/>
        <v>-171.5</v>
      </c>
      <c r="AV408" s="61">
        <v>0</v>
      </c>
      <c r="AW408" s="66" t="str">
        <f t="shared" si="234"/>
        <v/>
      </c>
      <c r="AX408" s="66">
        <f t="shared" si="235"/>
        <v>0</v>
      </c>
      <c r="AY408" s="67" t="str">
        <f t="shared" si="236"/>
        <v/>
      </c>
      <c r="AZ408" s="61">
        <v>-1</v>
      </c>
      <c r="BA408" s="66" t="str">
        <f t="shared" si="237"/>
        <v/>
      </c>
      <c r="BB408" s="66" t="str">
        <f t="shared" si="238"/>
        <v/>
      </c>
      <c r="BC408" s="67">
        <f t="shared" si="239"/>
        <v>-171.5</v>
      </c>
    </row>
    <row r="409" spans="30:55">
      <c r="AD409" s="68" t="str">
        <v>11</v>
      </c>
      <c r="AE409" s="61">
        <v>173.9</v>
      </c>
      <c r="AF409" s="61">
        <v>1</v>
      </c>
      <c r="AG409" s="66">
        <f t="shared" si="240"/>
        <v>173.9</v>
      </c>
      <c r="AH409" s="66" t="str">
        <f t="shared" si="241"/>
        <v/>
      </c>
      <c r="AI409" s="67" t="str">
        <f t="shared" si="242"/>
        <v/>
      </c>
      <c r="AJ409" s="61">
        <v>-1</v>
      </c>
      <c r="AK409" s="66" t="str">
        <f t="shared" si="243"/>
        <v/>
      </c>
      <c r="AL409" s="66" t="str">
        <f t="shared" si="244"/>
        <v/>
      </c>
      <c r="AM409" s="67">
        <f t="shared" si="245"/>
        <v>-173.9</v>
      </c>
      <c r="AN409" s="61">
        <v>1</v>
      </c>
      <c r="AO409" s="66">
        <f t="shared" si="246"/>
        <v>173.9</v>
      </c>
      <c r="AP409" s="66" t="str">
        <f t="shared" si="247"/>
        <v/>
      </c>
      <c r="AQ409" s="67" t="str">
        <f t="shared" si="248"/>
        <v/>
      </c>
      <c r="AR409" s="61">
        <v>-1</v>
      </c>
      <c r="AS409" s="66" t="str">
        <f t="shared" si="249"/>
        <v/>
      </c>
      <c r="AT409" s="66" t="str">
        <f t="shared" si="250"/>
        <v/>
      </c>
      <c r="AU409" s="67">
        <f t="shared" si="251"/>
        <v>-173.9</v>
      </c>
      <c r="AV409" s="61">
        <v>1</v>
      </c>
      <c r="AW409" s="66">
        <f t="shared" si="234"/>
        <v>173.9</v>
      </c>
      <c r="AX409" s="66" t="str">
        <f t="shared" si="235"/>
        <v/>
      </c>
      <c r="AY409" s="67" t="str">
        <f t="shared" si="236"/>
        <v/>
      </c>
      <c r="AZ409" s="61">
        <v>-1</v>
      </c>
      <c r="BA409" s="66" t="str">
        <f t="shared" si="237"/>
        <v/>
      </c>
      <c r="BB409" s="66" t="str">
        <f t="shared" si="238"/>
        <v/>
      </c>
      <c r="BC409" s="67">
        <f t="shared" si="239"/>
        <v>-173.9</v>
      </c>
    </row>
    <row r="410" spans="30:55">
      <c r="AD410" s="68" t="str">
        <v>12</v>
      </c>
      <c r="AE410" s="61">
        <v>178.5</v>
      </c>
      <c r="AF410" s="61">
        <v>1</v>
      </c>
      <c r="AG410" s="66">
        <f t="shared" si="240"/>
        <v>178.5</v>
      </c>
      <c r="AH410" s="66" t="str">
        <f t="shared" si="241"/>
        <v/>
      </c>
      <c r="AI410" s="67" t="str">
        <f t="shared" si="242"/>
        <v/>
      </c>
      <c r="AJ410" s="61">
        <v>1</v>
      </c>
      <c r="AK410" s="66">
        <f t="shared" si="243"/>
        <v>178.5</v>
      </c>
      <c r="AL410" s="66" t="str">
        <f t="shared" si="244"/>
        <v/>
      </c>
      <c r="AM410" s="67" t="str">
        <f t="shared" si="245"/>
        <v/>
      </c>
      <c r="AN410" s="61">
        <v>1</v>
      </c>
      <c r="AO410" s="66">
        <f t="shared" si="246"/>
        <v>178.5</v>
      </c>
      <c r="AP410" s="66" t="str">
        <f t="shared" si="247"/>
        <v/>
      </c>
      <c r="AQ410" s="67" t="str">
        <f t="shared" si="248"/>
        <v/>
      </c>
      <c r="AR410" s="61">
        <v>1</v>
      </c>
      <c r="AS410" s="66">
        <f t="shared" si="249"/>
        <v>178.5</v>
      </c>
      <c r="AT410" s="66" t="str">
        <f t="shared" si="250"/>
        <v/>
      </c>
      <c r="AU410" s="67" t="str">
        <f t="shared" si="251"/>
        <v/>
      </c>
      <c r="AV410" s="61">
        <v>1</v>
      </c>
      <c r="AW410" s="66">
        <f t="shared" si="234"/>
        <v>178.5</v>
      </c>
      <c r="AX410" s="66" t="str">
        <f t="shared" si="235"/>
        <v/>
      </c>
      <c r="AY410" s="67" t="str">
        <f t="shared" si="236"/>
        <v/>
      </c>
      <c r="AZ410" s="61">
        <v>1</v>
      </c>
      <c r="BA410" s="66">
        <f t="shared" si="237"/>
        <v>178.5</v>
      </c>
      <c r="BB410" s="66" t="str">
        <f t="shared" si="238"/>
        <v/>
      </c>
      <c r="BC410" s="67" t="str">
        <f t="shared" si="239"/>
        <v/>
      </c>
    </row>
    <row r="411" spans="30:55">
      <c r="AD411" s="68" t="str">
        <v>13</v>
      </c>
      <c r="AE411" s="61">
        <v>182.20000000000002</v>
      </c>
      <c r="AF411" s="61">
        <v>1</v>
      </c>
      <c r="AG411" s="66">
        <f t="shared" si="240"/>
        <v>182.20000000000002</v>
      </c>
      <c r="AH411" s="66" t="str">
        <f t="shared" si="241"/>
        <v/>
      </c>
      <c r="AI411" s="67" t="str">
        <f t="shared" si="242"/>
        <v/>
      </c>
      <c r="AJ411" s="61">
        <v>1</v>
      </c>
      <c r="AK411" s="66">
        <f t="shared" si="243"/>
        <v>182.20000000000002</v>
      </c>
      <c r="AL411" s="66" t="str">
        <f t="shared" si="244"/>
        <v/>
      </c>
      <c r="AM411" s="67" t="str">
        <f t="shared" si="245"/>
        <v/>
      </c>
      <c r="AN411" s="61">
        <v>1</v>
      </c>
      <c r="AO411" s="66">
        <f t="shared" si="246"/>
        <v>182.20000000000002</v>
      </c>
      <c r="AP411" s="66" t="str">
        <f t="shared" si="247"/>
        <v/>
      </c>
      <c r="AQ411" s="67" t="str">
        <f t="shared" si="248"/>
        <v/>
      </c>
      <c r="AR411" s="61">
        <v>1</v>
      </c>
      <c r="AS411" s="66">
        <f t="shared" si="249"/>
        <v>182.20000000000002</v>
      </c>
      <c r="AT411" s="66" t="str">
        <f t="shared" si="250"/>
        <v/>
      </c>
      <c r="AU411" s="67" t="str">
        <f t="shared" si="251"/>
        <v/>
      </c>
      <c r="AV411" s="61">
        <v>0</v>
      </c>
      <c r="AW411" s="66" t="str">
        <f t="shared" si="234"/>
        <v/>
      </c>
      <c r="AX411" s="66">
        <f t="shared" si="235"/>
        <v>0</v>
      </c>
      <c r="AY411" s="67" t="str">
        <f t="shared" si="236"/>
        <v/>
      </c>
      <c r="AZ411" s="61">
        <v>1</v>
      </c>
      <c r="BA411" s="66">
        <f t="shared" si="237"/>
        <v>182.20000000000002</v>
      </c>
      <c r="BB411" s="66" t="str">
        <f t="shared" si="238"/>
        <v/>
      </c>
      <c r="BC411" s="67" t="str">
        <f t="shared" si="239"/>
        <v/>
      </c>
    </row>
    <row r="412" spans="30:55">
      <c r="AD412" s="68" t="str">
        <v>14</v>
      </c>
      <c r="AE412" s="61">
        <v>182.29999999999998</v>
      </c>
      <c r="AF412" s="61">
        <v>1</v>
      </c>
      <c r="AG412" s="66">
        <f t="shared" si="240"/>
        <v>182.29999999999998</v>
      </c>
      <c r="AH412" s="66" t="str">
        <f t="shared" si="241"/>
        <v/>
      </c>
      <c r="AI412" s="67" t="str">
        <f t="shared" si="242"/>
        <v/>
      </c>
      <c r="AJ412" s="61">
        <v>1</v>
      </c>
      <c r="AK412" s="66">
        <f t="shared" si="243"/>
        <v>182.29999999999998</v>
      </c>
      <c r="AL412" s="66" t="str">
        <f t="shared" si="244"/>
        <v/>
      </c>
      <c r="AM412" s="67" t="str">
        <f t="shared" si="245"/>
        <v/>
      </c>
      <c r="AN412" s="61">
        <v>1</v>
      </c>
      <c r="AO412" s="66">
        <f t="shared" si="246"/>
        <v>182.29999999999998</v>
      </c>
      <c r="AP412" s="66" t="str">
        <f t="shared" si="247"/>
        <v/>
      </c>
      <c r="AQ412" s="67" t="str">
        <f t="shared" si="248"/>
        <v/>
      </c>
      <c r="AR412" s="61">
        <v>1</v>
      </c>
      <c r="AS412" s="66">
        <f t="shared" si="249"/>
        <v>182.29999999999998</v>
      </c>
      <c r="AT412" s="66" t="str">
        <f t="shared" si="250"/>
        <v/>
      </c>
      <c r="AU412" s="67" t="str">
        <f t="shared" si="251"/>
        <v/>
      </c>
      <c r="AV412" s="61">
        <v>-1</v>
      </c>
      <c r="AW412" s="66" t="str">
        <f t="shared" si="234"/>
        <v/>
      </c>
      <c r="AX412" s="66" t="str">
        <f t="shared" si="235"/>
        <v/>
      </c>
      <c r="AY412" s="67">
        <f t="shared" si="236"/>
        <v>-182.29999999999998</v>
      </c>
      <c r="AZ412" s="61">
        <v>1</v>
      </c>
      <c r="BA412" s="66">
        <f t="shared" si="237"/>
        <v>182.29999999999998</v>
      </c>
      <c r="BB412" s="66" t="str">
        <f t="shared" si="238"/>
        <v/>
      </c>
      <c r="BC412" s="67" t="str">
        <f t="shared" si="239"/>
        <v/>
      </c>
    </row>
    <row r="413" spans="30:55">
      <c r="AD413" s="68" t="str">
        <v>15</v>
      </c>
      <c r="AE413" s="61">
        <v>176.6</v>
      </c>
      <c r="AF413" s="61">
        <v>1</v>
      </c>
      <c r="AG413" s="66">
        <f t="shared" si="240"/>
        <v>176.6</v>
      </c>
      <c r="AH413" s="66" t="str">
        <f t="shared" si="241"/>
        <v/>
      </c>
      <c r="AI413" s="67" t="str">
        <f t="shared" si="242"/>
        <v/>
      </c>
      <c r="AJ413" s="61">
        <v>1</v>
      </c>
      <c r="AK413" s="66">
        <f t="shared" si="243"/>
        <v>176.6</v>
      </c>
      <c r="AL413" s="66" t="str">
        <f t="shared" si="244"/>
        <v/>
      </c>
      <c r="AM413" s="67" t="str">
        <f t="shared" si="245"/>
        <v/>
      </c>
      <c r="AN413" s="61">
        <v>-1</v>
      </c>
      <c r="AO413" s="66" t="str">
        <f t="shared" si="246"/>
        <v/>
      </c>
      <c r="AP413" s="66" t="str">
        <f t="shared" si="247"/>
        <v/>
      </c>
      <c r="AQ413" s="67">
        <f t="shared" si="248"/>
        <v>-176.6</v>
      </c>
      <c r="AR413" s="61">
        <v>1</v>
      </c>
      <c r="AS413" s="66">
        <f t="shared" si="249"/>
        <v>176.6</v>
      </c>
      <c r="AT413" s="66" t="str">
        <f t="shared" si="250"/>
        <v/>
      </c>
      <c r="AU413" s="67" t="str">
        <f t="shared" si="251"/>
        <v/>
      </c>
      <c r="AV413" s="61">
        <v>-1</v>
      </c>
      <c r="AW413" s="66" t="str">
        <f t="shared" si="234"/>
        <v/>
      </c>
      <c r="AX413" s="66" t="str">
        <f t="shared" si="235"/>
        <v/>
      </c>
      <c r="AY413" s="67">
        <f t="shared" si="236"/>
        <v>-176.6</v>
      </c>
      <c r="AZ413" s="61">
        <v>-1</v>
      </c>
      <c r="BA413" s="66" t="str">
        <f t="shared" si="237"/>
        <v/>
      </c>
      <c r="BB413" s="66" t="str">
        <f t="shared" si="238"/>
        <v/>
      </c>
      <c r="BC413" s="67">
        <f t="shared" si="239"/>
        <v>-176.6</v>
      </c>
    </row>
    <row r="414" spans="30:55">
      <c r="AD414" s="68" t="str">
        <v>16</v>
      </c>
      <c r="AE414" s="61">
        <v>168.4</v>
      </c>
      <c r="AF414" s="61">
        <v>1</v>
      </c>
      <c r="AG414" s="66">
        <f t="shared" si="240"/>
        <v>168.4</v>
      </c>
      <c r="AH414" s="66" t="str">
        <f t="shared" si="241"/>
        <v/>
      </c>
      <c r="AI414" s="67" t="str">
        <f t="shared" si="242"/>
        <v/>
      </c>
      <c r="AJ414" s="61">
        <v>1</v>
      </c>
      <c r="AK414" s="66">
        <f t="shared" si="243"/>
        <v>168.4</v>
      </c>
      <c r="AL414" s="66" t="str">
        <f t="shared" si="244"/>
        <v/>
      </c>
      <c r="AM414" s="67" t="str">
        <f t="shared" si="245"/>
        <v/>
      </c>
      <c r="AN414" s="61">
        <v>-1</v>
      </c>
      <c r="AO414" s="66" t="str">
        <f t="shared" si="246"/>
        <v/>
      </c>
      <c r="AP414" s="66" t="str">
        <f t="shared" si="247"/>
        <v/>
      </c>
      <c r="AQ414" s="67">
        <f t="shared" si="248"/>
        <v>-168.4</v>
      </c>
      <c r="AR414" s="61">
        <v>1</v>
      </c>
      <c r="AS414" s="66">
        <f t="shared" si="249"/>
        <v>168.4</v>
      </c>
      <c r="AT414" s="66" t="str">
        <f t="shared" si="250"/>
        <v/>
      </c>
      <c r="AU414" s="67" t="str">
        <f t="shared" si="251"/>
        <v/>
      </c>
      <c r="AV414" s="61">
        <v>0</v>
      </c>
      <c r="AW414" s="66" t="str">
        <f t="shared" si="234"/>
        <v/>
      </c>
      <c r="AX414" s="66">
        <f t="shared" si="235"/>
        <v>0</v>
      </c>
      <c r="AY414" s="67" t="str">
        <f t="shared" si="236"/>
        <v/>
      </c>
      <c r="AZ414" s="61">
        <v>-1</v>
      </c>
      <c r="BA414" s="66" t="str">
        <f t="shared" si="237"/>
        <v/>
      </c>
      <c r="BB414" s="66" t="str">
        <f t="shared" si="238"/>
        <v/>
      </c>
      <c r="BC414" s="67">
        <f t="shared" si="239"/>
        <v>-168.4</v>
      </c>
    </row>
    <row r="415" spans="30:55">
      <c r="AD415" s="68" t="str">
        <v>17</v>
      </c>
      <c r="AE415" s="61">
        <v>154.80000000000001</v>
      </c>
      <c r="AF415" s="61">
        <v>1</v>
      </c>
      <c r="AG415" s="66">
        <f t="shared" si="240"/>
        <v>154.80000000000001</v>
      </c>
      <c r="AH415" s="66" t="str">
        <f t="shared" si="241"/>
        <v/>
      </c>
      <c r="AI415" s="67" t="str">
        <f t="shared" si="242"/>
        <v/>
      </c>
      <c r="AJ415" s="61">
        <v>1</v>
      </c>
      <c r="AK415" s="66">
        <f t="shared" si="243"/>
        <v>154.80000000000001</v>
      </c>
      <c r="AL415" s="66" t="str">
        <f t="shared" si="244"/>
        <v/>
      </c>
      <c r="AM415" s="67" t="str">
        <f t="shared" si="245"/>
        <v/>
      </c>
      <c r="AN415" s="61">
        <v>-1</v>
      </c>
      <c r="AO415" s="66" t="str">
        <f t="shared" si="246"/>
        <v/>
      </c>
      <c r="AP415" s="66" t="str">
        <f t="shared" si="247"/>
        <v/>
      </c>
      <c r="AQ415" s="67">
        <f t="shared" si="248"/>
        <v>-154.80000000000001</v>
      </c>
      <c r="AR415" s="61">
        <v>1</v>
      </c>
      <c r="AS415" s="66">
        <f t="shared" si="249"/>
        <v>154.80000000000001</v>
      </c>
      <c r="AT415" s="66" t="str">
        <f t="shared" si="250"/>
        <v/>
      </c>
      <c r="AU415" s="67" t="str">
        <f t="shared" si="251"/>
        <v/>
      </c>
      <c r="AV415" s="61">
        <v>1</v>
      </c>
      <c r="AW415" s="66">
        <f t="shared" si="234"/>
        <v>154.80000000000001</v>
      </c>
      <c r="AX415" s="66" t="str">
        <f t="shared" si="235"/>
        <v/>
      </c>
      <c r="AY415" s="67" t="str">
        <f t="shared" si="236"/>
        <v/>
      </c>
      <c r="AZ415" s="61">
        <v>-1</v>
      </c>
      <c r="BA415" s="66" t="str">
        <f t="shared" si="237"/>
        <v/>
      </c>
      <c r="BB415" s="66" t="str">
        <f t="shared" si="238"/>
        <v/>
      </c>
      <c r="BC415" s="67">
        <f t="shared" si="239"/>
        <v>-154.80000000000001</v>
      </c>
    </row>
    <row r="416" spans="30:55">
      <c r="AD416" s="68" t="str">
        <v>18</v>
      </c>
      <c r="AE416" s="61">
        <v>142.19999999999999</v>
      </c>
      <c r="AF416" s="61">
        <v>-1</v>
      </c>
      <c r="AG416" s="66" t="str">
        <f t="shared" si="240"/>
        <v/>
      </c>
      <c r="AH416" s="66" t="str">
        <f t="shared" si="241"/>
        <v/>
      </c>
      <c r="AI416" s="67">
        <f t="shared" si="242"/>
        <v>-142.19999999999999</v>
      </c>
      <c r="AJ416" s="61">
        <v>1</v>
      </c>
      <c r="AK416" s="66">
        <f t="shared" si="243"/>
        <v>142.19999999999999</v>
      </c>
      <c r="AL416" s="66" t="str">
        <f t="shared" si="244"/>
        <v/>
      </c>
      <c r="AM416" s="67" t="str">
        <f t="shared" si="245"/>
        <v/>
      </c>
      <c r="AN416" s="61">
        <v>-1</v>
      </c>
      <c r="AO416" s="66" t="str">
        <f t="shared" si="246"/>
        <v/>
      </c>
      <c r="AP416" s="66" t="str">
        <f t="shared" si="247"/>
        <v/>
      </c>
      <c r="AQ416" s="67">
        <f t="shared" si="248"/>
        <v>-142.19999999999999</v>
      </c>
      <c r="AR416" s="61">
        <v>-1</v>
      </c>
      <c r="AS416" s="66" t="str">
        <f t="shared" si="249"/>
        <v/>
      </c>
      <c r="AT416" s="66" t="str">
        <f t="shared" si="250"/>
        <v/>
      </c>
      <c r="AU416" s="67">
        <f t="shared" si="251"/>
        <v>-142.19999999999999</v>
      </c>
      <c r="AV416" s="61">
        <v>1</v>
      </c>
      <c r="AW416" s="66">
        <f t="shared" si="234"/>
        <v>142.19999999999999</v>
      </c>
      <c r="AX416" s="66" t="str">
        <f t="shared" si="235"/>
        <v/>
      </c>
      <c r="AY416" s="67" t="str">
        <f t="shared" si="236"/>
        <v/>
      </c>
      <c r="AZ416" s="61">
        <v>1</v>
      </c>
      <c r="BA416" s="66">
        <f t="shared" si="237"/>
        <v>142.19999999999999</v>
      </c>
      <c r="BB416" s="66" t="str">
        <f t="shared" si="238"/>
        <v/>
      </c>
      <c r="BC416" s="67" t="str">
        <f t="shared" si="239"/>
        <v/>
      </c>
    </row>
    <row r="417" spans="29:55">
      <c r="AD417" s="68" t="str">
        <v>19</v>
      </c>
      <c r="AE417" s="61">
        <v>136.5</v>
      </c>
      <c r="AF417" s="61">
        <v>-1</v>
      </c>
      <c r="AG417" s="66" t="str">
        <f t="shared" si="240"/>
        <v/>
      </c>
      <c r="AH417" s="66" t="str">
        <f t="shared" si="241"/>
        <v/>
      </c>
      <c r="AI417" s="67">
        <f t="shared" si="242"/>
        <v>-136.5</v>
      </c>
      <c r="AJ417" s="61">
        <v>1</v>
      </c>
      <c r="AK417" s="66">
        <f t="shared" si="243"/>
        <v>136.5</v>
      </c>
      <c r="AL417" s="66" t="str">
        <f t="shared" si="244"/>
        <v/>
      </c>
      <c r="AM417" s="67" t="str">
        <f t="shared" si="245"/>
        <v/>
      </c>
      <c r="AN417" s="61">
        <v>-1</v>
      </c>
      <c r="AO417" s="66" t="str">
        <f t="shared" si="246"/>
        <v/>
      </c>
      <c r="AP417" s="66" t="str">
        <f t="shared" si="247"/>
        <v/>
      </c>
      <c r="AQ417" s="67">
        <f t="shared" si="248"/>
        <v>-136.5</v>
      </c>
      <c r="AR417" s="61">
        <v>-1</v>
      </c>
      <c r="AS417" s="66" t="str">
        <f t="shared" si="249"/>
        <v/>
      </c>
      <c r="AT417" s="66" t="str">
        <f t="shared" si="250"/>
        <v/>
      </c>
      <c r="AU417" s="67">
        <f t="shared" si="251"/>
        <v>-136.5</v>
      </c>
      <c r="AV417" s="61">
        <v>0</v>
      </c>
      <c r="AW417" s="66" t="str">
        <f t="shared" si="234"/>
        <v/>
      </c>
      <c r="AX417" s="66">
        <f t="shared" si="235"/>
        <v>0</v>
      </c>
      <c r="AY417" s="67" t="str">
        <f t="shared" si="236"/>
        <v/>
      </c>
      <c r="AZ417" s="61">
        <v>1</v>
      </c>
      <c r="BA417" s="66">
        <f t="shared" si="237"/>
        <v>136.5</v>
      </c>
      <c r="BB417" s="66" t="str">
        <f t="shared" si="238"/>
        <v/>
      </c>
      <c r="BC417" s="67" t="str">
        <f t="shared" si="239"/>
        <v/>
      </c>
    </row>
    <row r="418" spans="29:55">
      <c r="AD418" s="68" t="str">
        <v>20</v>
      </c>
      <c r="AE418" s="61">
        <v>137.30000000000001</v>
      </c>
      <c r="AF418" s="61">
        <v>-1</v>
      </c>
      <c r="AG418" s="66" t="str">
        <f t="shared" si="240"/>
        <v/>
      </c>
      <c r="AH418" s="66" t="str">
        <f t="shared" si="241"/>
        <v/>
      </c>
      <c r="AI418" s="67">
        <f t="shared" si="242"/>
        <v>-137.30000000000001</v>
      </c>
      <c r="AJ418" s="61">
        <v>1</v>
      </c>
      <c r="AK418" s="66">
        <f t="shared" si="243"/>
        <v>137.30000000000001</v>
      </c>
      <c r="AL418" s="66" t="str">
        <f t="shared" si="244"/>
        <v/>
      </c>
      <c r="AM418" s="67" t="str">
        <f t="shared" si="245"/>
        <v/>
      </c>
      <c r="AN418" s="61">
        <v>-1</v>
      </c>
      <c r="AO418" s="66" t="str">
        <f t="shared" si="246"/>
        <v/>
      </c>
      <c r="AP418" s="66" t="str">
        <f t="shared" si="247"/>
        <v/>
      </c>
      <c r="AQ418" s="67">
        <f t="shared" si="248"/>
        <v>-137.30000000000001</v>
      </c>
      <c r="AR418" s="61">
        <v>-1</v>
      </c>
      <c r="AS418" s="66" t="str">
        <f t="shared" si="249"/>
        <v/>
      </c>
      <c r="AT418" s="66" t="str">
        <f t="shared" si="250"/>
        <v/>
      </c>
      <c r="AU418" s="67">
        <f t="shared" si="251"/>
        <v>-137.30000000000001</v>
      </c>
      <c r="AV418" s="61">
        <v>-1</v>
      </c>
      <c r="AW418" s="66" t="str">
        <f t="shared" si="234"/>
        <v/>
      </c>
      <c r="AX418" s="66" t="str">
        <f t="shared" si="235"/>
        <v/>
      </c>
      <c r="AY418" s="67">
        <f t="shared" si="236"/>
        <v>-137.30000000000001</v>
      </c>
      <c r="AZ418" s="61">
        <v>1</v>
      </c>
      <c r="BA418" s="66">
        <f t="shared" si="237"/>
        <v>137.30000000000001</v>
      </c>
      <c r="BB418" s="66" t="str">
        <f t="shared" si="238"/>
        <v/>
      </c>
      <c r="BC418" s="67" t="str">
        <f t="shared" si="239"/>
        <v/>
      </c>
    </row>
    <row r="419" spans="29:55">
      <c r="AD419" s="68" t="str">
        <v>21</v>
      </c>
      <c r="AE419" s="61">
        <v>139.30000000000001</v>
      </c>
      <c r="AF419" s="61">
        <v>-1</v>
      </c>
      <c r="AG419" s="66" t="str">
        <f t="shared" si="240"/>
        <v/>
      </c>
      <c r="AH419" s="66" t="str">
        <f t="shared" si="241"/>
        <v/>
      </c>
      <c r="AI419" s="67">
        <f t="shared" si="242"/>
        <v>-139.30000000000001</v>
      </c>
      <c r="AJ419" s="61">
        <v>1</v>
      </c>
      <c r="AK419" s="66">
        <f t="shared" si="243"/>
        <v>139.30000000000001</v>
      </c>
      <c r="AL419" s="66" t="str">
        <f t="shared" si="244"/>
        <v/>
      </c>
      <c r="AM419" s="67" t="str">
        <f t="shared" si="245"/>
        <v/>
      </c>
      <c r="AN419" s="61">
        <v>1</v>
      </c>
      <c r="AO419" s="66">
        <f t="shared" si="246"/>
        <v>139.30000000000001</v>
      </c>
      <c r="AP419" s="66" t="str">
        <f t="shared" si="247"/>
        <v/>
      </c>
      <c r="AQ419" s="67" t="str">
        <f t="shared" si="248"/>
        <v/>
      </c>
      <c r="AR419" s="61">
        <v>-1</v>
      </c>
      <c r="AS419" s="66" t="str">
        <f t="shared" si="249"/>
        <v/>
      </c>
      <c r="AT419" s="66" t="str">
        <f t="shared" si="250"/>
        <v/>
      </c>
      <c r="AU419" s="67">
        <f t="shared" si="251"/>
        <v>-139.30000000000001</v>
      </c>
      <c r="AV419" s="61">
        <v>-1</v>
      </c>
      <c r="AW419" s="66" t="str">
        <f t="shared" si="234"/>
        <v/>
      </c>
      <c r="AX419" s="66" t="str">
        <f t="shared" si="235"/>
        <v/>
      </c>
      <c r="AY419" s="67">
        <f t="shared" si="236"/>
        <v>-139.30000000000001</v>
      </c>
      <c r="AZ419" s="61">
        <v>-1</v>
      </c>
      <c r="BA419" s="66" t="str">
        <f t="shared" si="237"/>
        <v/>
      </c>
      <c r="BB419" s="66" t="str">
        <f t="shared" si="238"/>
        <v/>
      </c>
      <c r="BC419" s="67">
        <f t="shared" si="239"/>
        <v>-139.30000000000001</v>
      </c>
    </row>
    <row r="420" spans="29:55">
      <c r="AD420" s="68" t="str">
        <v>22</v>
      </c>
      <c r="AE420" s="61">
        <v>145.79999999999998</v>
      </c>
      <c r="AF420" s="61">
        <v>-1</v>
      </c>
      <c r="AG420" s="66" t="str">
        <f t="shared" si="240"/>
        <v/>
      </c>
      <c r="AH420" s="66" t="str">
        <f t="shared" si="241"/>
        <v/>
      </c>
      <c r="AI420" s="67">
        <f t="shared" si="242"/>
        <v>-145.79999999999998</v>
      </c>
      <c r="AJ420" s="61">
        <v>1</v>
      </c>
      <c r="AK420" s="66">
        <f t="shared" si="243"/>
        <v>145.79999999999998</v>
      </c>
      <c r="AL420" s="66" t="str">
        <f t="shared" si="244"/>
        <v/>
      </c>
      <c r="AM420" s="67" t="str">
        <f t="shared" si="245"/>
        <v/>
      </c>
      <c r="AN420" s="61">
        <v>1</v>
      </c>
      <c r="AO420" s="66">
        <f t="shared" si="246"/>
        <v>145.79999999999998</v>
      </c>
      <c r="AP420" s="66" t="str">
        <f t="shared" si="247"/>
        <v/>
      </c>
      <c r="AQ420" s="67" t="str">
        <f t="shared" si="248"/>
        <v/>
      </c>
      <c r="AR420" s="61">
        <v>-1</v>
      </c>
      <c r="AS420" s="66" t="str">
        <f t="shared" si="249"/>
        <v/>
      </c>
      <c r="AT420" s="66" t="str">
        <f t="shared" si="250"/>
        <v/>
      </c>
      <c r="AU420" s="67">
        <f t="shared" si="251"/>
        <v>-145.79999999999998</v>
      </c>
      <c r="AV420" s="61">
        <v>0</v>
      </c>
      <c r="AW420" s="66" t="str">
        <f t="shared" si="234"/>
        <v/>
      </c>
      <c r="AX420" s="66">
        <f t="shared" si="235"/>
        <v>0</v>
      </c>
      <c r="AY420" s="67" t="str">
        <f t="shared" si="236"/>
        <v/>
      </c>
      <c r="AZ420" s="61">
        <v>-1</v>
      </c>
      <c r="BA420" s="66" t="str">
        <f t="shared" si="237"/>
        <v/>
      </c>
      <c r="BB420" s="66" t="str">
        <f t="shared" si="238"/>
        <v/>
      </c>
      <c r="BC420" s="67">
        <f t="shared" si="239"/>
        <v>-145.79999999999998</v>
      </c>
    </row>
    <row r="421" spans="29:55">
      <c r="AD421" s="68" t="str">
        <v>23</v>
      </c>
      <c r="AE421" s="61">
        <v>156.1</v>
      </c>
      <c r="AF421" s="61">
        <v>-1</v>
      </c>
      <c r="AG421" s="66" t="str">
        <f t="shared" si="240"/>
        <v/>
      </c>
      <c r="AH421" s="66" t="str">
        <f t="shared" si="241"/>
        <v/>
      </c>
      <c r="AI421" s="67">
        <f t="shared" si="242"/>
        <v>-156.1</v>
      </c>
      <c r="AJ421" s="61">
        <v>1</v>
      </c>
      <c r="AK421" s="66">
        <f t="shared" si="243"/>
        <v>156.1</v>
      </c>
      <c r="AL421" s="66" t="str">
        <f t="shared" si="244"/>
        <v/>
      </c>
      <c r="AM421" s="67" t="str">
        <f t="shared" si="245"/>
        <v/>
      </c>
      <c r="AN421" s="61">
        <v>1</v>
      </c>
      <c r="AO421" s="66">
        <f t="shared" si="246"/>
        <v>156.1</v>
      </c>
      <c r="AP421" s="66" t="str">
        <f t="shared" si="247"/>
        <v/>
      </c>
      <c r="AQ421" s="67" t="str">
        <f t="shared" si="248"/>
        <v/>
      </c>
      <c r="AR421" s="61">
        <v>-1</v>
      </c>
      <c r="AS421" s="66" t="str">
        <f t="shared" si="249"/>
        <v/>
      </c>
      <c r="AT421" s="66" t="str">
        <f t="shared" si="250"/>
        <v/>
      </c>
      <c r="AU421" s="67">
        <f t="shared" si="251"/>
        <v>-156.1</v>
      </c>
      <c r="AV421" s="61">
        <v>1</v>
      </c>
      <c r="AW421" s="66">
        <f t="shared" si="234"/>
        <v>156.1</v>
      </c>
      <c r="AX421" s="66" t="str">
        <f t="shared" si="235"/>
        <v/>
      </c>
      <c r="AY421" s="67" t="str">
        <f t="shared" si="236"/>
        <v/>
      </c>
      <c r="AZ421" s="61">
        <v>-1</v>
      </c>
      <c r="BA421" s="66" t="str">
        <f t="shared" si="237"/>
        <v/>
      </c>
      <c r="BB421" s="66" t="str">
        <f t="shared" si="238"/>
        <v/>
      </c>
      <c r="BC421" s="67">
        <f t="shared" si="239"/>
        <v>-156.1</v>
      </c>
    </row>
    <row r="422" spans="29:55" ht="15.75" thickBot="1">
      <c r="AC422" s="476">
        <f>AD394</f>
        <v>44722</v>
      </c>
      <c r="AD422" s="69" t="s">
        <v>85</v>
      </c>
      <c r="AE422" s="70">
        <f>SUM(AE398:AE421)</f>
        <v>3946.3000000000006</v>
      </c>
      <c r="AF422" s="70"/>
      <c r="AG422" s="71">
        <f>ABS(SUM(AG398:AG421))</f>
        <v>2079.9</v>
      </c>
      <c r="AH422" s="70"/>
      <c r="AI422" s="72">
        <f>ABS(SUM(AI398:AI421))</f>
        <v>1866.3999999999996</v>
      </c>
      <c r="AJ422" s="70"/>
      <c r="AK422" s="71">
        <f>ABS(SUM(AK398:AK421))</f>
        <v>1899.9999999999998</v>
      </c>
      <c r="AL422" s="70"/>
      <c r="AM422" s="72">
        <f>ABS(SUM(AM398:AM421))</f>
        <v>2046.3</v>
      </c>
      <c r="AN422" s="70"/>
      <c r="AO422" s="71">
        <f>ABS(SUM(AO398:AO421))</f>
        <v>1998.3999999999996</v>
      </c>
      <c r="AP422" s="70"/>
      <c r="AQ422" s="72">
        <f>ABS(SUM(AQ398:AQ421))</f>
        <v>1947.9</v>
      </c>
      <c r="AR422" s="70"/>
      <c r="AS422" s="71">
        <f>ABS(SUM(AS398:AS421))</f>
        <v>2052</v>
      </c>
      <c r="AT422" s="70"/>
      <c r="AU422" s="72">
        <f>ABS(SUM(AU398:AU421))</f>
        <v>1894.3</v>
      </c>
      <c r="AV422" s="70"/>
      <c r="AW422" s="71">
        <f>ABS(SUM(AW398:AW421))</f>
        <v>1310.0999999999999</v>
      </c>
      <c r="AX422" s="70"/>
      <c r="AY422" s="72">
        <f>ABS(SUM(AY398:AY421))</f>
        <v>1319.7999999999997</v>
      </c>
      <c r="AZ422" s="70"/>
      <c r="BA422" s="71">
        <f>ABS(SUM(BA398:BA421))</f>
        <v>1974.9</v>
      </c>
      <c r="BB422" s="70"/>
      <c r="BC422" s="72">
        <f>ABS(SUM(BC398:BC421))</f>
        <v>1971.3999999999999</v>
      </c>
    </row>
    <row r="424" spans="29:55" ht="15" thickBot="1">
      <c r="AD424" s="476">
        <f>skemA1!B19</f>
        <v>44723</v>
      </c>
    </row>
    <row r="425" spans="29:55" ht="15" thickBot="1">
      <c r="AD425" s="677" t="s">
        <v>75</v>
      </c>
      <c r="AE425" s="60" t="s">
        <v>558</v>
      </c>
      <c r="AF425" s="672" t="s">
        <v>559</v>
      </c>
      <c r="AG425" s="672"/>
      <c r="AH425" s="672"/>
      <c r="AI425" s="673"/>
      <c r="AJ425" s="672" t="s">
        <v>562</v>
      </c>
      <c r="AK425" s="672"/>
      <c r="AL425" s="672"/>
      <c r="AM425" s="673"/>
      <c r="AN425" s="672" t="s">
        <v>563</v>
      </c>
      <c r="AO425" s="672"/>
      <c r="AP425" s="672"/>
      <c r="AQ425" s="673"/>
      <c r="AR425" s="672" t="s">
        <v>564</v>
      </c>
      <c r="AS425" s="672"/>
      <c r="AT425" s="672"/>
      <c r="AU425" s="673"/>
      <c r="AV425" s="672" t="s">
        <v>565</v>
      </c>
      <c r="AW425" s="672"/>
      <c r="AX425" s="672"/>
      <c r="AY425" s="673"/>
      <c r="AZ425" s="672" t="s">
        <v>566</v>
      </c>
      <c r="BA425" s="672"/>
      <c r="BB425" s="672"/>
      <c r="BC425" s="673"/>
    </row>
    <row r="426" spans="29:55" ht="15" thickBot="1">
      <c r="AD426" s="677"/>
      <c r="AE426" s="61"/>
      <c r="AF426" s="674" t="s">
        <v>561</v>
      </c>
      <c r="AG426" s="670" t="s">
        <v>560</v>
      </c>
      <c r="AH426" s="670"/>
      <c r="AI426" s="671"/>
      <c r="AJ426" s="674" t="s">
        <v>561</v>
      </c>
      <c r="AK426" s="670" t="s">
        <v>560</v>
      </c>
      <c r="AL426" s="670"/>
      <c r="AM426" s="671"/>
      <c r="AN426" s="674" t="s">
        <v>561</v>
      </c>
      <c r="AO426" s="670" t="s">
        <v>560</v>
      </c>
      <c r="AP426" s="670"/>
      <c r="AQ426" s="671"/>
      <c r="AR426" s="674" t="s">
        <v>561</v>
      </c>
      <c r="AS426" s="670" t="s">
        <v>560</v>
      </c>
      <c r="AT426" s="670"/>
      <c r="AU426" s="671"/>
      <c r="AV426" s="674" t="s">
        <v>561</v>
      </c>
      <c r="AW426" s="670" t="s">
        <v>560</v>
      </c>
      <c r="AX426" s="670"/>
      <c r="AY426" s="671"/>
      <c r="AZ426" s="674" t="s">
        <v>561</v>
      </c>
      <c r="BA426" s="670" t="s">
        <v>560</v>
      </c>
      <c r="BB426" s="670"/>
      <c r="BC426" s="671"/>
    </row>
    <row r="427" spans="29:55">
      <c r="AD427" s="677"/>
      <c r="AE427" s="62"/>
      <c r="AF427" s="674"/>
      <c r="AG427" s="63" t="s">
        <v>76</v>
      </c>
      <c r="AH427" s="63">
        <v>0</v>
      </c>
      <c r="AI427" s="64" t="s">
        <v>77</v>
      </c>
      <c r="AJ427" s="674"/>
      <c r="AK427" s="63" t="s">
        <v>76</v>
      </c>
      <c r="AL427" s="63">
        <v>0</v>
      </c>
      <c r="AM427" s="64" t="s">
        <v>77</v>
      </c>
      <c r="AN427" s="674"/>
      <c r="AO427" s="63" t="s">
        <v>76</v>
      </c>
      <c r="AP427" s="63">
        <v>0</v>
      </c>
      <c r="AQ427" s="64" t="s">
        <v>77</v>
      </c>
      <c r="AR427" s="674"/>
      <c r="AS427" s="63" t="s">
        <v>76</v>
      </c>
      <c r="AT427" s="63">
        <v>0</v>
      </c>
      <c r="AU427" s="64" t="s">
        <v>77</v>
      </c>
      <c r="AV427" s="674"/>
      <c r="AW427" s="63" t="s">
        <v>76</v>
      </c>
      <c r="AX427" s="63">
        <v>0</v>
      </c>
      <c r="AY427" s="64" t="s">
        <v>77</v>
      </c>
      <c r="AZ427" s="674"/>
      <c r="BA427" s="63" t="s">
        <v>76</v>
      </c>
      <c r="BB427" s="63">
        <v>0</v>
      </c>
      <c r="BC427" s="64" t="s">
        <v>77</v>
      </c>
    </row>
    <row r="428" spans="29:55">
      <c r="AD428" s="65" t="str">
        <f t="array" ref="AD428:AD451">TRANSPOSE($C$5:$Z$5)</f>
        <v>00</v>
      </c>
      <c r="AE428" s="66">
        <f t="array" ref="AE428:AE451">TRANSPOSE(skemA1!$C$19:$Z$198)</f>
        <v>169.6</v>
      </c>
      <c r="AF428" s="66">
        <f t="array" ref="AF428:AF451">TRANSPOSE($C$6:$Z$6)</f>
        <v>-1</v>
      </c>
      <c r="AG428" s="66" t="str">
        <f>IF(AF428&gt;0,AF428*$AE428,"")</f>
        <v/>
      </c>
      <c r="AH428" s="66" t="str">
        <f>IF(AF428=0,AF428*$AE428,"")</f>
        <v/>
      </c>
      <c r="AI428" s="67">
        <f>IF(AF428&lt;0,AF428*$AE428,"")</f>
        <v>-169.6</v>
      </c>
      <c r="AJ428" s="66">
        <f t="array" ref="AJ428:AJ451">TRANSPOSE($C$7:$Z$7)</f>
        <v>-1</v>
      </c>
      <c r="AK428" s="66" t="str">
        <f>IF(AJ428&gt;0,AJ428*$AE428,"")</f>
        <v/>
      </c>
      <c r="AL428" s="66" t="str">
        <f>IF(AJ428=0,AJ428*$AE428,"")</f>
        <v/>
      </c>
      <c r="AM428" s="67">
        <f>IF(AJ428&lt;0,AJ428*$AE428,"")</f>
        <v>-169.6</v>
      </c>
      <c r="AN428" s="66">
        <f t="array" ref="AN428:AN451">TRANSPOSE($C$8:$Z$8)</f>
        <v>1</v>
      </c>
      <c r="AO428" s="66">
        <f>IF(AN428&gt;0,AN428*$AE428,"")</f>
        <v>169.6</v>
      </c>
      <c r="AP428" s="66" t="str">
        <f>IF(AN428=0,AN428*$AE428,"")</f>
        <v/>
      </c>
      <c r="AQ428" s="67" t="str">
        <f>IF(AN428&lt;0,AN428*$AE428,"")</f>
        <v/>
      </c>
      <c r="AR428" s="66">
        <f t="array" ref="AR428:AR451">TRANSPOSE($C$9:$Z$9)</f>
        <v>1</v>
      </c>
      <c r="AS428" s="66">
        <f>IF(AR428&gt;0,AR428*$AE428,"")</f>
        <v>169.6</v>
      </c>
      <c r="AT428" s="66" t="str">
        <f>IF(AR428=0,AR428*$AE428,"")</f>
        <v/>
      </c>
      <c r="AU428" s="67" t="str">
        <f>IF(AR428&lt;0,AR428*$AE428,"")</f>
        <v/>
      </c>
      <c r="AV428" s="66">
        <f t="array" ref="AV428:AV451">TRANSPOSE($C$10:$Z$10)</f>
        <v>1</v>
      </c>
      <c r="AW428" s="66">
        <f t="shared" ref="AW428:AW451" si="252">IF(AV428&gt;0,AV428*$AE428,"")</f>
        <v>169.6</v>
      </c>
      <c r="AX428" s="66" t="str">
        <f t="shared" ref="AX428:AX451" si="253">IF(AV428=0,AV428*$AE428,"")</f>
        <v/>
      </c>
      <c r="AY428" s="67" t="str">
        <f t="shared" ref="AY428:AY451" si="254">IF(AV428&lt;0,AV428*$AE428,"")</f>
        <v/>
      </c>
      <c r="AZ428" s="66">
        <f t="array" ref="AZ428:AZ451">TRANSPOSE($C$11:$Z$11)</f>
        <v>1</v>
      </c>
      <c r="BA428" s="66">
        <f t="shared" ref="BA428:BA451" si="255">IF(AZ428&gt;0,AZ428*$AE428,"")</f>
        <v>169.6</v>
      </c>
      <c r="BB428" s="66" t="str">
        <f t="shared" ref="BB428:BB451" si="256">IF(AZ428=0,AZ428*$AE428,"")</f>
        <v/>
      </c>
      <c r="BC428" s="67" t="str">
        <f t="shared" ref="BC428:BC451" si="257">IF(AZ428&lt;0,AZ428*$AE428,"")</f>
        <v/>
      </c>
    </row>
    <row r="429" spans="29:55">
      <c r="AD429" s="68" t="str">
        <v>01</v>
      </c>
      <c r="AE429" s="61">
        <v>181.6</v>
      </c>
      <c r="AF429" s="61">
        <v>-1</v>
      </c>
      <c r="AG429" s="66" t="str">
        <f t="shared" ref="AG429:AG451" si="258">IF(AF429&gt;0,AF429*$AE429,"")</f>
        <v/>
      </c>
      <c r="AH429" s="66" t="str">
        <f t="shared" ref="AH429:AH451" si="259">IF(AF429=0,AF429*$AE429,"")</f>
        <v/>
      </c>
      <c r="AI429" s="67">
        <f t="shared" ref="AI429:AI451" si="260">IF(AF429&lt;0,AF429*$AE429,"")</f>
        <v>-181.6</v>
      </c>
      <c r="AJ429" s="61">
        <v>-1</v>
      </c>
      <c r="AK429" s="66" t="str">
        <f t="shared" ref="AK429:AK451" si="261">IF(AJ429&gt;0,AJ429*$AE429,"")</f>
        <v/>
      </c>
      <c r="AL429" s="66" t="str">
        <f t="shared" ref="AL429:AL451" si="262">IF(AJ429=0,AJ429*$AE429,"")</f>
        <v/>
      </c>
      <c r="AM429" s="67">
        <f t="shared" ref="AM429:AM451" si="263">IF(AJ429&lt;0,AJ429*$AE429,"")</f>
        <v>-181.6</v>
      </c>
      <c r="AN429" s="61">
        <v>1</v>
      </c>
      <c r="AO429" s="66">
        <f t="shared" ref="AO429:AO451" si="264">IF(AN429&gt;0,AN429*$AE429,"")</f>
        <v>181.6</v>
      </c>
      <c r="AP429" s="66" t="str">
        <f t="shared" ref="AP429:AP451" si="265">IF(AN429=0,AN429*$AE429,"")</f>
        <v/>
      </c>
      <c r="AQ429" s="67" t="str">
        <f t="shared" ref="AQ429:AQ451" si="266">IF(AN429&lt;0,AN429*$AE429,"")</f>
        <v/>
      </c>
      <c r="AR429" s="61">
        <v>1</v>
      </c>
      <c r="AS429" s="66">
        <f t="shared" ref="AS429:AS451" si="267">IF(AR429&gt;0,AR429*$AE429,"")</f>
        <v>181.6</v>
      </c>
      <c r="AT429" s="66" t="str">
        <f t="shared" ref="AT429:AT451" si="268">IF(AR429=0,AR429*$AE429,"")</f>
        <v/>
      </c>
      <c r="AU429" s="67" t="str">
        <f t="shared" ref="AU429:AU451" si="269">IF(AR429&lt;0,AR429*$AE429,"")</f>
        <v/>
      </c>
      <c r="AV429" s="61">
        <v>0</v>
      </c>
      <c r="AW429" s="66" t="str">
        <f t="shared" si="252"/>
        <v/>
      </c>
      <c r="AX429" s="66">
        <f t="shared" si="253"/>
        <v>0</v>
      </c>
      <c r="AY429" s="67" t="str">
        <f t="shared" si="254"/>
        <v/>
      </c>
      <c r="AZ429" s="61">
        <v>1</v>
      </c>
      <c r="BA429" s="66">
        <f t="shared" si="255"/>
        <v>181.6</v>
      </c>
      <c r="BB429" s="66" t="str">
        <f t="shared" si="256"/>
        <v/>
      </c>
      <c r="BC429" s="67" t="str">
        <f t="shared" si="257"/>
        <v/>
      </c>
    </row>
    <row r="430" spans="29:55">
      <c r="AD430" s="68" t="str">
        <v>02</v>
      </c>
      <c r="AE430" s="61">
        <v>190.3</v>
      </c>
      <c r="AF430" s="61">
        <v>-1</v>
      </c>
      <c r="AG430" s="66" t="str">
        <f t="shared" si="258"/>
        <v/>
      </c>
      <c r="AH430" s="66" t="str">
        <f t="shared" si="259"/>
        <v/>
      </c>
      <c r="AI430" s="67">
        <f t="shared" si="260"/>
        <v>-190.3</v>
      </c>
      <c r="AJ430" s="61">
        <v>-1</v>
      </c>
      <c r="AK430" s="66" t="str">
        <f t="shared" si="261"/>
        <v/>
      </c>
      <c r="AL430" s="66" t="str">
        <f t="shared" si="262"/>
        <v/>
      </c>
      <c r="AM430" s="67">
        <f t="shared" si="263"/>
        <v>-190.3</v>
      </c>
      <c r="AN430" s="61">
        <v>1</v>
      </c>
      <c r="AO430" s="66">
        <f t="shared" si="264"/>
        <v>190.3</v>
      </c>
      <c r="AP430" s="66" t="str">
        <f t="shared" si="265"/>
        <v/>
      </c>
      <c r="AQ430" s="67" t="str">
        <f t="shared" si="266"/>
        <v/>
      </c>
      <c r="AR430" s="61">
        <v>1</v>
      </c>
      <c r="AS430" s="66">
        <f t="shared" si="267"/>
        <v>190.3</v>
      </c>
      <c r="AT430" s="66" t="str">
        <f t="shared" si="268"/>
        <v/>
      </c>
      <c r="AU430" s="67" t="str">
        <f t="shared" si="269"/>
        <v/>
      </c>
      <c r="AV430" s="61">
        <v>-1</v>
      </c>
      <c r="AW430" s="66" t="str">
        <f t="shared" si="252"/>
        <v/>
      </c>
      <c r="AX430" s="66" t="str">
        <f t="shared" si="253"/>
        <v/>
      </c>
      <c r="AY430" s="67">
        <f t="shared" si="254"/>
        <v>-190.3</v>
      </c>
      <c r="AZ430" s="61">
        <v>1</v>
      </c>
      <c r="BA430" s="66">
        <f t="shared" si="255"/>
        <v>190.3</v>
      </c>
      <c r="BB430" s="66" t="str">
        <f t="shared" si="256"/>
        <v/>
      </c>
      <c r="BC430" s="67" t="str">
        <f t="shared" si="257"/>
        <v/>
      </c>
    </row>
    <row r="431" spans="29:55">
      <c r="AD431" s="68" t="str">
        <v>03</v>
      </c>
      <c r="AE431" s="61">
        <v>196.8</v>
      </c>
      <c r="AF431" s="61">
        <v>-1</v>
      </c>
      <c r="AG431" s="66" t="str">
        <f t="shared" si="258"/>
        <v/>
      </c>
      <c r="AH431" s="66" t="str">
        <f t="shared" si="259"/>
        <v/>
      </c>
      <c r="AI431" s="67">
        <f t="shared" si="260"/>
        <v>-196.8</v>
      </c>
      <c r="AJ431" s="61">
        <v>-1</v>
      </c>
      <c r="AK431" s="66" t="str">
        <f t="shared" si="261"/>
        <v/>
      </c>
      <c r="AL431" s="66" t="str">
        <f t="shared" si="262"/>
        <v/>
      </c>
      <c r="AM431" s="67">
        <f t="shared" si="263"/>
        <v>-196.8</v>
      </c>
      <c r="AN431" s="61">
        <v>-1</v>
      </c>
      <c r="AO431" s="66" t="str">
        <f t="shared" si="264"/>
        <v/>
      </c>
      <c r="AP431" s="66" t="str">
        <f t="shared" si="265"/>
        <v/>
      </c>
      <c r="AQ431" s="67">
        <f t="shared" si="266"/>
        <v>-196.8</v>
      </c>
      <c r="AR431" s="61">
        <v>1</v>
      </c>
      <c r="AS431" s="66">
        <f t="shared" si="267"/>
        <v>196.8</v>
      </c>
      <c r="AT431" s="66" t="str">
        <f t="shared" si="268"/>
        <v/>
      </c>
      <c r="AU431" s="67" t="str">
        <f t="shared" si="269"/>
        <v/>
      </c>
      <c r="AV431" s="61">
        <v>-1</v>
      </c>
      <c r="AW431" s="66" t="str">
        <f t="shared" si="252"/>
        <v/>
      </c>
      <c r="AX431" s="66" t="str">
        <f t="shared" si="253"/>
        <v/>
      </c>
      <c r="AY431" s="67">
        <f t="shared" si="254"/>
        <v>-196.8</v>
      </c>
      <c r="AZ431" s="61">
        <v>-1</v>
      </c>
      <c r="BA431" s="66" t="str">
        <f t="shared" si="255"/>
        <v/>
      </c>
      <c r="BB431" s="66" t="str">
        <f t="shared" si="256"/>
        <v/>
      </c>
      <c r="BC431" s="67">
        <f t="shared" si="257"/>
        <v>-196.8</v>
      </c>
    </row>
    <row r="432" spans="29:55">
      <c r="AD432" s="68" t="str">
        <v>04</v>
      </c>
      <c r="AE432" s="61">
        <v>201.2</v>
      </c>
      <c r="AF432" s="61">
        <v>-1</v>
      </c>
      <c r="AG432" s="66" t="str">
        <f t="shared" si="258"/>
        <v/>
      </c>
      <c r="AH432" s="66" t="str">
        <f t="shared" si="259"/>
        <v/>
      </c>
      <c r="AI432" s="67">
        <f t="shared" si="260"/>
        <v>-201.2</v>
      </c>
      <c r="AJ432" s="61">
        <v>-1</v>
      </c>
      <c r="AK432" s="66" t="str">
        <f t="shared" si="261"/>
        <v/>
      </c>
      <c r="AL432" s="66" t="str">
        <f t="shared" si="262"/>
        <v/>
      </c>
      <c r="AM432" s="67">
        <f t="shared" si="263"/>
        <v>-201.2</v>
      </c>
      <c r="AN432" s="61">
        <v>-1</v>
      </c>
      <c r="AO432" s="66" t="str">
        <f t="shared" si="264"/>
        <v/>
      </c>
      <c r="AP432" s="66" t="str">
        <f t="shared" si="265"/>
        <v/>
      </c>
      <c r="AQ432" s="67">
        <f t="shared" si="266"/>
        <v>-201.2</v>
      </c>
      <c r="AR432" s="61">
        <v>1</v>
      </c>
      <c r="AS432" s="66">
        <f t="shared" si="267"/>
        <v>201.2</v>
      </c>
      <c r="AT432" s="66" t="str">
        <f t="shared" si="268"/>
        <v/>
      </c>
      <c r="AU432" s="67" t="str">
        <f t="shared" si="269"/>
        <v/>
      </c>
      <c r="AV432" s="61">
        <v>0</v>
      </c>
      <c r="AW432" s="66" t="str">
        <f t="shared" si="252"/>
        <v/>
      </c>
      <c r="AX432" s="66">
        <f t="shared" si="253"/>
        <v>0</v>
      </c>
      <c r="AY432" s="67" t="str">
        <f t="shared" si="254"/>
        <v/>
      </c>
      <c r="AZ432" s="61">
        <v>-1</v>
      </c>
      <c r="BA432" s="66" t="str">
        <f t="shared" si="255"/>
        <v/>
      </c>
      <c r="BB432" s="66" t="str">
        <f t="shared" si="256"/>
        <v/>
      </c>
      <c r="BC432" s="67">
        <f t="shared" si="257"/>
        <v>-201.2</v>
      </c>
    </row>
    <row r="433" spans="30:55">
      <c r="AD433" s="68" t="str">
        <v>05</v>
      </c>
      <c r="AE433" s="61">
        <v>200</v>
      </c>
      <c r="AF433" s="61">
        <v>-1</v>
      </c>
      <c r="AG433" s="66" t="str">
        <f t="shared" si="258"/>
        <v/>
      </c>
      <c r="AH433" s="66" t="str">
        <f t="shared" si="259"/>
        <v/>
      </c>
      <c r="AI433" s="67">
        <f t="shared" si="260"/>
        <v>-200</v>
      </c>
      <c r="AJ433" s="61">
        <v>-1</v>
      </c>
      <c r="AK433" s="66" t="str">
        <f t="shared" si="261"/>
        <v/>
      </c>
      <c r="AL433" s="66" t="str">
        <f t="shared" si="262"/>
        <v/>
      </c>
      <c r="AM433" s="67">
        <f t="shared" si="263"/>
        <v>-200</v>
      </c>
      <c r="AN433" s="61">
        <v>-1</v>
      </c>
      <c r="AO433" s="66" t="str">
        <f t="shared" si="264"/>
        <v/>
      </c>
      <c r="AP433" s="66" t="str">
        <f t="shared" si="265"/>
        <v/>
      </c>
      <c r="AQ433" s="67">
        <f t="shared" si="266"/>
        <v>-200</v>
      </c>
      <c r="AR433" s="61">
        <v>1</v>
      </c>
      <c r="AS433" s="66">
        <f t="shared" si="267"/>
        <v>200</v>
      </c>
      <c r="AT433" s="66" t="str">
        <f t="shared" si="268"/>
        <v/>
      </c>
      <c r="AU433" s="67" t="str">
        <f t="shared" si="269"/>
        <v/>
      </c>
      <c r="AV433" s="61">
        <v>1</v>
      </c>
      <c r="AW433" s="66">
        <f t="shared" si="252"/>
        <v>200</v>
      </c>
      <c r="AX433" s="66" t="str">
        <f t="shared" si="253"/>
        <v/>
      </c>
      <c r="AY433" s="67" t="str">
        <f t="shared" si="254"/>
        <v/>
      </c>
      <c r="AZ433" s="61">
        <v>-1</v>
      </c>
      <c r="BA433" s="66" t="str">
        <f t="shared" si="255"/>
        <v/>
      </c>
      <c r="BB433" s="66" t="str">
        <f t="shared" si="256"/>
        <v/>
      </c>
      <c r="BC433" s="67">
        <f t="shared" si="257"/>
        <v>-200</v>
      </c>
    </row>
    <row r="434" spans="30:55">
      <c r="AD434" s="68" t="str">
        <v>06</v>
      </c>
      <c r="AE434" s="61">
        <v>191.3</v>
      </c>
      <c r="AF434" s="61">
        <v>1</v>
      </c>
      <c r="AG434" s="66">
        <f t="shared" si="258"/>
        <v>191.3</v>
      </c>
      <c r="AH434" s="66" t="str">
        <f t="shared" si="259"/>
        <v/>
      </c>
      <c r="AI434" s="67" t="str">
        <f t="shared" si="260"/>
        <v/>
      </c>
      <c r="AJ434" s="61">
        <v>-1</v>
      </c>
      <c r="AK434" s="66" t="str">
        <f t="shared" si="261"/>
        <v/>
      </c>
      <c r="AL434" s="66" t="str">
        <f t="shared" si="262"/>
        <v/>
      </c>
      <c r="AM434" s="67">
        <f t="shared" si="263"/>
        <v>-191.3</v>
      </c>
      <c r="AN434" s="61">
        <v>-1</v>
      </c>
      <c r="AO434" s="66" t="str">
        <f t="shared" si="264"/>
        <v/>
      </c>
      <c r="AP434" s="66" t="str">
        <f t="shared" si="265"/>
        <v/>
      </c>
      <c r="AQ434" s="67">
        <f t="shared" si="266"/>
        <v>-191.3</v>
      </c>
      <c r="AR434" s="61">
        <v>-1</v>
      </c>
      <c r="AS434" s="66" t="str">
        <f t="shared" si="267"/>
        <v/>
      </c>
      <c r="AT434" s="66" t="str">
        <f t="shared" si="268"/>
        <v/>
      </c>
      <c r="AU434" s="67">
        <f t="shared" si="269"/>
        <v>-191.3</v>
      </c>
      <c r="AV434" s="61">
        <v>1</v>
      </c>
      <c r="AW434" s="66">
        <f t="shared" si="252"/>
        <v>191.3</v>
      </c>
      <c r="AX434" s="66" t="str">
        <f t="shared" si="253"/>
        <v/>
      </c>
      <c r="AY434" s="67" t="str">
        <f t="shared" si="254"/>
        <v/>
      </c>
      <c r="AZ434" s="61">
        <v>1</v>
      </c>
      <c r="BA434" s="66">
        <f t="shared" si="255"/>
        <v>191.3</v>
      </c>
      <c r="BB434" s="66" t="str">
        <f t="shared" si="256"/>
        <v/>
      </c>
      <c r="BC434" s="67" t="str">
        <f t="shared" si="257"/>
        <v/>
      </c>
    </row>
    <row r="435" spans="30:55">
      <c r="AD435" s="68" t="str">
        <v>07</v>
      </c>
      <c r="AE435" s="61">
        <v>182</v>
      </c>
      <c r="AF435" s="61">
        <v>1</v>
      </c>
      <c r="AG435" s="66">
        <f t="shared" si="258"/>
        <v>182</v>
      </c>
      <c r="AH435" s="66" t="str">
        <f t="shared" si="259"/>
        <v/>
      </c>
      <c r="AI435" s="67" t="str">
        <f t="shared" si="260"/>
        <v/>
      </c>
      <c r="AJ435" s="61">
        <v>-1</v>
      </c>
      <c r="AK435" s="66" t="str">
        <f t="shared" si="261"/>
        <v/>
      </c>
      <c r="AL435" s="66" t="str">
        <f t="shared" si="262"/>
        <v/>
      </c>
      <c r="AM435" s="67">
        <f t="shared" si="263"/>
        <v>-182</v>
      </c>
      <c r="AN435" s="61">
        <v>-1</v>
      </c>
      <c r="AO435" s="66" t="str">
        <f t="shared" si="264"/>
        <v/>
      </c>
      <c r="AP435" s="66" t="str">
        <f t="shared" si="265"/>
        <v/>
      </c>
      <c r="AQ435" s="67">
        <f t="shared" si="266"/>
        <v>-182</v>
      </c>
      <c r="AR435" s="61">
        <v>-1</v>
      </c>
      <c r="AS435" s="66" t="str">
        <f t="shared" si="267"/>
        <v/>
      </c>
      <c r="AT435" s="66" t="str">
        <f t="shared" si="268"/>
        <v/>
      </c>
      <c r="AU435" s="67">
        <f t="shared" si="269"/>
        <v>-182</v>
      </c>
      <c r="AV435" s="61">
        <v>0</v>
      </c>
      <c r="AW435" s="66" t="str">
        <f t="shared" si="252"/>
        <v/>
      </c>
      <c r="AX435" s="66">
        <f t="shared" si="253"/>
        <v>0</v>
      </c>
      <c r="AY435" s="67" t="str">
        <f t="shared" si="254"/>
        <v/>
      </c>
      <c r="AZ435" s="61">
        <v>1</v>
      </c>
      <c r="BA435" s="66">
        <f t="shared" si="255"/>
        <v>182</v>
      </c>
      <c r="BB435" s="66" t="str">
        <f t="shared" si="256"/>
        <v/>
      </c>
      <c r="BC435" s="67" t="str">
        <f t="shared" si="257"/>
        <v/>
      </c>
    </row>
    <row r="436" spans="30:55">
      <c r="AD436" s="68" t="str">
        <v>08</v>
      </c>
      <c r="AE436" s="61">
        <v>172.2</v>
      </c>
      <c r="AF436" s="61">
        <v>1</v>
      </c>
      <c r="AG436" s="66">
        <f t="shared" si="258"/>
        <v>172.2</v>
      </c>
      <c r="AH436" s="66" t="str">
        <f t="shared" si="259"/>
        <v/>
      </c>
      <c r="AI436" s="67" t="str">
        <f t="shared" si="260"/>
        <v/>
      </c>
      <c r="AJ436" s="61">
        <v>-1</v>
      </c>
      <c r="AK436" s="66" t="str">
        <f t="shared" si="261"/>
        <v/>
      </c>
      <c r="AL436" s="66" t="str">
        <f t="shared" si="262"/>
        <v/>
      </c>
      <c r="AM436" s="67">
        <f t="shared" si="263"/>
        <v>-172.2</v>
      </c>
      <c r="AN436" s="61">
        <v>-1</v>
      </c>
      <c r="AO436" s="66" t="str">
        <f t="shared" si="264"/>
        <v/>
      </c>
      <c r="AP436" s="66" t="str">
        <f t="shared" si="265"/>
        <v/>
      </c>
      <c r="AQ436" s="67">
        <f t="shared" si="266"/>
        <v>-172.2</v>
      </c>
      <c r="AR436" s="61">
        <v>-1</v>
      </c>
      <c r="AS436" s="66" t="str">
        <f t="shared" si="267"/>
        <v/>
      </c>
      <c r="AT436" s="66" t="str">
        <f t="shared" si="268"/>
        <v/>
      </c>
      <c r="AU436" s="67">
        <f t="shared" si="269"/>
        <v>-172.2</v>
      </c>
      <c r="AV436" s="61">
        <v>-1</v>
      </c>
      <c r="AW436" s="66" t="str">
        <f t="shared" si="252"/>
        <v/>
      </c>
      <c r="AX436" s="66" t="str">
        <f t="shared" si="253"/>
        <v/>
      </c>
      <c r="AY436" s="67">
        <f t="shared" si="254"/>
        <v>-172.2</v>
      </c>
      <c r="AZ436" s="61">
        <v>1</v>
      </c>
      <c r="BA436" s="66">
        <f t="shared" si="255"/>
        <v>172.2</v>
      </c>
      <c r="BB436" s="66" t="str">
        <f t="shared" si="256"/>
        <v/>
      </c>
      <c r="BC436" s="67" t="str">
        <f t="shared" si="257"/>
        <v/>
      </c>
    </row>
    <row r="437" spans="30:55">
      <c r="AD437" s="68" t="str">
        <v>09</v>
      </c>
      <c r="AE437" s="61">
        <v>164.79999999999998</v>
      </c>
      <c r="AF437" s="61">
        <v>1</v>
      </c>
      <c r="AG437" s="66">
        <f t="shared" si="258"/>
        <v>164.79999999999998</v>
      </c>
      <c r="AH437" s="66" t="str">
        <f t="shared" si="259"/>
        <v/>
      </c>
      <c r="AI437" s="67" t="str">
        <f t="shared" si="260"/>
        <v/>
      </c>
      <c r="AJ437" s="61">
        <v>-1</v>
      </c>
      <c r="AK437" s="66" t="str">
        <f t="shared" si="261"/>
        <v/>
      </c>
      <c r="AL437" s="66" t="str">
        <f t="shared" si="262"/>
        <v/>
      </c>
      <c r="AM437" s="67">
        <f t="shared" si="263"/>
        <v>-164.79999999999998</v>
      </c>
      <c r="AN437" s="61">
        <v>1</v>
      </c>
      <c r="AO437" s="66">
        <f t="shared" si="264"/>
        <v>164.79999999999998</v>
      </c>
      <c r="AP437" s="66" t="str">
        <f t="shared" si="265"/>
        <v/>
      </c>
      <c r="AQ437" s="67" t="str">
        <f t="shared" si="266"/>
        <v/>
      </c>
      <c r="AR437" s="61">
        <v>-1</v>
      </c>
      <c r="AS437" s="66" t="str">
        <f t="shared" si="267"/>
        <v/>
      </c>
      <c r="AT437" s="66" t="str">
        <f t="shared" si="268"/>
        <v/>
      </c>
      <c r="AU437" s="67">
        <f t="shared" si="269"/>
        <v>-164.79999999999998</v>
      </c>
      <c r="AV437" s="61">
        <v>-1</v>
      </c>
      <c r="AW437" s="66" t="str">
        <f t="shared" si="252"/>
        <v/>
      </c>
      <c r="AX437" s="66" t="str">
        <f t="shared" si="253"/>
        <v/>
      </c>
      <c r="AY437" s="67">
        <f t="shared" si="254"/>
        <v>-164.79999999999998</v>
      </c>
      <c r="AZ437" s="61">
        <v>-1</v>
      </c>
      <c r="BA437" s="66" t="str">
        <f t="shared" si="255"/>
        <v/>
      </c>
      <c r="BB437" s="66" t="str">
        <f t="shared" si="256"/>
        <v/>
      </c>
      <c r="BC437" s="67">
        <f t="shared" si="257"/>
        <v>-164.79999999999998</v>
      </c>
    </row>
    <row r="438" spans="30:55">
      <c r="AD438" s="68" t="str">
        <v>10</v>
      </c>
      <c r="AE438" s="61">
        <v>160</v>
      </c>
      <c r="AF438" s="61">
        <v>1</v>
      </c>
      <c r="AG438" s="66">
        <f t="shared" si="258"/>
        <v>160</v>
      </c>
      <c r="AH438" s="66" t="str">
        <f t="shared" si="259"/>
        <v/>
      </c>
      <c r="AI438" s="67" t="str">
        <f t="shared" si="260"/>
        <v/>
      </c>
      <c r="AJ438" s="61">
        <v>-1</v>
      </c>
      <c r="AK438" s="66" t="str">
        <f t="shared" si="261"/>
        <v/>
      </c>
      <c r="AL438" s="66" t="str">
        <f t="shared" si="262"/>
        <v/>
      </c>
      <c r="AM438" s="67">
        <f t="shared" si="263"/>
        <v>-160</v>
      </c>
      <c r="AN438" s="61">
        <v>1</v>
      </c>
      <c r="AO438" s="66">
        <f t="shared" si="264"/>
        <v>160</v>
      </c>
      <c r="AP438" s="66" t="str">
        <f t="shared" si="265"/>
        <v/>
      </c>
      <c r="AQ438" s="67" t="str">
        <f t="shared" si="266"/>
        <v/>
      </c>
      <c r="AR438" s="61">
        <v>-1</v>
      </c>
      <c r="AS438" s="66" t="str">
        <f t="shared" si="267"/>
        <v/>
      </c>
      <c r="AT438" s="66" t="str">
        <f t="shared" si="268"/>
        <v/>
      </c>
      <c r="AU438" s="67">
        <f t="shared" si="269"/>
        <v>-160</v>
      </c>
      <c r="AV438" s="61">
        <v>0</v>
      </c>
      <c r="AW438" s="66" t="str">
        <f t="shared" si="252"/>
        <v/>
      </c>
      <c r="AX438" s="66">
        <f t="shared" si="253"/>
        <v>0</v>
      </c>
      <c r="AY438" s="67" t="str">
        <f t="shared" si="254"/>
        <v/>
      </c>
      <c r="AZ438" s="61">
        <v>-1</v>
      </c>
      <c r="BA438" s="66" t="str">
        <f t="shared" si="255"/>
        <v/>
      </c>
      <c r="BB438" s="66" t="str">
        <f t="shared" si="256"/>
        <v/>
      </c>
      <c r="BC438" s="67">
        <f t="shared" si="257"/>
        <v>-160</v>
      </c>
    </row>
    <row r="439" spans="30:55">
      <c r="AD439" s="68" t="str">
        <v>11</v>
      </c>
      <c r="AE439" s="61">
        <v>158.1</v>
      </c>
      <c r="AF439" s="61">
        <v>1</v>
      </c>
      <c r="AG439" s="66">
        <f t="shared" si="258"/>
        <v>158.1</v>
      </c>
      <c r="AH439" s="66" t="str">
        <f t="shared" si="259"/>
        <v/>
      </c>
      <c r="AI439" s="67" t="str">
        <f t="shared" si="260"/>
        <v/>
      </c>
      <c r="AJ439" s="61">
        <v>-1</v>
      </c>
      <c r="AK439" s="66" t="str">
        <f t="shared" si="261"/>
        <v/>
      </c>
      <c r="AL439" s="66" t="str">
        <f t="shared" si="262"/>
        <v/>
      </c>
      <c r="AM439" s="67">
        <f t="shared" si="263"/>
        <v>-158.1</v>
      </c>
      <c r="AN439" s="61">
        <v>1</v>
      </c>
      <c r="AO439" s="66">
        <f t="shared" si="264"/>
        <v>158.1</v>
      </c>
      <c r="AP439" s="66" t="str">
        <f t="shared" si="265"/>
        <v/>
      </c>
      <c r="AQ439" s="67" t="str">
        <f t="shared" si="266"/>
        <v/>
      </c>
      <c r="AR439" s="61">
        <v>-1</v>
      </c>
      <c r="AS439" s="66" t="str">
        <f t="shared" si="267"/>
        <v/>
      </c>
      <c r="AT439" s="66" t="str">
        <f t="shared" si="268"/>
        <v/>
      </c>
      <c r="AU439" s="67">
        <f t="shared" si="269"/>
        <v>-158.1</v>
      </c>
      <c r="AV439" s="61">
        <v>1</v>
      </c>
      <c r="AW439" s="66">
        <f t="shared" si="252"/>
        <v>158.1</v>
      </c>
      <c r="AX439" s="66" t="str">
        <f t="shared" si="253"/>
        <v/>
      </c>
      <c r="AY439" s="67" t="str">
        <f t="shared" si="254"/>
        <v/>
      </c>
      <c r="AZ439" s="61">
        <v>-1</v>
      </c>
      <c r="BA439" s="66" t="str">
        <f t="shared" si="255"/>
        <v/>
      </c>
      <c r="BB439" s="66" t="str">
        <f t="shared" si="256"/>
        <v/>
      </c>
      <c r="BC439" s="67">
        <f t="shared" si="257"/>
        <v>-158.1</v>
      </c>
    </row>
    <row r="440" spans="30:55">
      <c r="AD440" s="68" t="str">
        <v>12</v>
      </c>
      <c r="AE440" s="61">
        <v>160.80000000000001</v>
      </c>
      <c r="AF440" s="61">
        <v>1</v>
      </c>
      <c r="AG440" s="66">
        <f t="shared" si="258"/>
        <v>160.80000000000001</v>
      </c>
      <c r="AH440" s="66" t="str">
        <f t="shared" si="259"/>
        <v/>
      </c>
      <c r="AI440" s="67" t="str">
        <f t="shared" si="260"/>
        <v/>
      </c>
      <c r="AJ440" s="61">
        <v>1</v>
      </c>
      <c r="AK440" s="66">
        <f t="shared" si="261"/>
        <v>160.80000000000001</v>
      </c>
      <c r="AL440" s="66" t="str">
        <f t="shared" si="262"/>
        <v/>
      </c>
      <c r="AM440" s="67" t="str">
        <f t="shared" si="263"/>
        <v/>
      </c>
      <c r="AN440" s="61">
        <v>1</v>
      </c>
      <c r="AO440" s="66">
        <f t="shared" si="264"/>
        <v>160.80000000000001</v>
      </c>
      <c r="AP440" s="66" t="str">
        <f t="shared" si="265"/>
        <v/>
      </c>
      <c r="AQ440" s="67" t="str">
        <f t="shared" si="266"/>
        <v/>
      </c>
      <c r="AR440" s="61">
        <v>1</v>
      </c>
      <c r="AS440" s="66">
        <f t="shared" si="267"/>
        <v>160.80000000000001</v>
      </c>
      <c r="AT440" s="66" t="str">
        <f t="shared" si="268"/>
        <v/>
      </c>
      <c r="AU440" s="67" t="str">
        <f t="shared" si="269"/>
        <v/>
      </c>
      <c r="AV440" s="61">
        <v>1</v>
      </c>
      <c r="AW440" s="66">
        <f t="shared" si="252"/>
        <v>160.80000000000001</v>
      </c>
      <c r="AX440" s="66" t="str">
        <f t="shared" si="253"/>
        <v/>
      </c>
      <c r="AY440" s="67" t="str">
        <f t="shared" si="254"/>
        <v/>
      </c>
      <c r="AZ440" s="61">
        <v>1</v>
      </c>
      <c r="BA440" s="66">
        <f t="shared" si="255"/>
        <v>160.80000000000001</v>
      </c>
      <c r="BB440" s="66" t="str">
        <f t="shared" si="256"/>
        <v/>
      </c>
      <c r="BC440" s="67" t="str">
        <f t="shared" si="257"/>
        <v/>
      </c>
    </row>
    <row r="441" spans="30:55">
      <c r="AD441" s="68" t="str">
        <v>13</v>
      </c>
      <c r="AE441" s="61">
        <v>166.4</v>
      </c>
      <c r="AF441" s="61">
        <v>1</v>
      </c>
      <c r="AG441" s="66">
        <f t="shared" si="258"/>
        <v>166.4</v>
      </c>
      <c r="AH441" s="66" t="str">
        <f t="shared" si="259"/>
        <v/>
      </c>
      <c r="AI441" s="67" t="str">
        <f t="shared" si="260"/>
        <v/>
      </c>
      <c r="AJ441" s="61">
        <v>1</v>
      </c>
      <c r="AK441" s="66">
        <f t="shared" si="261"/>
        <v>166.4</v>
      </c>
      <c r="AL441" s="66" t="str">
        <f t="shared" si="262"/>
        <v/>
      </c>
      <c r="AM441" s="67" t="str">
        <f t="shared" si="263"/>
        <v/>
      </c>
      <c r="AN441" s="61">
        <v>1</v>
      </c>
      <c r="AO441" s="66">
        <f t="shared" si="264"/>
        <v>166.4</v>
      </c>
      <c r="AP441" s="66" t="str">
        <f t="shared" si="265"/>
        <v/>
      </c>
      <c r="AQ441" s="67" t="str">
        <f t="shared" si="266"/>
        <v/>
      </c>
      <c r="AR441" s="61">
        <v>1</v>
      </c>
      <c r="AS441" s="66">
        <f t="shared" si="267"/>
        <v>166.4</v>
      </c>
      <c r="AT441" s="66" t="str">
        <f t="shared" si="268"/>
        <v/>
      </c>
      <c r="AU441" s="67" t="str">
        <f t="shared" si="269"/>
        <v/>
      </c>
      <c r="AV441" s="61">
        <v>0</v>
      </c>
      <c r="AW441" s="66" t="str">
        <f t="shared" si="252"/>
        <v/>
      </c>
      <c r="AX441" s="66">
        <f t="shared" si="253"/>
        <v>0</v>
      </c>
      <c r="AY441" s="67" t="str">
        <f t="shared" si="254"/>
        <v/>
      </c>
      <c r="AZ441" s="61">
        <v>1</v>
      </c>
      <c r="BA441" s="66">
        <f t="shared" si="255"/>
        <v>166.4</v>
      </c>
      <c r="BB441" s="66" t="str">
        <f t="shared" si="256"/>
        <v/>
      </c>
      <c r="BC441" s="67" t="str">
        <f t="shared" si="257"/>
        <v/>
      </c>
    </row>
    <row r="442" spans="30:55">
      <c r="AD442" s="68" t="str">
        <v>14</v>
      </c>
      <c r="AE442" s="61">
        <v>174.3</v>
      </c>
      <c r="AF442" s="61">
        <v>1</v>
      </c>
      <c r="AG442" s="66">
        <f t="shared" si="258"/>
        <v>174.3</v>
      </c>
      <c r="AH442" s="66" t="str">
        <f t="shared" si="259"/>
        <v/>
      </c>
      <c r="AI442" s="67" t="str">
        <f t="shared" si="260"/>
        <v/>
      </c>
      <c r="AJ442" s="61">
        <v>1</v>
      </c>
      <c r="AK442" s="66">
        <f t="shared" si="261"/>
        <v>174.3</v>
      </c>
      <c r="AL442" s="66" t="str">
        <f t="shared" si="262"/>
        <v/>
      </c>
      <c r="AM442" s="67" t="str">
        <f t="shared" si="263"/>
        <v/>
      </c>
      <c r="AN442" s="61">
        <v>1</v>
      </c>
      <c r="AO442" s="66">
        <f t="shared" si="264"/>
        <v>174.3</v>
      </c>
      <c r="AP442" s="66" t="str">
        <f t="shared" si="265"/>
        <v/>
      </c>
      <c r="AQ442" s="67" t="str">
        <f t="shared" si="266"/>
        <v/>
      </c>
      <c r="AR442" s="61">
        <v>1</v>
      </c>
      <c r="AS442" s="66">
        <f t="shared" si="267"/>
        <v>174.3</v>
      </c>
      <c r="AT442" s="66" t="str">
        <f t="shared" si="268"/>
        <v/>
      </c>
      <c r="AU442" s="67" t="str">
        <f t="shared" si="269"/>
        <v/>
      </c>
      <c r="AV442" s="61">
        <v>-1</v>
      </c>
      <c r="AW442" s="66" t="str">
        <f t="shared" si="252"/>
        <v/>
      </c>
      <c r="AX442" s="66" t="str">
        <f t="shared" si="253"/>
        <v/>
      </c>
      <c r="AY442" s="67">
        <f t="shared" si="254"/>
        <v>-174.3</v>
      </c>
      <c r="AZ442" s="61">
        <v>1</v>
      </c>
      <c r="BA442" s="66">
        <f t="shared" si="255"/>
        <v>174.3</v>
      </c>
      <c r="BB442" s="66" t="str">
        <f t="shared" si="256"/>
        <v/>
      </c>
      <c r="BC442" s="67" t="str">
        <f t="shared" si="257"/>
        <v/>
      </c>
    </row>
    <row r="443" spans="30:55">
      <c r="AD443" s="68" t="str">
        <v>15</v>
      </c>
      <c r="AE443" s="61">
        <v>178</v>
      </c>
      <c r="AF443" s="61">
        <v>1</v>
      </c>
      <c r="AG443" s="66">
        <f t="shared" si="258"/>
        <v>178</v>
      </c>
      <c r="AH443" s="66" t="str">
        <f t="shared" si="259"/>
        <v/>
      </c>
      <c r="AI443" s="67" t="str">
        <f t="shared" si="260"/>
        <v/>
      </c>
      <c r="AJ443" s="61">
        <v>1</v>
      </c>
      <c r="AK443" s="66">
        <f t="shared" si="261"/>
        <v>178</v>
      </c>
      <c r="AL443" s="66" t="str">
        <f t="shared" si="262"/>
        <v/>
      </c>
      <c r="AM443" s="67" t="str">
        <f t="shared" si="263"/>
        <v/>
      </c>
      <c r="AN443" s="61">
        <v>-1</v>
      </c>
      <c r="AO443" s="66" t="str">
        <f t="shared" si="264"/>
        <v/>
      </c>
      <c r="AP443" s="66" t="str">
        <f t="shared" si="265"/>
        <v/>
      </c>
      <c r="AQ443" s="67">
        <f t="shared" si="266"/>
        <v>-178</v>
      </c>
      <c r="AR443" s="61">
        <v>1</v>
      </c>
      <c r="AS443" s="66">
        <f t="shared" si="267"/>
        <v>178</v>
      </c>
      <c r="AT443" s="66" t="str">
        <f t="shared" si="268"/>
        <v/>
      </c>
      <c r="AU443" s="67" t="str">
        <f t="shared" si="269"/>
        <v/>
      </c>
      <c r="AV443" s="61">
        <v>-1</v>
      </c>
      <c r="AW443" s="66" t="str">
        <f t="shared" si="252"/>
        <v/>
      </c>
      <c r="AX443" s="66" t="str">
        <f t="shared" si="253"/>
        <v/>
      </c>
      <c r="AY443" s="67">
        <f t="shared" si="254"/>
        <v>-178</v>
      </c>
      <c r="AZ443" s="61">
        <v>-1</v>
      </c>
      <c r="BA443" s="66" t="str">
        <f t="shared" si="255"/>
        <v/>
      </c>
      <c r="BB443" s="66" t="str">
        <f t="shared" si="256"/>
        <v/>
      </c>
      <c r="BC443" s="67">
        <f t="shared" si="257"/>
        <v>-178</v>
      </c>
    </row>
    <row r="444" spans="30:55">
      <c r="AD444" s="68" t="str">
        <v>16</v>
      </c>
      <c r="AE444" s="61">
        <v>171.8</v>
      </c>
      <c r="AF444" s="61">
        <v>1</v>
      </c>
      <c r="AG444" s="66">
        <f t="shared" si="258"/>
        <v>171.8</v>
      </c>
      <c r="AH444" s="66" t="str">
        <f t="shared" si="259"/>
        <v/>
      </c>
      <c r="AI444" s="67" t="str">
        <f t="shared" si="260"/>
        <v/>
      </c>
      <c r="AJ444" s="61">
        <v>1</v>
      </c>
      <c r="AK444" s="66">
        <f t="shared" si="261"/>
        <v>171.8</v>
      </c>
      <c r="AL444" s="66" t="str">
        <f t="shared" si="262"/>
        <v/>
      </c>
      <c r="AM444" s="67" t="str">
        <f t="shared" si="263"/>
        <v/>
      </c>
      <c r="AN444" s="61">
        <v>-1</v>
      </c>
      <c r="AO444" s="66" t="str">
        <f t="shared" si="264"/>
        <v/>
      </c>
      <c r="AP444" s="66" t="str">
        <f t="shared" si="265"/>
        <v/>
      </c>
      <c r="AQ444" s="67">
        <f t="shared" si="266"/>
        <v>-171.8</v>
      </c>
      <c r="AR444" s="61">
        <v>1</v>
      </c>
      <c r="AS444" s="66">
        <f t="shared" si="267"/>
        <v>171.8</v>
      </c>
      <c r="AT444" s="66" t="str">
        <f t="shared" si="268"/>
        <v/>
      </c>
      <c r="AU444" s="67" t="str">
        <f t="shared" si="269"/>
        <v/>
      </c>
      <c r="AV444" s="61">
        <v>0</v>
      </c>
      <c r="AW444" s="66" t="str">
        <f t="shared" si="252"/>
        <v/>
      </c>
      <c r="AX444" s="66">
        <f t="shared" si="253"/>
        <v>0</v>
      </c>
      <c r="AY444" s="67" t="str">
        <f t="shared" si="254"/>
        <v/>
      </c>
      <c r="AZ444" s="61">
        <v>-1</v>
      </c>
      <c r="BA444" s="66" t="str">
        <f t="shared" si="255"/>
        <v/>
      </c>
      <c r="BB444" s="66" t="str">
        <f t="shared" si="256"/>
        <v/>
      </c>
      <c r="BC444" s="67">
        <f t="shared" si="257"/>
        <v>-171.8</v>
      </c>
    </row>
    <row r="445" spans="30:55">
      <c r="AD445" s="68" t="str">
        <v>17</v>
      </c>
      <c r="AE445" s="61">
        <v>161.69999999999999</v>
      </c>
      <c r="AF445" s="61">
        <v>1</v>
      </c>
      <c r="AG445" s="66">
        <f t="shared" si="258"/>
        <v>161.69999999999999</v>
      </c>
      <c r="AH445" s="66" t="str">
        <f t="shared" si="259"/>
        <v/>
      </c>
      <c r="AI445" s="67" t="str">
        <f t="shared" si="260"/>
        <v/>
      </c>
      <c r="AJ445" s="61">
        <v>1</v>
      </c>
      <c r="AK445" s="66">
        <f t="shared" si="261"/>
        <v>161.69999999999999</v>
      </c>
      <c r="AL445" s="66" t="str">
        <f t="shared" si="262"/>
        <v/>
      </c>
      <c r="AM445" s="67" t="str">
        <f t="shared" si="263"/>
        <v/>
      </c>
      <c r="AN445" s="61">
        <v>-1</v>
      </c>
      <c r="AO445" s="66" t="str">
        <f t="shared" si="264"/>
        <v/>
      </c>
      <c r="AP445" s="66" t="str">
        <f t="shared" si="265"/>
        <v/>
      </c>
      <c r="AQ445" s="67">
        <f t="shared" si="266"/>
        <v>-161.69999999999999</v>
      </c>
      <c r="AR445" s="61">
        <v>1</v>
      </c>
      <c r="AS445" s="66">
        <f t="shared" si="267"/>
        <v>161.69999999999999</v>
      </c>
      <c r="AT445" s="66" t="str">
        <f t="shared" si="268"/>
        <v/>
      </c>
      <c r="AU445" s="67" t="str">
        <f t="shared" si="269"/>
        <v/>
      </c>
      <c r="AV445" s="61">
        <v>1</v>
      </c>
      <c r="AW445" s="66">
        <f t="shared" si="252"/>
        <v>161.69999999999999</v>
      </c>
      <c r="AX445" s="66" t="str">
        <f t="shared" si="253"/>
        <v/>
      </c>
      <c r="AY445" s="67" t="str">
        <f t="shared" si="254"/>
        <v/>
      </c>
      <c r="AZ445" s="61">
        <v>-1</v>
      </c>
      <c r="BA445" s="66" t="str">
        <f t="shared" si="255"/>
        <v/>
      </c>
      <c r="BB445" s="66" t="str">
        <f t="shared" si="256"/>
        <v/>
      </c>
      <c r="BC445" s="67">
        <f t="shared" si="257"/>
        <v>-161.69999999999999</v>
      </c>
    </row>
    <row r="446" spans="30:55">
      <c r="AD446" s="68" t="str">
        <v>18</v>
      </c>
      <c r="AE446" s="61">
        <v>149.30000000000001</v>
      </c>
      <c r="AF446" s="61">
        <v>-1</v>
      </c>
      <c r="AG446" s="66" t="str">
        <f t="shared" si="258"/>
        <v/>
      </c>
      <c r="AH446" s="66" t="str">
        <f t="shared" si="259"/>
        <v/>
      </c>
      <c r="AI446" s="67">
        <f t="shared" si="260"/>
        <v>-149.30000000000001</v>
      </c>
      <c r="AJ446" s="61">
        <v>1</v>
      </c>
      <c r="AK446" s="66">
        <f t="shared" si="261"/>
        <v>149.30000000000001</v>
      </c>
      <c r="AL446" s="66" t="str">
        <f t="shared" si="262"/>
        <v/>
      </c>
      <c r="AM446" s="67" t="str">
        <f t="shared" si="263"/>
        <v/>
      </c>
      <c r="AN446" s="61">
        <v>-1</v>
      </c>
      <c r="AO446" s="66" t="str">
        <f t="shared" si="264"/>
        <v/>
      </c>
      <c r="AP446" s="66" t="str">
        <f t="shared" si="265"/>
        <v/>
      </c>
      <c r="AQ446" s="67">
        <f t="shared" si="266"/>
        <v>-149.30000000000001</v>
      </c>
      <c r="AR446" s="61">
        <v>-1</v>
      </c>
      <c r="AS446" s="66" t="str">
        <f t="shared" si="267"/>
        <v/>
      </c>
      <c r="AT446" s="66" t="str">
        <f t="shared" si="268"/>
        <v/>
      </c>
      <c r="AU446" s="67">
        <f t="shared" si="269"/>
        <v>-149.30000000000001</v>
      </c>
      <c r="AV446" s="61">
        <v>1</v>
      </c>
      <c r="AW446" s="66">
        <f t="shared" si="252"/>
        <v>149.30000000000001</v>
      </c>
      <c r="AX446" s="66" t="str">
        <f t="shared" si="253"/>
        <v/>
      </c>
      <c r="AY446" s="67" t="str">
        <f t="shared" si="254"/>
        <v/>
      </c>
      <c r="AZ446" s="61">
        <v>1</v>
      </c>
      <c r="BA446" s="66">
        <f t="shared" si="255"/>
        <v>149.30000000000001</v>
      </c>
      <c r="BB446" s="66" t="str">
        <f t="shared" si="256"/>
        <v/>
      </c>
      <c r="BC446" s="67" t="str">
        <f t="shared" si="257"/>
        <v/>
      </c>
    </row>
    <row r="447" spans="30:55">
      <c r="AD447" s="68" t="str">
        <v>19</v>
      </c>
      <c r="AE447" s="61">
        <v>136.80000000000001</v>
      </c>
      <c r="AF447" s="61">
        <v>-1</v>
      </c>
      <c r="AG447" s="66" t="str">
        <f t="shared" si="258"/>
        <v/>
      </c>
      <c r="AH447" s="66" t="str">
        <f t="shared" si="259"/>
        <v/>
      </c>
      <c r="AI447" s="67">
        <f t="shared" si="260"/>
        <v>-136.80000000000001</v>
      </c>
      <c r="AJ447" s="61">
        <v>1</v>
      </c>
      <c r="AK447" s="66">
        <f t="shared" si="261"/>
        <v>136.80000000000001</v>
      </c>
      <c r="AL447" s="66" t="str">
        <f t="shared" si="262"/>
        <v/>
      </c>
      <c r="AM447" s="67" t="str">
        <f t="shared" si="263"/>
        <v/>
      </c>
      <c r="AN447" s="61">
        <v>-1</v>
      </c>
      <c r="AO447" s="66" t="str">
        <f t="shared" si="264"/>
        <v/>
      </c>
      <c r="AP447" s="66" t="str">
        <f t="shared" si="265"/>
        <v/>
      </c>
      <c r="AQ447" s="67">
        <f t="shared" si="266"/>
        <v>-136.80000000000001</v>
      </c>
      <c r="AR447" s="61">
        <v>-1</v>
      </c>
      <c r="AS447" s="66" t="str">
        <f t="shared" si="267"/>
        <v/>
      </c>
      <c r="AT447" s="66" t="str">
        <f t="shared" si="268"/>
        <v/>
      </c>
      <c r="AU447" s="67">
        <f t="shared" si="269"/>
        <v>-136.80000000000001</v>
      </c>
      <c r="AV447" s="61">
        <v>0</v>
      </c>
      <c r="AW447" s="66" t="str">
        <f t="shared" si="252"/>
        <v/>
      </c>
      <c r="AX447" s="66">
        <f t="shared" si="253"/>
        <v>0</v>
      </c>
      <c r="AY447" s="67" t="str">
        <f t="shared" si="254"/>
        <v/>
      </c>
      <c r="AZ447" s="61">
        <v>1</v>
      </c>
      <c r="BA447" s="66">
        <f t="shared" si="255"/>
        <v>136.80000000000001</v>
      </c>
      <c r="BB447" s="66" t="str">
        <f t="shared" si="256"/>
        <v/>
      </c>
      <c r="BC447" s="67" t="str">
        <f t="shared" si="257"/>
        <v/>
      </c>
    </row>
    <row r="448" spans="30:55">
      <c r="AD448" s="68" t="str">
        <v>20</v>
      </c>
      <c r="AE448" s="61">
        <v>124.30000000000001</v>
      </c>
      <c r="AF448" s="61">
        <v>-1</v>
      </c>
      <c r="AG448" s="66" t="str">
        <f t="shared" si="258"/>
        <v/>
      </c>
      <c r="AH448" s="66" t="str">
        <f t="shared" si="259"/>
        <v/>
      </c>
      <c r="AI448" s="67">
        <f t="shared" si="260"/>
        <v>-124.30000000000001</v>
      </c>
      <c r="AJ448" s="61">
        <v>1</v>
      </c>
      <c r="AK448" s="66">
        <f t="shared" si="261"/>
        <v>124.30000000000001</v>
      </c>
      <c r="AL448" s="66" t="str">
        <f t="shared" si="262"/>
        <v/>
      </c>
      <c r="AM448" s="67" t="str">
        <f t="shared" si="263"/>
        <v/>
      </c>
      <c r="AN448" s="61">
        <v>-1</v>
      </c>
      <c r="AO448" s="66" t="str">
        <f t="shared" si="264"/>
        <v/>
      </c>
      <c r="AP448" s="66" t="str">
        <f t="shared" si="265"/>
        <v/>
      </c>
      <c r="AQ448" s="67">
        <f t="shared" si="266"/>
        <v>-124.30000000000001</v>
      </c>
      <c r="AR448" s="61">
        <v>-1</v>
      </c>
      <c r="AS448" s="66" t="str">
        <f t="shared" si="267"/>
        <v/>
      </c>
      <c r="AT448" s="66" t="str">
        <f t="shared" si="268"/>
        <v/>
      </c>
      <c r="AU448" s="67">
        <f t="shared" si="269"/>
        <v>-124.30000000000001</v>
      </c>
      <c r="AV448" s="61">
        <v>-1</v>
      </c>
      <c r="AW448" s="66" t="str">
        <f t="shared" si="252"/>
        <v/>
      </c>
      <c r="AX448" s="66" t="str">
        <f t="shared" si="253"/>
        <v/>
      </c>
      <c r="AY448" s="67">
        <f t="shared" si="254"/>
        <v>-124.30000000000001</v>
      </c>
      <c r="AZ448" s="61">
        <v>1</v>
      </c>
      <c r="BA448" s="66">
        <f t="shared" si="255"/>
        <v>124.30000000000001</v>
      </c>
      <c r="BB448" s="66" t="str">
        <f t="shared" si="256"/>
        <v/>
      </c>
      <c r="BC448" s="67" t="str">
        <f t="shared" si="257"/>
        <v/>
      </c>
    </row>
    <row r="449" spans="29:55">
      <c r="AD449" s="68" t="str">
        <v>21</v>
      </c>
      <c r="AE449" s="61">
        <v>119.8</v>
      </c>
      <c r="AF449" s="61">
        <v>-1</v>
      </c>
      <c r="AG449" s="66" t="str">
        <f t="shared" si="258"/>
        <v/>
      </c>
      <c r="AH449" s="66" t="str">
        <f t="shared" si="259"/>
        <v/>
      </c>
      <c r="AI449" s="67">
        <f t="shared" si="260"/>
        <v>-119.8</v>
      </c>
      <c r="AJ449" s="61">
        <v>1</v>
      </c>
      <c r="AK449" s="66">
        <f t="shared" si="261"/>
        <v>119.8</v>
      </c>
      <c r="AL449" s="66" t="str">
        <f t="shared" si="262"/>
        <v/>
      </c>
      <c r="AM449" s="67" t="str">
        <f t="shared" si="263"/>
        <v/>
      </c>
      <c r="AN449" s="61">
        <v>1</v>
      </c>
      <c r="AO449" s="66">
        <f t="shared" si="264"/>
        <v>119.8</v>
      </c>
      <c r="AP449" s="66" t="str">
        <f t="shared" si="265"/>
        <v/>
      </c>
      <c r="AQ449" s="67" t="str">
        <f t="shared" si="266"/>
        <v/>
      </c>
      <c r="AR449" s="61">
        <v>-1</v>
      </c>
      <c r="AS449" s="66" t="str">
        <f t="shared" si="267"/>
        <v/>
      </c>
      <c r="AT449" s="66" t="str">
        <f t="shared" si="268"/>
        <v/>
      </c>
      <c r="AU449" s="67">
        <f t="shared" si="269"/>
        <v>-119.8</v>
      </c>
      <c r="AV449" s="61">
        <v>-1</v>
      </c>
      <c r="AW449" s="66" t="str">
        <f t="shared" si="252"/>
        <v/>
      </c>
      <c r="AX449" s="66" t="str">
        <f t="shared" si="253"/>
        <v/>
      </c>
      <c r="AY449" s="67">
        <f t="shared" si="254"/>
        <v>-119.8</v>
      </c>
      <c r="AZ449" s="61">
        <v>-1</v>
      </c>
      <c r="BA449" s="66" t="str">
        <f t="shared" si="255"/>
        <v/>
      </c>
      <c r="BB449" s="66" t="str">
        <f t="shared" si="256"/>
        <v/>
      </c>
      <c r="BC449" s="67">
        <f t="shared" si="257"/>
        <v>-119.8</v>
      </c>
    </row>
    <row r="450" spans="29:55">
      <c r="AD450" s="68" t="str">
        <v>22</v>
      </c>
      <c r="AE450" s="61">
        <v>123.8</v>
      </c>
      <c r="AF450" s="61">
        <v>-1</v>
      </c>
      <c r="AG450" s="66" t="str">
        <f t="shared" si="258"/>
        <v/>
      </c>
      <c r="AH450" s="66" t="str">
        <f t="shared" si="259"/>
        <v/>
      </c>
      <c r="AI450" s="67">
        <f t="shared" si="260"/>
        <v>-123.8</v>
      </c>
      <c r="AJ450" s="61">
        <v>1</v>
      </c>
      <c r="AK450" s="66">
        <f t="shared" si="261"/>
        <v>123.8</v>
      </c>
      <c r="AL450" s="66" t="str">
        <f t="shared" si="262"/>
        <v/>
      </c>
      <c r="AM450" s="67" t="str">
        <f t="shared" si="263"/>
        <v/>
      </c>
      <c r="AN450" s="61">
        <v>1</v>
      </c>
      <c r="AO450" s="66">
        <f t="shared" si="264"/>
        <v>123.8</v>
      </c>
      <c r="AP450" s="66" t="str">
        <f t="shared" si="265"/>
        <v/>
      </c>
      <c r="AQ450" s="67" t="str">
        <f t="shared" si="266"/>
        <v/>
      </c>
      <c r="AR450" s="61">
        <v>-1</v>
      </c>
      <c r="AS450" s="66" t="str">
        <f t="shared" si="267"/>
        <v/>
      </c>
      <c r="AT450" s="66" t="str">
        <f t="shared" si="268"/>
        <v/>
      </c>
      <c r="AU450" s="67">
        <f t="shared" si="269"/>
        <v>-123.8</v>
      </c>
      <c r="AV450" s="61">
        <v>0</v>
      </c>
      <c r="AW450" s="66" t="str">
        <f t="shared" si="252"/>
        <v/>
      </c>
      <c r="AX450" s="66">
        <f t="shared" si="253"/>
        <v>0</v>
      </c>
      <c r="AY450" s="67" t="str">
        <f t="shared" si="254"/>
        <v/>
      </c>
      <c r="AZ450" s="61">
        <v>-1</v>
      </c>
      <c r="BA450" s="66" t="str">
        <f t="shared" si="255"/>
        <v/>
      </c>
      <c r="BB450" s="66" t="str">
        <f t="shared" si="256"/>
        <v/>
      </c>
      <c r="BC450" s="67">
        <f t="shared" si="257"/>
        <v>-123.8</v>
      </c>
    </row>
    <row r="451" spans="29:55">
      <c r="AD451" s="68" t="str">
        <v>23</v>
      </c>
      <c r="AE451" s="61">
        <v>138.79999999999998</v>
      </c>
      <c r="AF451" s="61">
        <v>-1</v>
      </c>
      <c r="AG451" s="66" t="str">
        <f t="shared" si="258"/>
        <v/>
      </c>
      <c r="AH451" s="66" t="str">
        <f t="shared" si="259"/>
        <v/>
      </c>
      <c r="AI451" s="67">
        <f t="shared" si="260"/>
        <v>-138.79999999999998</v>
      </c>
      <c r="AJ451" s="61">
        <v>1</v>
      </c>
      <c r="AK451" s="66">
        <f t="shared" si="261"/>
        <v>138.79999999999998</v>
      </c>
      <c r="AL451" s="66" t="str">
        <f t="shared" si="262"/>
        <v/>
      </c>
      <c r="AM451" s="67" t="str">
        <f t="shared" si="263"/>
        <v/>
      </c>
      <c r="AN451" s="61">
        <v>1</v>
      </c>
      <c r="AO451" s="66">
        <f t="shared" si="264"/>
        <v>138.79999999999998</v>
      </c>
      <c r="AP451" s="66" t="str">
        <f t="shared" si="265"/>
        <v/>
      </c>
      <c r="AQ451" s="67" t="str">
        <f t="shared" si="266"/>
        <v/>
      </c>
      <c r="AR451" s="61">
        <v>-1</v>
      </c>
      <c r="AS451" s="66" t="str">
        <f t="shared" si="267"/>
        <v/>
      </c>
      <c r="AT451" s="66" t="str">
        <f t="shared" si="268"/>
        <v/>
      </c>
      <c r="AU451" s="67">
        <f t="shared" si="269"/>
        <v>-138.79999999999998</v>
      </c>
      <c r="AV451" s="61">
        <v>1</v>
      </c>
      <c r="AW451" s="66">
        <f t="shared" si="252"/>
        <v>138.79999999999998</v>
      </c>
      <c r="AX451" s="66" t="str">
        <f t="shared" si="253"/>
        <v/>
      </c>
      <c r="AY451" s="67" t="str">
        <f t="shared" si="254"/>
        <v/>
      </c>
      <c r="AZ451" s="61">
        <v>-1</v>
      </c>
      <c r="BA451" s="66" t="str">
        <f t="shared" si="255"/>
        <v/>
      </c>
      <c r="BB451" s="66" t="str">
        <f t="shared" si="256"/>
        <v/>
      </c>
      <c r="BC451" s="67">
        <f t="shared" si="257"/>
        <v>-138.79999999999998</v>
      </c>
    </row>
    <row r="452" spans="29:55" ht="15.75" thickBot="1">
      <c r="AC452" s="476">
        <f>AD424</f>
        <v>44723</v>
      </c>
      <c r="AD452" s="69" t="s">
        <v>85</v>
      </c>
      <c r="AE452" s="70">
        <f>SUM(AE428:AE451)</f>
        <v>3973.7000000000016</v>
      </c>
      <c r="AF452" s="70"/>
      <c r="AG452" s="71">
        <f>ABS(SUM(AG428:AG451))</f>
        <v>2041.3999999999999</v>
      </c>
      <c r="AH452" s="70"/>
      <c r="AI452" s="72">
        <f>ABS(SUM(AI428:AI451))</f>
        <v>1932.2999999999997</v>
      </c>
      <c r="AJ452" s="70"/>
      <c r="AK452" s="71">
        <f>ABS(SUM(AK428:AK451))</f>
        <v>1805.7999999999997</v>
      </c>
      <c r="AL452" s="70"/>
      <c r="AM452" s="72">
        <f>ABS(SUM(AM428:AM451))</f>
        <v>2167.9</v>
      </c>
      <c r="AN452" s="70"/>
      <c r="AO452" s="71">
        <f>ABS(SUM(AO428:AO451))</f>
        <v>1908.2999999999997</v>
      </c>
      <c r="AP452" s="70"/>
      <c r="AQ452" s="72">
        <f>ABS(SUM(AQ428:AQ451))</f>
        <v>2065.4</v>
      </c>
      <c r="AR452" s="70"/>
      <c r="AS452" s="71">
        <f>ABS(SUM(AS428:AS451))</f>
        <v>2152.5</v>
      </c>
      <c r="AT452" s="70"/>
      <c r="AU452" s="72">
        <f>ABS(SUM(AU428:AU451))</f>
        <v>1821.1999999999996</v>
      </c>
      <c r="AV452" s="70"/>
      <c r="AW452" s="71">
        <f>ABS(SUM(AW428:AW451))</f>
        <v>1329.6000000000001</v>
      </c>
      <c r="AX452" s="70"/>
      <c r="AY452" s="72">
        <f>ABS(SUM(AY428:AY451))</f>
        <v>1320.4999999999998</v>
      </c>
      <c r="AZ452" s="70"/>
      <c r="BA452" s="71">
        <f>ABS(SUM(BA428:BA451))</f>
        <v>1998.8999999999999</v>
      </c>
      <c r="BB452" s="70"/>
      <c r="BC452" s="72">
        <f>ABS(SUM(BC428:BC451))</f>
        <v>1974.7999999999997</v>
      </c>
    </row>
    <row r="454" spans="29:55" ht="15" thickBot="1">
      <c r="AD454" s="476">
        <f>skemA1!B20</f>
        <v>44724</v>
      </c>
    </row>
    <row r="455" spans="29:55" ht="15" thickBot="1">
      <c r="AD455" s="677" t="s">
        <v>75</v>
      </c>
      <c r="AE455" s="60" t="s">
        <v>558</v>
      </c>
      <c r="AF455" s="672" t="s">
        <v>559</v>
      </c>
      <c r="AG455" s="672"/>
      <c r="AH455" s="672"/>
      <c r="AI455" s="673"/>
      <c r="AJ455" s="672" t="s">
        <v>562</v>
      </c>
      <c r="AK455" s="672"/>
      <c r="AL455" s="672"/>
      <c r="AM455" s="673"/>
      <c r="AN455" s="672" t="s">
        <v>563</v>
      </c>
      <c r="AO455" s="672"/>
      <c r="AP455" s="672"/>
      <c r="AQ455" s="673"/>
      <c r="AR455" s="672" t="s">
        <v>564</v>
      </c>
      <c r="AS455" s="672"/>
      <c r="AT455" s="672"/>
      <c r="AU455" s="673"/>
      <c r="AV455" s="672" t="s">
        <v>565</v>
      </c>
      <c r="AW455" s="672"/>
      <c r="AX455" s="672"/>
      <c r="AY455" s="673"/>
      <c r="AZ455" s="672" t="s">
        <v>566</v>
      </c>
      <c r="BA455" s="672"/>
      <c r="BB455" s="672"/>
      <c r="BC455" s="673"/>
    </row>
    <row r="456" spans="29:55" ht="15" thickBot="1">
      <c r="AD456" s="677"/>
      <c r="AE456" s="61"/>
      <c r="AF456" s="674" t="s">
        <v>561</v>
      </c>
      <c r="AG456" s="670" t="s">
        <v>560</v>
      </c>
      <c r="AH456" s="670"/>
      <c r="AI456" s="671"/>
      <c r="AJ456" s="674" t="s">
        <v>561</v>
      </c>
      <c r="AK456" s="670" t="s">
        <v>560</v>
      </c>
      <c r="AL456" s="670"/>
      <c r="AM456" s="671"/>
      <c r="AN456" s="674" t="s">
        <v>561</v>
      </c>
      <c r="AO456" s="670" t="s">
        <v>560</v>
      </c>
      <c r="AP456" s="670"/>
      <c r="AQ456" s="671"/>
      <c r="AR456" s="674" t="s">
        <v>561</v>
      </c>
      <c r="AS456" s="670" t="s">
        <v>560</v>
      </c>
      <c r="AT456" s="670"/>
      <c r="AU456" s="671"/>
      <c r="AV456" s="674" t="s">
        <v>561</v>
      </c>
      <c r="AW456" s="670" t="s">
        <v>560</v>
      </c>
      <c r="AX456" s="670"/>
      <c r="AY456" s="671"/>
      <c r="AZ456" s="674" t="s">
        <v>561</v>
      </c>
      <c r="BA456" s="670" t="s">
        <v>560</v>
      </c>
      <c r="BB456" s="670"/>
      <c r="BC456" s="671"/>
    </row>
    <row r="457" spans="29:55">
      <c r="AD457" s="677"/>
      <c r="AE457" s="62"/>
      <c r="AF457" s="674"/>
      <c r="AG457" s="63" t="s">
        <v>76</v>
      </c>
      <c r="AH457" s="63">
        <v>0</v>
      </c>
      <c r="AI457" s="64" t="s">
        <v>77</v>
      </c>
      <c r="AJ457" s="674"/>
      <c r="AK457" s="63" t="s">
        <v>76</v>
      </c>
      <c r="AL457" s="63">
        <v>0</v>
      </c>
      <c r="AM457" s="64" t="s">
        <v>77</v>
      </c>
      <c r="AN457" s="674"/>
      <c r="AO457" s="63" t="s">
        <v>76</v>
      </c>
      <c r="AP457" s="63">
        <v>0</v>
      </c>
      <c r="AQ457" s="64" t="s">
        <v>77</v>
      </c>
      <c r="AR457" s="674"/>
      <c r="AS457" s="63" t="s">
        <v>76</v>
      </c>
      <c r="AT457" s="63">
        <v>0</v>
      </c>
      <c r="AU457" s="64" t="s">
        <v>77</v>
      </c>
      <c r="AV457" s="674"/>
      <c r="AW457" s="63" t="s">
        <v>76</v>
      </c>
      <c r="AX457" s="63">
        <v>0</v>
      </c>
      <c r="AY457" s="64" t="s">
        <v>77</v>
      </c>
      <c r="AZ457" s="674"/>
      <c r="BA457" s="63" t="s">
        <v>76</v>
      </c>
      <c r="BB457" s="63">
        <v>0</v>
      </c>
      <c r="BC457" s="64" t="s">
        <v>77</v>
      </c>
    </row>
    <row r="458" spans="29:55">
      <c r="AD458" s="65" t="str">
        <f t="array" ref="AD458:AD481">TRANSPOSE($C$5:$Z$5)</f>
        <v>00</v>
      </c>
      <c r="AE458" s="66">
        <f t="array" ref="AE458:AE481">TRANSPOSE(skemA1!$C$20:$Z$20)</f>
        <v>159.20000000000002</v>
      </c>
      <c r="AF458" s="66">
        <f t="array" ref="AF458:AF481">TRANSPOSE($C$6:$Z$6)</f>
        <v>-1</v>
      </c>
      <c r="AG458" s="66" t="str">
        <f>IF(AF458&gt;0,AF458*$AE458,"")</f>
        <v/>
      </c>
      <c r="AH458" s="66" t="str">
        <f>IF(AF458=0,AF458*$AE458,"")</f>
        <v/>
      </c>
      <c r="AI458" s="67">
        <f>IF(AF458&lt;0,AF458*$AE458,"")</f>
        <v>-159.20000000000002</v>
      </c>
      <c r="AJ458" s="66">
        <f t="array" ref="AJ458:AJ481">TRANSPOSE($C$7:$Z$7)</f>
        <v>-1</v>
      </c>
      <c r="AK458" s="66" t="str">
        <f>IF(AJ458&gt;0,AJ458*$AE458,"")</f>
        <v/>
      </c>
      <c r="AL458" s="66" t="str">
        <f>IF(AJ458=0,AJ458*$AE458,"")</f>
        <v/>
      </c>
      <c r="AM458" s="67">
        <f>IF(AJ458&lt;0,AJ458*$AE458,"")</f>
        <v>-159.20000000000002</v>
      </c>
      <c r="AN458" s="66">
        <f t="array" ref="AN458:AN481">TRANSPOSE($C$8:$Z$8)</f>
        <v>1</v>
      </c>
      <c r="AO458" s="66">
        <f>IF(AN458&gt;0,AN458*$AE458,"")</f>
        <v>159.20000000000002</v>
      </c>
      <c r="AP458" s="66" t="str">
        <f>IF(AN458=0,AN458*$AE458,"")</f>
        <v/>
      </c>
      <c r="AQ458" s="67" t="str">
        <f>IF(AN458&lt;0,AN458*$AE458,"")</f>
        <v/>
      </c>
      <c r="AR458" s="66">
        <f t="array" ref="AR458:AR481">TRANSPOSE($C$9:$Z$9)</f>
        <v>1</v>
      </c>
      <c r="AS458" s="66">
        <f>IF(AR458&gt;0,AR458*$AE458,"")</f>
        <v>159.20000000000002</v>
      </c>
      <c r="AT458" s="66" t="str">
        <f>IF(AR458=0,AR458*$AE458,"")</f>
        <v/>
      </c>
      <c r="AU458" s="67" t="str">
        <f>IF(AR458&lt;0,AR458*$AE458,"")</f>
        <v/>
      </c>
      <c r="AV458" s="66">
        <f t="array" ref="AV458:AV481">TRANSPOSE($C$10:$Z$10)</f>
        <v>1</v>
      </c>
      <c r="AW458" s="66">
        <f t="shared" ref="AW458:AW481" si="270">IF(AV458&gt;0,AV458*$AE458,"")</f>
        <v>159.20000000000002</v>
      </c>
      <c r="AX458" s="66" t="str">
        <f t="shared" ref="AX458:AX481" si="271">IF(AV458=0,AV458*$AE458,"")</f>
        <v/>
      </c>
      <c r="AY458" s="67" t="str">
        <f t="shared" ref="AY458:AY481" si="272">IF(AV458&lt;0,AV458*$AE458,"")</f>
        <v/>
      </c>
      <c r="AZ458" s="66">
        <f t="array" ref="AZ458:AZ481">TRANSPOSE($C$11:$Z$11)</f>
        <v>1</v>
      </c>
      <c r="BA458" s="66">
        <f t="shared" ref="BA458:BA481" si="273">IF(AZ458&gt;0,AZ458*$AE458,"")</f>
        <v>159.20000000000002</v>
      </c>
      <c r="BB458" s="66" t="str">
        <f t="shared" ref="BB458:BB481" si="274">IF(AZ458=0,AZ458*$AE458,"")</f>
        <v/>
      </c>
      <c r="BC458" s="67" t="str">
        <f t="shared" ref="BC458:BC481" si="275">IF(AZ458&lt;0,AZ458*$AE458,"")</f>
        <v/>
      </c>
    </row>
    <row r="459" spans="29:55">
      <c r="AD459" s="68" t="str">
        <v>01</v>
      </c>
      <c r="AE459" s="61">
        <v>181.9</v>
      </c>
      <c r="AF459" s="61">
        <v>-1</v>
      </c>
      <c r="AG459" s="66" t="str">
        <f t="shared" ref="AG459:AG481" si="276">IF(AF459&gt;0,AF459*$AE459,"")</f>
        <v/>
      </c>
      <c r="AH459" s="66" t="str">
        <f t="shared" ref="AH459:AH481" si="277">IF(AF459=0,AF459*$AE459,"")</f>
        <v/>
      </c>
      <c r="AI459" s="67">
        <f t="shared" ref="AI459:AI481" si="278">IF(AF459&lt;0,AF459*$AE459,"")</f>
        <v>-181.9</v>
      </c>
      <c r="AJ459" s="61">
        <v>-1</v>
      </c>
      <c r="AK459" s="66" t="str">
        <f t="shared" ref="AK459:AK481" si="279">IF(AJ459&gt;0,AJ459*$AE459,"")</f>
        <v/>
      </c>
      <c r="AL459" s="66" t="str">
        <f t="shared" ref="AL459:AL481" si="280">IF(AJ459=0,AJ459*$AE459,"")</f>
        <v/>
      </c>
      <c r="AM459" s="67">
        <f t="shared" ref="AM459:AM481" si="281">IF(AJ459&lt;0,AJ459*$AE459,"")</f>
        <v>-181.9</v>
      </c>
      <c r="AN459" s="61">
        <v>1</v>
      </c>
      <c r="AO459" s="66">
        <f t="shared" ref="AO459:AO481" si="282">IF(AN459&gt;0,AN459*$AE459,"")</f>
        <v>181.9</v>
      </c>
      <c r="AP459" s="66" t="str">
        <f t="shared" ref="AP459:AP481" si="283">IF(AN459=0,AN459*$AE459,"")</f>
        <v/>
      </c>
      <c r="AQ459" s="67" t="str">
        <f t="shared" ref="AQ459:AQ481" si="284">IF(AN459&lt;0,AN459*$AE459,"")</f>
        <v/>
      </c>
      <c r="AR459" s="61">
        <v>1</v>
      </c>
      <c r="AS459" s="66">
        <f t="shared" ref="AS459:AS481" si="285">IF(AR459&gt;0,AR459*$AE459,"")</f>
        <v>181.9</v>
      </c>
      <c r="AT459" s="66" t="str">
        <f t="shared" ref="AT459:AT481" si="286">IF(AR459=0,AR459*$AE459,"")</f>
        <v/>
      </c>
      <c r="AU459" s="67" t="str">
        <f t="shared" ref="AU459:AU481" si="287">IF(AR459&lt;0,AR459*$AE459,"")</f>
        <v/>
      </c>
      <c r="AV459" s="61">
        <v>0</v>
      </c>
      <c r="AW459" s="66" t="str">
        <f t="shared" si="270"/>
        <v/>
      </c>
      <c r="AX459" s="66">
        <f t="shared" si="271"/>
        <v>0</v>
      </c>
      <c r="AY459" s="67" t="str">
        <f t="shared" si="272"/>
        <v/>
      </c>
      <c r="AZ459" s="61">
        <v>1</v>
      </c>
      <c r="BA459" s="66">
        <f t="shared" si="273"/>
        <v>181.9</v>
      </c>
      <c r="BB459" s="66" t="str">
        <f t="shared" si="274"/>
        <v/>
      </c>
      <c r="BC459" s="67" t="str">
        <f t="shared" si="275"/>
        <v/>
      </c>
    </row>
    <row r="460" spans="29:55">
      <c r="AD460" s="68" t="str">
        <v>02</v>
      </c>
      <c r="AE460" s="61">
        <v>204.8</v>
      </c>
      <c r="AF460" s="61">
        <v>-1</v>
      </c>
      <c r="AG460" s="66" t="str">
        <f t="shared" si="276"/>
        <v/>
      </c>
      <c r="AH460" s="66" t="str">
        <f t="shared" si="277"/>
        <v/>
      </c>
      <c r="AI460" s="67">
        <f t="shared" si="278"/>
        <v>-204.8</v>
      </c>
      <c r="AJ460" s="61">
        <v>-1</v>
      </c>
      <c r="AK460" s="66" t="str">
        <f t="shared" si="279"/>
        <v/>
      </c>
      <c r="AL460" s="66" t="str">
        <f t="shared" si="280"/>
        <v/>
      </c>
      <c r="AM460" s="67">
        <f t="shared" si="281"/>
        <v>-204.8</v>
      </c>
      <c r="AN460" s="61">
        <v>1</v>
      </c>
      <c r="AO460" s="66">
        <f t="shared" si="282"/>
        <v>204.8</v>
      </c>
      <c r="AP460" s="66" t="str">
        <f t="shared" si="283"/>
        <v/>
      </c>
      <c r="AQ460" s="67" t="str">
        <f t="shared" si="284"/>
        <v/>
      </c>
      <c r="AR460" s="61">
        <v>1</v>
      </c>
      <c r="AS460" s="66">
        <f t="shared" si="285"/>
        <v>204.8</v>
      </c>
      <c r="AT460" s="66" t="str">
        <f t="shared" si="286"/>
        <v/>
      </c>
      <c r="AU460" s="67" t="str">
        <f t="shared" si="287"/>
        <v/>
      </c>
      <c r="AV460" s="61">
        <v>-1</v>
      </c>
      <c r="AW460" s="66" t="str">
        <f t="shared" si="270"/>
        <v/>
      </c>
      <c r="AX460" s="66" t="str">
        <f t="shared" si="271"/>
        <v/>
      </c>
      <c r="AY460" s="67">
        <f t="shared" si="272"/>
        <v>-204.8</v>
      </c>
      <c r="AZ460" s="61">
        <v>1</v>
      </c>
      <c r="BA460" s="66">
        <f t="shared" si="273"/>
        <v>204.8</v>
      </c>
      <c r="BB460" s="66" t="str">
        <f t="shared" si="274"/>
        <v/>
      </c>
      <c r="BC460" s="67" t="str">
        <f t="shared" si="275"/>
        <v/>
      </c>
    </row>
    <row r="461" spans="29:55">
      <c r="AD461" s="68" t="str">
        <v>03</v>
      </c>
      <c r="AE461" s="61">
        <v>223.8</v>
      </c>
      <c r="AF461" s="61">
        <v>-1</v>
      </c>
      <c r="AG461" s="66" t="str">
        <f t="shared" si="276"/>
        <v/>
      </c>
      <c r="AH461" s="66" t="str">
        <f t="shared" si="277"/>
        <v/>
      </c>
      <c r="AI461" s="67">
        <f t="shared" si="278"/>
        <v>-223.8</v>
      </c>
      <c r="AJ461" s="61">
        <v>-1</v>
      </c>
      <c r="AK461" s="66" t="str">
        <f t="shared" si="279"/>
        <v/>
      </c>
      <c r="AL461" s="66" t="str">
        <f t="shared" si="280"/>
        <v/>
      </c>
      <c r="AM461" s="67">
        <f t="shared" si="281"/>
        <v>-223.8</v>
      </c>
      <c r="AN461" s="61">
        <v>-1</v>
      </c>
      <c r="AO461" s="66" t="str">
        <f t="shared" si="282"/>
        <v/>
      </c>
      <c r="AP461" s="66" t="str">
        <f t="shared" si="283"/>
        <v/>
      </c>
      <c r="AQ461" s="67">
        <f t="shared" si="284"/>
        <v>-223.8</v>
      </c>
      <c r="AR461" s="61">
        <v>1</v>
      </c>
      <c r="AS461" s="66">
        <f t="shared" si="285"/>
        <v>223.8</v>
      </c>
      <c r="AT461" s="66" t="str">
        <f t="shared" si="286"/>
        <v/>
      </c>
      <c r="AU461" s="67" t="str">
        <f t="shared" si="287"/>
        <v/>
      </c>
      <c r="AV461" s="61">
        <v>-1</v>
      </c>
      <c r="AW461" s="66" t="str">
        <f t="shared" si="270"/>
        <v/>
      </c>
      <c r="AX461" s="66" t="str">
        <f t="shared" si="271"/>
        <v/>
      </c>
      <c r="AY461" s="67">
        <f t="shared" si="272"/>
        <v>-223.8</v>
      </c>
      <c r="AZ461" s="61">
        <v>-1</v>
      </c>
      <c r="BA461" s="66" t="str">
        <f t="shared" si="273"/>
        <v/>
      </c>
      <c r="BB461" s="66" t="str">
        <f t="shared" si="274"/>
        <v/>
      </c>
      <c r="BC461" s="67">
        <f t="shared" si="275"/>
        <v>-223.8</v>
      </c>
    </row>
    <row r="462" spans="29:55">
      <c r="AD462" s="68" t="str">
        <v>04</v>
      </c>
      <c r="AE462" s="61">
        <v>234.79999999999998</v>
      </c>
      <c r="AF462" s="61">
        <v>-1</v>
      </c>
      <c r="AG462" s="66" t="str">
        <f t="shared" si="276"/>
        <v/>
      </c>
      <c r="AH462" s="66" t="str">
        <f t="shared" si="277"/>
        <v/>
      </c>
      <c r="AI462" s="67">
        <f t="shared" si="278"/>
        <v>-234.79999999999998</v>
      </c>
      <c r="AJ462" s="61">
        <v>-1</v>
      </c>
      <c r="AK462" s="66" t="str">
        <f t="shared" si="279"/>
        <v/>
      </c>
      <c r="AL462" s="66" t="str">
        <f t="shared" si="280"/>
        <v/>
      </c>
      <c r="AM462" s="67">
        <f t="shared" si="281"/>
        <v>-234.79999999999998</v>
      </c>
      <c r="AN462" s="61">
        <v>-1</v>
      </c>
      <c r="AO462" s="66" t="str">
        <f t="shared" si="282"/>
        <v/>
      </c>
      <c r="AP462" s="66" t="str">
        <f t="shared" si="283"/>
        <v/>
      </c>
      <c r="AQ462" s="67">
        <f t="shared" si="284"/>
        <v>-234.79999999999998</v>
      </c>
      <c r="AR462" s="61">
        <v>1</v>
      </c>
      <c r="AS462" s="66">
        <f t="shared" si="285"/>
        <v>234.79999999999998</v>
      </c>
      <c r="AT462" s="66" t="str">
        <f t="shared" si="286"/>
        <v/>
      </c>
      <c r="AU462" s="67" t="str">
        <f t="shared" si="287"/>
        <v/>
      </c>
      <c r="AV462" s="61">
        <v>0</v>
      </c>
      <c r="AW462" s="66" t="str">
        <f t="shared" si="270"/>
        <v/>
      </c>
      <c r="AX462" s="66">
        <f t="shared" si="271"/>
        <v>0</v>
      </c>
      <c r="AY462" s="67" t="str">
        <f t="shared" si="272"/>
        <v/>
      </c>
      <c r="AZ462" s="61">
        <v>-1</v>
      </c>
      <c r="BA462" s="66" t="str">
        <f t="shared" si="273"/>
        <v/>
      </c>
      <c r="BB462" s="66" t="str">
        <f t="shared" si="274"/>
        <v/>
      </c>
      <c r="BC462" s="67">
        <f t="shared" si="275"/>
        <v>-234.79999999999998</v>
      </c>
    </row>
    <row r="463" spans="29:55">
      <c r="AD463" s="68" t="str">
        <v>05</v>
      </c>
      <c r="AE463" s="61">
        <v>230.9</v>
      </c>
      <c r="AF463" s="61">
        <v>-1</v>
      </c>
      <c r="AG463" s="66" t="str">
        <f t="shared" si="276"/>
        <v/>
      </c>
      <c r="AH463" s="66" t="str">
        <f t="shared" si="277"/>
        <v/>
      </c>
      <c r="AI463" s="67">
        <f t="shared" si="278"/>
        <v>-230.9</v>
      </c>
      <c r="AJ463" s="61">
        <v>-1</v>
      </c>
      <c r="AK463" s="66" t="str">
        <f t="shared" si="279"/>
        <v/>
      </c>
      <c r="AL463" s="66" t="str">
        <f t="shared" si="280"/>
        <v/>
      </c>
      <c r="AM463" s="67">
        <f t="shared" si="281"/>
        <v>-230.9</v>
      </c>
      <c r="AN463" s="61">
        <v>-1</v>
      </c>
      <c r="AO463" s="66" t="str">
        <f t="shared" si="282"/>
        <v/>
      </c>
      <c r="AP463" s="66" t="str">
        <f t="shared" si="283"/>
        <v/>
      </c>
      <c r="AQ463" s="67">
        <f t="shared" si="284"/>
        <v>-230.9</v>
      </c>
      <c r="AR463" s="61">
        <v>1</v>
      </c>
      <c r="AS463" s="66">
        <f t="shared" si="285"/>
        <v>230.9</v>
      </c>
      <c r="AT463" s="66" t="str">
        <f t="shared" si="286"/>
        <v/>
      </c>
      <c r="AU463" s="67" t="str">
        <f t="shared" si="287"/>
        <v/>
      </c>
      <c r="AV463" s="61">
        <v>1</v>
      </c>
      <c r="AW463" s="66">
        <f t="shared" si="270"/>
        <v>230.9</v>
      </c>
      <c r="AX463" s="66" t="str">
        <f t="shared" si="271"/>
        <v/>
      </c>
      <c r="AY463" s="67" t="str">
        <f t="shared" si="272"/>
        <v/>
      </c>
      <c r="AZ463" s="61">
        <v>-1</v>
      </c>
      <c r="BA463" s="66" t="str">
        <f t="shared" si="273"/>
        <v/>
      </c>
      <c r="BB463" s="66" t="str">
        <f t="shared" si="274"/>
        <v/>
      </c>
      <c r="BC463" s="67">
        <f t="shared" si="275"/>
        <v>-230.9</v>
      </c>
    </row>
    <row r="464" spans="29:55">
      <c r="AD464" s="68" t="str">
        <v>06</v>
      </c>
      <c r="AE464" s="61">
        <v>220.00000000000003</v>
      </c>
      <c r="AF464" s="61">
        <v>1</v>
      </c>
      <c r="AG464" s="66">
        <f t="shared" si="276"/>
        <v>220.00000000000003</v>
      </c>
      <c r="AH464" s="66" t="str">
        <f t="shared" si="277"/>
        <v/>
      </c>
      <c r="AI464" s="67" t="str">
        <f t="shared" si="278"/>
        <v/>
      </c>
      <c r="AJ464" s="61">
        <v>-1</v>
      </c>
      <c r="AK464" s="66" t="str">
        <f t="shared" si="279"/>
        <v/>
      </c>
      <c r="AL464" s="66" t="str">
        <f t="shared" si="280"/>
        <v/>
      </c>
      <c r="AM464" s="67">
        <f t="shared" si="281"/>
        <v>-220.00000000000003</v>
      </c>
      <c r="AN464" s="61">
        <v>-1</v>
      </c>
      <c r="AO464" s="66" t="str">
        <f t="shared" si="282"/>
        <v/>
      </c>
      <c r="AP464" s="66" t="str">
        <f t="shared" si="283"/>
        <v/>
      </c>
      <c r="AQ464" s="67">
        <f t="shared" si="284"/>
        <v>-220.00000000000003</v>
      </c>
      <c r="AR464" s="61">
        <v>-1</v>
      </c>
      <c r="AS464" s="66" t="str">
        <f t="shared" si="285"/>
        <v/>
      </c>
      <c r="AT464" s="66" t="str">
        <f t="shared" si="286"/>
        <v/>
      </c>
      <c r="AU464" s="67">
        <f t="shared" si="287"/>
        <v>-220.00000000000003</v>
      </c>
      <c r="AV464" s="61">
        <v>1</v>
      </c>
      <c r="AW464" s="66">
        <f t="shared" si="270"/>
        <v>220.00000000000003</v>
      </c>
      <c r="AX464" s="66" t="str">
        <f t="shared" si="271"/>
        <v/>
      </c>
      <c r="AY464" s="67" t="str">
        <f t="shared" si="272"/>
        <v/>
      </c>
      <c r="AZ464" s="61">
        <v>1</v>
      </c>
      <c r="BA464" s="66">
        <f t="shared" si="273"/>
        <v>220.00000000000003</v>
      </c>
      <c r="BB464" s="66" t="str">
        <f t="shared" si="274"/>
        <v/>
      </c>
      <c r="BC464" s="67" t="str">
        <f t="shared" si="275"/>
        <v/>
      </c>
    </row>
    <row r="465" spans="30:55">
      <c r="AD465" s="68" t="str">
        <v>07</v>
      </c>
      <c r="AE465" s="61">
        <v>200.89999999999998</v>
      </c>
      <c r="AF465" s="61">
        <v>1</v>
      </c>
      <c r="AG465" s="66">
        <f t="shared" si="276"/>
        <v>200.89999999999998</v>
      </c>
      <c r="AH465" s="66" t="str">
        <f t="shared" si="277"/>
        <v/>
      </c>
      <c r="AI465" s="67" t="str">
        <f t="shared" si="278"/>
        <v/>
      </c>
      <c r="AJ465" s="61">
        <v>-1</v>
      </c>
      <c r="AK465" s="66" t="str">
        <f t="shared" si="279"/>
        <v/>
      </c>
      <c r="AL465" s="66" t="str">
        <f t="shared" si="280"/>
        <v/>
      </c>
      <c r="AM465" s="67">
        <f t="shared" si="281"/>
        <v>-200.89999999999998</v>
      </c>
      <c r="AN465" s="61">
        <v>-1</v>
      </c>
      <c r="AO465" s="66" t="str">
        <f t="shared" si="282"/>
        <v/>
      </c>
      <c r="AP465" s="66" t="str">
        <f t="shared" si="283"/>
        <v/>
      </c>
      <c r="AQ465" s="67">
        <f t="shared" si="284"/>
        <v>-200.89999999999998</v>
      </c>
      <c r="AR465" s="61">
        <v>-1</v>
      </c>
      <c r="AS465" s="66" t="str">
        <f t="shared" si="285"/>
        <v/>
      </c>
      <c r="AT465" s="66" t="str">
        <f t="shared" si="286"/>
        <v/>
      </c>
      <c r="AU465" s="67">
        <f t="shared" si="287"/>
        <v>-200.89999999999998</v>
      </c>
      <c r="AV465" s="61">
        <v>0</v>
      </c>
      <c r="AW465" s="66" t="str">
        <f t="shared" si="270"/>
        <v/>
      </c>
      <c r="AX465" s="66">
        <f t="shared" si="271"/>
        <v>0</v>
      </c>
      <c r="AY465" s="67" t="str">
        <f t="shared" si="272"/>
        <v/>
      </c>
      <c r="AZ465" s="61">
        <v>1</v>
      </c>
      <c r="BA465" s="66">
        <f t="shared" si="273"/>
        <v>200.89999999999998</v>
      </c>
      <c r="BB465" s="66" t="str">
        <f t="shared" si="274"/>
        <v/>
      </c>
      <c r="BC465" s="67" t="str">
        <f t="shared" si="275"/>
        <v/>
      </c>
    </row>
    <row r="466" spans="30:55">
      <c r="AD466" s="68" t="str">
        <v>08</v>
      </c>
      <c r="AE466" s="61">
        <v>179.7</v>
      </c>
      <c r="AF466" s="61">
        <v>1</v>
      </c>
      <c r="AG466" s="66">
        <f t="shared" si="276"/>
        <v>179.7</v>
      </c>
      <c r="AH466" s="66" t="str">
        <f t="shared" si="277"/>
        <v/>
      </c>
      <c r="AI466" s="67" t="str">
        <f t="shared" si="278"/>
        <v/>
      </c>
      <c r="AJ466" s="61">
        <v>-1</v>
      </c>
      <c r="AK466" s="66" t="str">
        <f t="shared" si="279"/>
        <v/>
      </c>
      <c r="AL466" s="66" t="str">
        <f t="shared" si="280"/>
        <v/>
      </c>
      <c r="AM466" s="67">
        <f t="shared" si="281"/>
        <v>-179.7</v>
      </c>
      <c r="AN466" s="61">
        <v>-1</v>
      </c>
      <c r="AO466" s="66" t="str">
        <f t="shared" si="282"/>
        <v/>
      </c>
      <c r="AP466" s="66" t="str">
        <f t="shared" si="283"/>
        <v/>
      </c>
      <c r="AQ466" s="67">
        <f t="shared" si="284"/>
        <v>-179.7</v>
      </c>
      <c r="AR466" s="61">
        <v>-1</v>
      </c>
      <c r="AS466" s="66" t="str">
        <f t="shared" si="285"/>
        <v/>
      </c>
      <c r="AT466" s="66" t="str">
        <f t="shared" si="286"/>
        <v/>
      </c>
      <c r="AU466" s="67">
        <f t="shared" si="287"/>
        <v>-179.7</v>
      </c>
      <c r="AV466" s="61">
        <v>-1</v>
      </c>
      <c r="AW466" s="66" t="str">
        <f t="shared" si="270"/>
        <v/>
      </c>
      <c r="AX466" s="66" t="str">
        <f t="shared" si="271"/>
        <v/>
      </c>
      <c r="AY466" s="67">
        <f t="shared" si="272"/>
        <v>-179.7</v>
      </c>
      <c r="AZ466" s="61">
        <v>1</v>
      </c>
      <c r="BA466" s="66">
        <f t="shared" si="273"/>
        <v>179.7</v>
      </c>
      <c r="BB466" s="66" t="str">
        <f t="shared" si="274"/>
        <v/>
      </c>
      <c r="BC466" s="67" t="str">
        <f t="shared" si="275"/>
        <v/>
      </c>
    </row>
    <row r="467" spans="30:55">
      <c r="AD467" s="68" t="str">
        <v>09</v>
      </c>
      <c r="AE467" s="61">
        <v>161</v>
      </c>
      <c r="AF467" s="61">
        <v>1</v>
      </c>
      <c r="AG467" s="66">
        <f t="shared" si="276"/>
        <v>161</v>
      </c>
      <c r="AH467" s="66" t="str">
        <f t="shared" si="277"/>
        <v/>
      </c>
      <c r="AI467" s="67" t="str">
        <f t="shared" si="278"/>
        <v/>
      </c>
      <c r="AJ467" s="61">
        <v>-1</v>
      </c>
      <c r="AK467" s="66" t="str">
        <f t="shared" si="279"/>
        <v/>
      </c>
      <c r="AL467" s="66" t="str">
        <f t="shared" si="280"/>
        <v/>
      </c>
      <c r="AM467" s="67">
        <f t="shared" si="281"/>
        <v>-161</v>
      </c>
      <c r="AN467" s="61">
        <v>1</v>
      </c>
      <c r="AO467" s="66">
        <f t="shared" si="282"/>
        <v>161</v>
      </c>
      <c r="AP467" s="66" t="str">
        <f t="shared" si="283"/>
        <v/>
      </c>
      <c r="AQ467" s="67" t="str">
        <f t="shared" si="284"/>
        <v/>
      </c>
      <c r="AR467" s="61">
        <v>-1</v>
      </c>
      <c r="AS467" s="66" t="str">
        <f t="shared" si="285"/>
        <v/>
      </c>
      <c r="AT467" s="66" t="str">
        <f t="shared" si="286"/>
        <v/>
      </c>
      <c r="AU467" s="67">
        <f t="shared" si="287"/>
        <v>-161</v>
      </c>
      <c r="AV467" s="61">
        <v>-1</v>
      </c>
      <c r="AW467" s="66" t="str">
        <f t="shared" si="270"/>
        <v/>
      </c>
      <c r="AX467" s="66" t="str">
        <f t="shared" si="271"/>
        <v/>
      </c>
      <c r="AY467" s="67">
        <f t="shared" si="272"/>
        <v>-161</v>
      </c>
      <c r="AZ467" s="61">
        <v>-1</v>
      </c>
      <c r="BA467" s="66" t="str">
        <f t="shared" si="273"/>
        <v/>
      </c>
      <c r="BB467" s="66" t="str">
        <f t="shared" si="274"/>
        <v/>
      </c>
      <c r="BC467" s="67">
        <f t="shared" si="275"/>
        <v>-161</v>
      </c>
    </row>
    <row r="468" spans="30:55">
      <c r="AD468" s="68" t="str">
        <v>10</v>
      </c>
      <c r="AE468" s="61">
        <v>148</v>
      </c>
      <c r="AF468" s="61">
        <v>1</v>
      </c>
      <c r="AG468" s="66">
        <f t="shared" si="276"/>
        <v>148</v>
      </c>
      <c r="AH468" s="66" t="str">
        <f t="shared" si="277"/>
        <v/>
      </c>
      <c r="AI468" s="67" t="str">
        <f t="shared" si="278"/>
        <v/>
      </c>
      <c r="AJ468" s="61">
        <v>-1</v>
      </c>
      <c r="AK468" s="66" t="str">
        <f t="shared" si="279"/>
        <v/>
      </c>
      <c r="AL468" s="66" t="str">
        <f t="shared" si="280"/>
        <v/>
      </c>
      <c r="AM468" s="67">
        <f t="shared" si="281"/>
        <v>-148</v>
      </c>
      <c r="AN468" s="61">
        <v>1</v>
      </c>
      <c r="AO468" s="66">
        <f t="shared" si="282"/>
        <v>148</v>
      </c>
      <c r="AP468" s="66" t="str">
        <f t="shared" si="283"/>
        <v/>
      </c>
      <c r="AQ468" s="67" t="str">
        <f t="shared" si="284"/>
        <v/>
      </c>
      <c r="AR468" s="61">
        <v>-1</v>
      </c>
      <c r="AS468" s="66" t="str">
        <f t="shared" si="285"/>
        <v/>
      </c>
      <c r="AT468" s="66" t="str">
        <f t="shared" si="286"/>
        <v/>
      </c>
      <c r="AU468" s="67">
        <f t="shared" si="287"/>
        <v>-148</v>
      </c>
      <c r="AV468" s="61">
        <v>0</v>
      </c>
      <c r="AW468" s="66" t="str">
        <f t="shared" si="270"/>
        <v/>
      </c>
      <c r="AX468" s="66">
        <f t="shared" si="271"/>
        <v>0</v>
      </c>
      <c r="AY468" s="67" t="str">
        <f t="shared" si="272"/>
        <v/>
      </c>
      <c r="AZ468" s="61">
        <v>-1</v>
      </c>
      <c r="BA468" s="66" t="str">
        <f t="shared" si="273"/>
        <v/>
      </c>
      <c r="BB468" s="66" t="str">
        <f t="shared" si="274"/>
        <v/>
      </c>
      <c r="BC468" s="67">
        <f t="shared" si="275"/>
        <v>-148</v>
      </c>
    </row>
    <row r="469" spans="30:55">
      <c r="AD469" s="68" t="str">
        <v>11</v>
      </c>
      <c r="AE469" s="61">
        <v>140</v>
      </c>
      <c r="AF469" s="61">
        <v>1</v>
      </c>
      <c r="AG469" s="66">
        <f t="shared" si="276"/>
        <v>140</v>
      </c>
      <c r="AH469" s="66" t="str">
        <f t="shared" si="277"/>
        <v/>
      </c>
      <c r="AI469" s="67" t="str">
        <f t="shared" si="278"/>
        <v/>
      </c>
      <c r="AJ469" s="61">
        <v>-1</v>
      </c>
      <c r="AK469" s="66" t="str">
        <f t="shared" si="279"/>
        <v/>
      </c>
      <c r="AL469" s="66" t="str">
        <f t="shared" si="280"/>
        <v/>
      </c>
      <c r="AM469" s="67">
        <f t="shared" si="281"/>
        <v>-140</v>
      </c>
      <c r="AN469" s="61">
        <v>1</v>
      </c>
      <c r="AO469" s="66">
        <f t="shared" si="282"/>
        <v>140</v>
      </c>
      <c r="AP469" s="66" t="str">
        <f t="shared" si="283"/>
        <v/>
      </c>
      <c r="AQ469" s="67" t="str">
        <f t="shared" si="284"/>
        <v/>
      </c>
      <c r="AR469" s="61">
        <v>-1</v>
      </c>
      <c r="AS469" s="66" t="str">
        <f t="shared" si="285"/>
        <v/>
      </c>
      <c r="AT469" s="66" t="str">
        <f t="shared" si="286"/>
        <v/>
      </c>
      <c r="AU469" s="67">
        <f t="shared" si="287"/>
        <v>-140</v>
      </c>
      <c r="AV469" s="61">
        <v>1</v>
      </c>
      <c r="AW469" s="66">
        <f t="shared" si="270"/>
        <v>140</v>
      </c>
      <c r="AX469" s="66" t="str">
        <f t="shared" si="271"/>
        <v/>
      </c>
      <c r="AY469" s="67" t="str">
        <f t="shared" si="272"/>
        <v/>
      </c>
      <c r="AZ469" s="61">
        <v>-1</v>
      </c>
      <c r="BA469" s="66" t="str">
        <f t="shared" si="273"/>
        <v/>
      </c>
      <c r="BB469" s="66" t="str">
        <f t="shared" si="274"/>
        <v/>
      </c>
      <c r="BC469" s="67">
        <f t="shared" si="275"/>
        <v>-140</v>
      </c>
    </row>
    <row r="470" spans="30:55">
      <c r="AD470" s="68" t="str">
        <v>12</v>
      </c>
      <c r="AE470" s="61">
        <v>145.4</v>
      </c>
      <c r="AF470" s="61">
        <v>1</v>
      </c>
      <c r="AG470" s="66">
        <f t="shared" si="276"/>
        <v>145.4</v>
      </c>
      <c r="AH470" s="66" t="str">
        <f t="shared" si="277"/>
        <v/>
      </c>
      <c r="AI470" s="67" t="str">
        <f t="shared" si="278"/>
        <v/>
      </c>
      <c r="AJ470" s="61">
        <v>1</v>
      </c>
      <c r="AK470" s="66">
        <f t="shared" si="279"/>
        <v>145.4</v>
      </c>
      <c r="AL470" s="66" t="str">
        <f t="shared" si="280"/>
        <v/>
      </c>
      <c r="AM470" s="67" t="str">
        <f t="shared" si="281"/>
        <v/>
      </c>
      <c r="AN470" s="61">
        <v>1</v>
      </c>
      <c r="AO470" s="66">
        <f t="shared" si="282"/>
        <v>145.4</v>
      </c>
      <c r="AP470" s="66" t="str">
        <f t="shared" si="283"/>
        <v/>
      </c>
      <c r="AQ470" s="67" t="str">
        <f t="shared" si="284"/>
        <v/>
      </c>
      <c r="AR470" s="61">
        <v>1</v>
      </c>
      <c r="AS470" s="66">
        <f t="shared" si="285"/>
        <v>145.4</v>
      </c>
      <c r="AT470" s="66" t="str">
        <f t="shared" si="286"/>
        <v/>
      </c>
      <c r="AU470" s="67" t="str">
        <f t="shared" si="287"/>
        <v/>
      </c>
      <c r="AV470" s="61">
        <v>1</v>
      </c>
      <c r="AW470" s="66">
        <f t="shared" si="270"/>
        <v>145.4</v>
      </c>
      <c r="AX470" s="66" t="str">
        <f t="shared" si="271"/>
        <v/>
      </c>
      <c r="AY470" s="67" t="str">
        <f t="shared" si="272"/>
        <v/>
      </c>
      <c r="AZ470" s="61">
        <v>1</v>
      </c>
      <c r="BA470" s="66">
        <f t="shared" si="273"/>
        <v>145.4</v>
      </c>
      <c r="BB470" s="66" t="str">
        <f t="shared" si="274"/>
        <v/>
      </c>
      <c r="BC470" s="67" t="str">
        <f t="shared" si="275"/>
        <v/>
      </c>
    </row>
    <row r="471" spans="30:55">
      <c r="AD471" s="68" t="str">
        <v>13</v>
      </c>
      <c r="AE471" s="61">
        <v>151.6</v>
      </c>
      <c r="AF471" s="61">
        <v>1</v>
      </c>
      <c r="AG471" s="66">
        <f t="shared" si="276"/>
        <v>151.6</v>
      </c>
      <c r="AH471" s="66" t="str">
        <f t="shared" si="277"/>
        <v/>
      </c>
      <c r="AI471" s="67" t="str">
        <f t="shared" si="278"/>
        <v/>
      </c>
      <c r="AJ471" s="61">
        <v>1</v>
      </c>
      <c r="AK471" s="66">
        <f t="shared" si="279"/>
        <v>151.6</v>
      </c>
      <c r="AL471" s="66" t="str">
        <f t="shared" si="280"/>
        <v/>
      </c>
      <c r="AM471" s="67" t="str">
        <f t="shared" si="281"/>
        <v/>
      </c>
      <c r="AN471" s="61">
        <v>1</v>
      </c>
      <c r="AO471" s="66">
        <f t="shared" si="282"/>
        <v>151.6</v>
      </c>
      <c r="AP471" s="66" t="str">
        <f t="shared" si="283"/>
        <v/>
      </c>
      <c r="AQ471" s="67" t="str">
        <f t="shared" si="284"/>
        <v/>
      </c>
      <c r="AR471" s="61">
        <v>1</v>
      </c>
      <c r="AS471" s="66">
        <f t="shared" si="285"/>
        <v>151.6</v>
      </c>
      <c r="AT471" s="66" t="str">
        <f t="shared" si="286"/>
        <v/>
      </c>
      <c r="AU471" s="67" t="str">
        <f t="shared" si="287"/>
        <v/>
      </c>
      <c r="AV471" s="61">
        <v>0</v>
      </c>
      <c r="AW471" s="66" t="str">
        <f t="shared" si="270"/>
        <v/>
      </c>
      <c r="AX471" s="66">
        <f t="shared" si="271"/>
        <v>0</v>
      </c>
      <c r="AY471" s="67" t="str">
        <f t="shared" si="272"/>
        <v/>
      </c>
      <c r="AZ471" s="61">
        <v>1</v>
      </c>
      <c r="BA471" s="66">
        <f t="shared" si="273"/>
        <v>151.6</v>
      </c>
      <c r="BB471" s="66" t="str">
        <f t="shared" si="274"/>
        <v/>
      </c>
      <c r="BC471" s="67" t="str">
        <f t="shared" si="275"/>
        <v/>
      </c>
    </row>
    <row r="472" spans="30:55">
      <c r="AD472" s="68" t="str">
        <v>14</v>
      </c>
      <c r="AE472" s="61">
        <v>160.69999999999999</v>
      </c>
      <c r="AF472" s="61">
        <v>1</v>
      </c>
      <c r="AG472" s="66">
        <f t="shared" si="276"/>
        <v>160.69999999999999</v>
      </c>
      <c r="AH472" s="66" t="str">
        <f t="shared" si="277"/>
        <v/>
      </c>
      <c r="AI472" s="67" t="str">
        <f t="shared" si="278"/>
        <v/>
      </c>
      <c r="AJ472" s="61">
        <v>1</v>
      </c>
      <c r="AK472" s="66">
        <f t="shared" si="279"/>
        <v>160.69999999999999</v>
      </c>
      <c r="AL472" s="66" t="str">
        <f t="shared" si="280"/>
        <v/>
      </c>
      <c r="AM472" s="67" t="str">
        <f t="shared" si="281"/>
        <v/>
      </c>
      <c r="AN472" s="61">
        <v>1</v>
      </c>
      <c r="AO472" s="66">
        <f t="shared" si="282"/>
        <v>160.69999999999999</v>
      </c>
      <c r="AP472" s="66" t="str">
        <f t="shared" si="283"/>
        <v/>
      </c>
      <c r="AQ472" s="67" t="str">
        <f t="shared" si="284"/>
        <v/>
      </c>
      <c r="AR472" s="61">
        <v>1</v>
      </c>
      <c r="AS472" s="66">
        <f t="shared" si="285"/>
        <v>160.69999999999999</v>
      </c>
      <c r="AT472" s="66" t="str">
        <f t="shared" si="286"/>
        <v/>
      </c>
      <c r="AU472" s="67" t="str">
        <f t="shared" si="287"/>
        <v/>
      </c>
      <c r="AV472" s="61">
        <v>-1</v>
      </c>
      <c r="AW472" s="66" t="str">
        <f t="shared" si="270"/>
        <v/>
      </c>
      <c r="AX472" s="66" t="str">
        <f t="shared" si="271"/>
        <v/>
      </c>
      <c r="AY472" s="67">
        <f t="shared" si="272"/>
        <v>-160.69999999999999</v>
      </c>
      <c r="AZ472" s="61">
        <v>1</v>
      </c>
      <c r="BA472" s="66">
        <f t="shared" si="273"/>
        <v>160.69999999999999</v>
      </c>
      <c r="BB472" s="66" t="str">
        <f t="shared" si="274"/>
        <v/>
      </c>
      <c r="BC472" s="67" t="str">
        <f t="shared" si="275"/>
        <v/>
      </c>
    </row>
    <row r="473" spans="30:55">
      <c r="AD473" s="68" t="str">
        <v>15</v>
      </c>
      <c r="AE473" s="61">
        <v>169</v>
      </c>
      <c r="AF473" s="61">
        <v>1</v>
      </c>
      <c r="AG473" s="66">
        <f t="shared" si="276"/>
        <v>169</v>
      </c>
      <c r="AH473" s="66" t="str">
        <f t="shared" si="277"/>
        <v/>
      </c>
      <c r="AI473" s="67" t="str">
        <f t="shared" si="278"/>
        <v/>
      </c>
      <c r="AJ473" s="61">
        <v>1</v>
      </c>
      <c r="AK473" s="66">
        <f t="shared" si="279"/>
        <v>169</v>
      </c>
      <c r="AL473" s="66" t="str">
        <f t="shared" si="280"/>
        <v/>
      </c>
      <c r="AM473" s="67" t="str">
        <f t="shared" si="281"/>
        <v/>
      </c>
      <c r="AN473" s="61">
        <v>-1</v>
      </c>
      <c r="AO473" s="66" t="str">
        <f t="shared" si="282"/>
        <v/>
      </c>
      <c r="AP473" s="66" t="str">
        <f t="shared" si="283"/>
        <v/>
      </c>
      <c r="AQ473" s="67">
        <f t="shared" si="284"/>
        <v>-169</v>
      </c>
      <c r="AR473" s="61">
        <v>1</v>
      </c>
      <c r="AS473" s="66">
        <f t="shared" si="285"/>
        <v>169</v>
      </c>
      <c r="AT473" s="66" t="str">
        <f t="shared" si="286"/>
        <v/>
      </c>
      <c r="AU473" s="67" t="str">
        <f t="shared" si="287"/>
        <v/>
      </c>
      <c r="AV473" s="61">
        <v>-1</v>
      </c>
      <c r="AW473" s="66" t="str">
        <f t="shared" si="270"/>
        <v/>
      </c>
      <c r="AX473" s="66" t="str">
        <f t="shared" si="271"/>
        <v/>
      </c>
      <c r="AY473" s="67">
        <f t="shared" si="272"/>
        <v>-169</v>
      </c>
      <c r="AZ473" s="61">
        <v>-1</v>
      </c>
      <c r="BA473" s="66" t="str">
        <f t="shared" si="273"/>
        <v/>
      </c>
      <c r="BB473" s="66" t="str">
        <f t="shared" si="274"/>
        <v/>
      </c>
      <c r="BC473" s="67">
        <f t="shared" si="275"/>
        <v>-169</v>
      </c>
    </row>
    <row r="474" spans="30:55">
      <c r="AD474" s="68" t="str">
        <v>16</v>
      </c>
      <c r="AE474" s="61">
        <v>169</v>
      </c>
      <c r="AF474" s="61">
        <v>1</v>
      </c>
      <c r="AG474" s="66">
        <f t="shared" si="276"/>
        <v>169</v>
      </c>
      <c r="AH474" s="66" t="str">
        <f t="shared" si="277"/>
        <v/>
      </c>
      <c r="AI474" s="67" t="str">
        <f t="shared" si="278"/>
        <v/>
      </c>
      <c r="AJ474" s="61">
        <v>1</v>
      </c>
      <c r="AK474" s="66">
        <f t="shared" si="279"/>
        <v>169</v>
      </c>
      <c r="AL474" s="66" t="str">
        <f t="shared" si="280"/>
        <v/>
      </c>
      <c r="AM474" s="67" t="str">
        <f t="shared" si="281"/>
        <v/>
      </c>
      <c r="AN474" s="61">
        <v>-1</v>
      </c>
      <c r="AO474" s="66" t="str">
        <f t="shared" si="282"/>
        <v/>
      </c>
      <c r="AP474" s="66" t="str">
        <f t="shared" si="283"/>
        <v/>
      </c>
      <c r="AQ474" s="67">
        <f t="shared" si="284"/>
        <v>-169</v>
      </c>
      <c r="AR474" s="61">
        <v>1</v>
      </c>
      <c r="AS474" s="66">
        <f t="shared" si="285"/>
        <v>169</v>
      </c>
      <c r="AT474" s="66" t="str">
        <f t="shared" si="286"/>
        <v/>
      </c>
      <c r="AU474" s="67" t="str">
        <f t="shared" si="287"/>
        <v/>
      </c>
      <c r="AV474" s="61">
        <v>0</v>
      </c>
      <c r="AW474" s="66" t="str">
        <f t="shared" si="270"/>
        <v/>
      </c>
      <c r="AX474" s="66">
        <f t="shared" si="271"/>
        <v>0</v>
      </c>
      <c r="AY474" s="67" t="str">
        <f t="shared" si="272"/>
        <v/>
      </c>
      <c r="AZ474" s="61">
        <v>-1</v>
      </c>
      <c r="BA474" s="66" t="str">
        <f t="shared" si="273"/>
        <v/>
      </c>
      <c r="BB474" s="66" t="str">
        <f t="shared" si="274"/>
        <v/>
      </c>
      <c r="BC474" s="67">
        <f t="shared" si="275"/>
        <v>-169</v>
      </c>
    </row>
    <row r="475" spans="30:55">
      <c r="AD475" s="68" t="str">
        <v>17</v>
      </c>
      <c r="AE475" s="61">
        <v>161.9</v>
      </c>
      <c r="AF475" s="61">
        <v>1</v>
      </c>
      <c r="AG475" s="66">
        <f t="shared" si="276"/>
        <v>161.9</v>
      </c>
      <c r="AH475" s="66" t="str">
        <f t="shared" si="277"/>
        <v/>
      </c>
      <c r="AI475" s="67" t="str">
        <f t="shared" si="278"/>
        <v/>
      </c>
      <c r="AJ475" s="61">
        <v>1</v>
      </c>
      <c r="AK475" s="66">
        <f t="shared" si="279"/>
        <v>161.9</v>
      </c>
      <c r="AL475" s="66" t="str">
        <f t="shared" si="280"/>
        <v/>
      </c>
      <c r="AM475" s="67" t="str">
        <f t="shared" si="281"/>
        <v/>
      </c>
      <c r="AN475" s="61">
        <v>-1</v>
      </c>
      <c r="AO475" s="66" t="str">
        <f t="shared" si="282"/>
        <v/>
      </c>
      <c r="AP475" s="66" t="str">
        <f t="shared" si="283"/>
        <v/>
      </c>
      <c r="AQ475" s="67">
        <f t="shared" si="284"/>
        <v>-161.9</v>
      </c>
      <c r="AR475" s="61">
        <v>1</v>
      </c>
      <c r="AS475" s="66">
        <f t="shared" si="285"/>
        <v>161.9</v>
      </c>
      <c r="AT475" s="66" t="str">
        <f t="shared" si="286"/>
        <v/>
      </c>
      <c r="AU475" s="67" t="str">
        <f t="shared" si="287"/>
        <v/>
      </c>
      <c r="AV475" s="61">
        <v>1</v>
      </c>
      <c r="AW475" s="66">
        <f t="shared" si="270"/>
        <v>161.9</v>
      </c>
      <c r="AX475" s="66" t="str">
        <f t="shared" si="271"/>
        <v/>
      </c>
      <c r="AY475" s="67" t="str">
        <f t="shared" si="272"/>
        <v/>
      </c>
      <c r="AZ475" s="61">
        <v>-1</v>
      </c>
      <c r="BA475" s="66" t="str">
        <f t="shared" si="273"/>
        <v/>
      </c>
      <c r="BB475" s="66" t="str">
        <f t="shared" si="274"/>
        <v/>
      </c>
      <c r="BC475" s="67">
        <f t="shared" si="275"/>
        <v>-161.9</v>
      </c>
    </row>
    <row r="476" spans="30:55">
      <c r="AD476" s="68" t="str">
        <v>18</v>
      </c>
      <c r="AE476" s="61">
        <v>147.19999999999999</v>
      </c>
      <c r="AF476" s="61">
        <v>-1</v>
      </c>
      <c r="AG476" s="66" t="str">
        <f t="shared" si="276"/>
        <v/>
      </c>
      <c r="AH476" s="66" t="str">
        <f t="shared" si="277"/>
        <v/>
      </c>
      <c r="AI476" s="67">
        <f t="shared" si="278"/>
        <v>-147.19999999999999</v>
      </c>
      <c r="AJ476" s="61">
        <v>1</v>
      </c>
      <c r="AK476" s="66">
        <f t="shared" si="279"/>
        <v>147.19999999999999</v>
      </c>
      <c r="AL476" s="66" t="str">
        <f t="shared" si="280"/>
        <v/>
      </c>
      <c r="AM476" s="67" t="str">
        <f t="shared" si="281"/>
        <v/>
      </c>
      <c r="AN476" s="61">
        <v>-1</v>
      </c>
      <c r="AO476" s="66" t="str">
        <f t="shared" si="282"/>
        <v/>
      </c>
      <c r="AP476" s="66" t="str">
        <f t="shared" si="283"/>
        <v/>
      </c>
      <c r="AQ476" s="67">
        <f t="shared" si="284"/>
        <v>-147.19999999999999</v>
      </c>
      <c r="AR476" s="61">
        <v>-1</v>
      </c>
      <c r="AS476" s="66" t="str">
        <f t="shared" si="285"/>
        <v/>
      </c>
      <c r="AT476" s="66" t="str">
        <f t="shared" si="286"/>
        <v/>
      </c>
      <c r="AU476" s="67">
        <f t="shared" si="287"/>
        <v>-147.19999999999999</v>
      </c>
      <c r="AV476" s="61">
        <v>1</v>
      </c>
      <c r="AW476" s="66">
        <f t="shared" si="270"/>
        <v>147.19999999999999</v>
      </c>
      <c r="AX476" s="66" t="str">
        <f t="shared" si="271"/>
        <v/>
      </c>
      <c r="AY476" s="67" t="str">
        <f t="shared" si="272"/>
        <v/>
      </c>
      <c r="AZ476" s="61">
        <v>1</v>
      </c>
      <c r="BA476" s="66">
        <f t="shared" si="273"/>
        <v>147.19999999999999</v>
      </c>
      <c r="BB476" s="66" t="str">
        <f t="shared" si="274"/>
        <v/>
      </c>
      <c r="BC476" s="67" t="str">
        <f t="shared" si="275"/>
        <v/>
      </c>
    </row>
    <row r="477" spans="30:55">
      <c r="AD477" s="68" t="str">
        <v>19</v>
      </c>
      <c r="AE477" s="61">
        <v>130.1</v>
      </c>
      <c r="AF477" s="61">
        <v>-1</v>
      </c>
      <c r="AG477" s="66" t="str">
        <f t="shared" si="276"/>
        <v/>
      </c>
      <c r="AH477" s="66" t="str">
        <f t="shared" si="277"/>
        <v/>
      </c>
      <c r="AI477" s="67">
        <f t="shared" si="278"/>
        <v>-130.1</v>
      </c>
      <c r="AJ477" s="61">
        <v>1</v>
      </c>
      <c r="AK477" s="66">
        <f t="shared" si="279"/>
        <v>130.1</v>
      </c>
      <c r="AL477" s="66" t="str">
        <f t="shared" si="280"/>
        <v/>
      </c>
      <c r="AM477" s="67" t="str">
        <f t="shared" si="281"/>
        <v/>
      </c>
      <c r="AN477" s="61">
        <v>-1</v>
      </c>
      <c r="AO477" s="66" t="str">
        <f t="shared" si="282"/>
        <v/>
      </c>
      <c r="AP477" s="66" t="str">
        <f t="shared" si="283"/>
        <v/>
      </c>
      <c r="AQ477" s="67">
        <f t="shared" si="284"/>
        <v>-130.1</v>
      </c>
      <c r="AR477" s="61">
        <v>-1</v>
      </c>
      <c r="AS477" s="66" t="str">
        <f t="shared" si="285"/>
        <v/>
      </c>
      <c r="AT477" s="66" t="str">
        <f t="shared" si="286"/>
        <v/>
      </c>
      <c r="AU477" s="67">
        <f t="shared" si="287"/>
        <v>-130.1</v>
      </c>
      <c r="AV477" s="61">
        <v>0</v>
      </c>
      <c r="AW477" s="66" t="str">
        <f t="shared" si="270"/>
        <v/>
      </c>
      <c r="AX477" s="66">
        <f t="shared" si="271"/>
        <v>0</v>
      </c>
      <c r="AY477" s="67" t="str">
        <f t="shared" si="272"/>
        <v/>
      </c>
      <c r="AZ477" s="61">
        <v>1</v>
      </c>
      <c r="BA477" s="66">
        <f t="shared" si="273"/>
        <v>130.1</v>
      </c>
      <c r="BB477" s="66" t="str">
        <f t="shared" si="274"/>
        <v/>
      </c>
      <c r="BC477" s="67" t="str">
        <f t="shared" si="275"/>
        <v/>
      </c>
    </row>
    <row r="478" spans="30:55">
      <c r="AD478" s="68" t="str">
        <v>20</v>
      </c>
      <c r="AE478" s="61">
        <v>112.6</v>
      </c>
      <c r="AF478" s="61">
        <v>-1</v>
      </c>
      <c r="AG478" s="66" t="str">
        <f t="shared" si="276"/>
        <v/>
      </c>
      <c r="AH478" s="66" t="str">
        <f t="shared" si="277"/>
        <v/>
      </c>
      <c r="AI478" s="67">
        <f t="shared" si="278"/>
        <v>-112.6</v>
      </c>
      <c r="AJ478" s="61">
        <v>1</v>
      </c>
      <c r="AK478" s="66">
        <f t="shared" si="279"/>
        <v>112.6</v>
      </c>
      <c r="AL478" s="66" t="str">
        <f t="shared" si="280"/>
        <v/>
      </c>
      <c r="AM478" s="67" t="str">
        <f t="shared" si="281"/>
        <v/>
      </c>
      <c r="AN478" s="61">
        <v>-1</v>
      </c>
      <c r="AO478" s="66" t="str">
        <f t="shared" si="282"/>
        <v/>
      </c>
      <c r="AP478" s="66" t="str">
        <f t="shared" si="283"/>
        <v/>
      </c>
      <c r="AQ478" s="67">
        <f t="shared" si="284"/>
        <v>-112.6</v>
      </c>
      <c r="AR478" s="61">
        <v>-1</v>
      </c>
      <c r="AS478" s="66" t="str">
        <f t="shared" si="285"/>
        <v/>
      </c>
      <c r="AT478" s="66" t="str">
        <f t="shared" si="286"/>
        <v/>
      </c>
      <c r="AU478" s="67">
        <f t="shared" si="287"/>
        <v>-112.6</v>
      </c>
      <c r="AV478" s="61">
        <v>-1</v>
      </c>
      <c r="AW478" s="66" t="str">
        <f t="shared" si="270"/>
        <v/>
      </c>
      <c r="AX478" s="66" t="str">
        <f t="shared" si="271"/>
        <v/>
      </c>
      <c r="AY478" s="67">
        <f t="shared" si="272"/>
        <v>-112.6</v>
      </c>
      <c r="AZ478" s="61">
        <v>1</v>
      </c>
      <c r="BA478" s="66">
        <f t="shared" si="273"/>
        <v>112.6</v>
      </c>
      <c r="BB478" s="66" t="str">
        <f t="shared" si="274"/>
        <v/>
      </c>
      <c r="BC478" s="67" t="str">
        <f t="shared" si="275"/>
        <v/>
      </c>
    </row>
    <row r="479" spans="30:55">
      <c r="AD479" s="68" t="str">
        <v>21</v>
      </c>
      <c r="AE479" s="61">
        <v>102.49999999999999</v>
      </c>
      <c r="AF479" s="61">
        <v>-1</v>
      </c>
      <c r="AG479" s="66" t="str">
        <f t="shared" si="276"/>
        <v/>
      </c>
      <c r="AH479" s="66" t="str">
        <f t="shared" si="277"/>
        <v/>
      </c>
      <c r="AI479" s="67">
        <f t="shared" si="278"/>
        <v>-102.49999999999999</v>
      </c>
      <c r="AJ479" s="61">
        <v>1</v>
      </c>
      <c r="AK479" s="66">
        <f t="shared" si="279"/>
        <v>102.49999999999999</v>
      </c>
      <c r="AL479" s="66" t="str">
        <f t="shared" si="280"/>
        <v/>
      </c>
      <c r="AM479" s="67" t="str">
        <f t="shared" si="281"/>
        <v/>
      </c>
      <c r="AN479" s="61">
        <v>1</v>
      </c>
      <c r="AO479" s="66">
        <f t="shared" si="282"/>
        <v>102.49999999999999</v>
      </c>
      <c r="AP479" s="66" t="str">
        <f t="shared" si="283"/>
        <v/>
      </c>
      <c r="AQ479" s="67" t="str">
        <f t="shared" si="284"/>
        <v/>
      </c>
      <c r="AR479" s="61">
        <v>-1</v>
      </c>
      <c r="AS479" s="66" t="str">
        <f t="shared" si="285"/>
        <v/>
      </c>
      <c r="AT479" s="66" t="str">
        <f t="shared" si="286"/>
        <v/>
      </c>
      <c r="AU479" s="67">
        <f t="shared" si="287"/>
        <v>-102.49999999999999</v>
      </c>
      <c r="AV479" s="61">
        <v>-1</v>
      </c>
      <c r="AW479" s="66" t="str">
        <f t="shared" si="270"/>
        <v/>
      </c>
      <c r="AX479" s="66" t="str">
        <f t="shared" si="271"/>
        <v/>
      </c>
      <c r="AY479" s="67">
        <f t="shared" si="272"/>
        <v>-102.49999999999999</v>
      </c>
      <c r="AZ479" s="61">
        <v>-1</v>
      </c>
      <c r="BA479" s="66" t="str">
        <f t="shared" si="273"/>
        <v/>
      </c>
      <c r="BB479" s="66" t="str">
        <f t="shared" si="274"/>
        <v/>
      </c>
      <c r="BC479" s="67">
        <f t="shared" si="275"/>
        <v>-102.49999999999999</v>
      </c>
    </row>
    <row r="480" spans="30:55">
      <c r="AD480" s="68" t="str">
        <v>22</v>
      </c>
      <c r="AE480" s="61">
        <v>102.8</v>
      </c>
      <c r="AF480" s="61">
        <v>-1</v>
      </c>
      <c r="AG480" s="66" t="str">
        <f t="shared" si="276"/>
        <v/>
      </c>
      <c r="AH480" s="66" t="str">
        <f t="shared" si="277"/>
        <v/>
      </c>
      <c r="AI480" s="67">
        <f t="shared" si="278"/>
        <v>-102.8</v>
      </c>
      <c r="AJ480" s="61">
        <v>1</v>
      </c>
      <c r="AK480" s="66">
        <f t="shared" si="279"/>
        <v>102.8</v>
      </c>
      <c r="AL480" s="66" t="str">
        <f t="shared" si="280"/>
        <v/>
      </c>
      <c r="AM480" s="67" t="str">
        <f t="shared" si="281"/>
        <v/>
      </c>
      <c r="AN480" s="61">
        <v>1</v>
      </c>
      <c r="AO480" s="66">
        <f t="shared" si="282"/>
        <v>102.8</v>
      </c>
      <c r="AP480" s="66" t="str">
        <f t="shared" si="283"/>
        <v/>
      </c>
      <c r="AQ480" s="67" t="str">
        <f t="shared" si="284"/>
        <v/>
      </c>
      <c r="AR480" s="61">
        <v>-1</v>
      </c>
      <c r="AS480" s="66" t="str">
        <f t="shared" si="285"/>
        <v/>
      </c>
      <c r="AT480" s="66" t="str">
        <f t="shared" si="286"/>
        <v/>
      </c>
      <c r="AU480" s="67">
        <f t="shared" si="287"/>
        <v>-102.8</v>
      </c>
      <c r="AV480" s="61">
        <v>0</v>
      </c>
      <c r="AW480" s="66" t="str">
        <f t="shared" si="270"/>
        <v/>
      </c>
      <c r="AX480" s="66">
        <f t="shared" si="271"/>
        <v>0</v>
      </c>
      <c r="AY480" s="67" t="str">
        <f t="shared" si="272"/>
        <v/>
      </c>
      <c r="AZ480" s="61">
        <v>-1</v>
      </c>
      <c r="BA480" s="66" t="str">
        <f t="shared" si="273"/>
        <v/>
      </c>
      <c r="BB480" s="66" t="str">
        <f t="shared" si="274"/>
        <v/>
      </c>
      <c r="BC480" s="67">
        <f t="shared" si="275"/>
        <v>-102.8</v>
      </c>
    </row>
    <row r="481" spans="29:55">
      <c r="AD481" s="68" t="str">
        <v>23</v>
      </c>
      <c r="AE481" s="61">
        <v>115.3</v>
      </c>
      <c r="AF481" s="61">
        <v>-1</v>
      </c>
      <c r="AG481" s="66" t="str">
        <f t="shared" si="276"/>
        <v/>
      </c>
      <c r="AH481" s="66" t="str">
        <f t="shared" si="277"/>
        <v/>
      </c>
      <c r="AI481" s="67">
        <f t="shared" si="278"/>
        <v>-115.3</v>
      </c>
      <c r="AJ481" s="61">
        <v>1</v>
      </c>
      <c r="AK481" s="66">
        <f t="shared" si="279"/>
        <v>115.3</v>
      </c>
      <c r="AL481" s="66" t="str">
        <f t="shared" si="280"/>
        <v/>
      </c>
      <c r="AM481" s="67" t="str">
        <f t="shared" si="281"/>
        <v/>
      </c>
      <c r="AN481" s="61">
        <v>1</v>
      </c>
      <c r="AO481" s="66">
        <f t="shared" si="282"/>
        <v>115.3</v>
      </c>
      <c r="AP481" s="66" t="str">
        <f t="shared" si="283"/>
        <v/>
      </c>
      <c r="AQ481" s="67" t="str">
        <f t="shared" si="284"/>
        <v/>
      </c>
      <c r="AR481" s="61">
        <v>-1</v>
      </c>
      <c r="AS481" s="66" t="str">
        <f t="shared" si="285"/>
        <v/>
      </c>
      <c r="AT481" s="66" t="str">
        <f t="shared" si="286"/>
        <v/>
      </c>
      <c r="AU481" s="67">
        <f t="shared" si="287"/>
        <v>-115.3</v>
      </c>
      <c r="AV481" s="61">
        <v>1</v>
      </c>
      <c r="AW481" s="66">
        <f t="shared" si="270"/>
        <v>115.3</v>
      </c>
      <c r="AX481" s="66" t="str">
        <f t="shared" si="271"/>
        <v/>
      </c>
      <c r="AY481" s="67" t="str">
        <f t="shared" si="272"/>
        <v/>
      </c>
      <c r="AZ481" s="61">
        <v>-1</v>
      </c>
      <c r="BA481" s="66" t="str">
        <f t="shared" si="273"/>
        <v/>
      </c>
      <c r="BB481" s="66" t="str">
        <f t="shared" si="274"/>
        <v/>
      </c>
      <c r="BC481" s="67">
        <f t="shared" si="275"/>
        <v>-115.3</v>
      </c>
    </row>
    <row r="482" spans="29:55" ht="15.75" thickBot="1">
      <c r="AC482" s="476">
        <f>AD454</f>
        <v>44724</v>
      </c>
      <c r="AD482" s="69" t="s">
        <v>85</v>
      </c>
      <c r="AE482" s="70">
        <f>SUM(AE458:AE481)</f>
        <v>3953.1</v>
      </c>
      <c r="AF482" s="70"/>
      <c r="AG482" s="71">
        <f>ABS(SUM(AG458:AG481))</f>
        <v>2007.2</v>
      </c>
      <c r="AH482" s="70"/>
      <c r="AI482" s="72">
        <f>ABS(SUM(AI458:AI481))</f>
        <v>1945.8999999999999</v>
      </c>
      <c r="AJ482" s="70"/>
      <c r="AK482" s="71">
        <f>ABS(SUM(AK458:AK481))</f>
        <v>1668.0999999999997</v>
      </c>
      <c r="AL482" s="70"/>
      <c r="AM482" s="72">
        <f>ABS(SUM(AM458:AM481))</f>
        <v>2285</v>
      </c>
      <c r="AN482" s="70"/>
      <c r="AO482" s="71">
        <f>ABS(SUM(AO458:AO481))</f>
        <v>1773.2</v>
      </c>
      <c r="AP482" s="70"/>
      <c r="AQ482" s="72">
        <f>ABS(SUM(AQ458:AQ481))</f>
        <v>2179.9</v>
      </c>
      <c r="AR482" s="70"/>
      <c r="AS482" s="71">
        <f>ABS(SUM(AS458:AS481))</f>
        <v>2193</v>
      </c>
      <c r="AT482" s="70"/>
      <c r="AU482" s="72">
        <f>ABS(SUM(AU458:AU481))</f>
        <v>1760.0999999999997</v>
      </c>
      <c r="AV482" s="70"/>
      <c r="AW482" s="71">
        <f>ABS(SUM(AW458:AW481))</f>
        <v>1319.9</v>
      </c>
      <c r="AX482" s="70"/>
      <c r="AY482" s="72">
        <f>ABS(SUM(AY458:AY481))</f>
        <v>1314.1</v>
      </c>
      <c r="AZ482" s="70"/>
      <c r="BA482" s="71">
        <f>ABS(SUM(BA458:BA481))</f>
        <v>1994.1</v>
      </c>
      <c r="BB482" s="70"/>
      <c r="BC482" s="72">
        <f>ABS(SUM(BC458:BC481))</f>
        <v>1959</v>
      </c>
    </row>
    <row r="484" spans="29:55" ht="15" thickBot="1">
      <c r="AD484" s="476">
        <f>skemA1!B21</f>
        <v>44725</v>
      </c>
    </row>
    <row r="485" spans="29:55" ht="15" thickBot="1">
      <c r="AD485" s="677" t="s">
        <v>75</v>
      </c>
      <c r="AE485" s="60" t="s">
        <v>558</v>
      </c>
      <c r="AF485" s="672" t="s">
        <v>559</v>
      </c>
      <c r="AG485" s="672"/>
      <c r="AH485" s="672"/>
      <c r="AI485" s="673"/>
      <c r="AJ485" s="672" t="s">
        <v>562</v>
      </c>
      <c r="AK485" s="672"/>
      <c r="AL485" s="672"/>
      <c r="AM485" s="673"/>
      <c r="AN485" s="672" t="s">
        <v>563</v>
      </c>
      <c r="AO485" s="672"/>
      <c r="AP485" s="672"/>
      <c r="AQ485" s="673"/>
      <c r="AR485" s="672" t="s">
        <v>564</v>
      </c>
      <c r="AS485" s="672"/>
      <c r="AT485" s="672"/>
      <c r="AU485" s="673"/>
      <c r="AV485" s="672" t="s">
        <v>565</v>
      </c>
      <c r="AW485" s="672"/>
      <c r="AX485" s="672"/>
      <c r="AY485" s="673"/>
      <c r="AZ485" s="672" t="s">
        <v>566</v>
      </c>
      <c r="BA485" s="672"/>
      <c r="BB485" s="672"/>
      <c r="BC485" s="673"/>
    </row>
    <row r="486" spans="29:55" ht="15" thickBot="1">
      <c r="AD486" s="677"/>
      <c r="AE486" s="61"/>
      <c r="AF486" s="674" t="s">
        <v>561</v>
      </c>
      <c r="AG486" s="670" t="s">
        <v>560</v>
      </c>
      <c r="AH486" s="670"/>
      <c r="AI486" s="671"/>
      <c r="AJ486" s="674" t="s">
        <v>561</v>
      </c>
      <c r="AK486" s="670" t="s">
        <v>560</v>
      </c>
      <c r="AL486" s="670"/>
      <c r="AM486" s="671"/>
      <c r="AN486" s="674" t="s">
        <v>561</v>
      </c>
      <c r="AO486" s="670" t="s">
        <v>560</v>
      </c>
      <c r="AP486" s="670"/>
      <c r="AQ486" s="671"/>
      <c r="AR486" s="674" t="s">
        <v>561</v>
      </c>
      <c r="AS486" s="670" t="s">
        <v>560</v>
      </c>
      <c r="AT486" s="670"/>
      <c r="AU486" s="671"/>
      <c r="AV486" s="674" t="s">
        <v>561</v>
      </c>
      <c r="AW486" s="670" t="s">
        <v>560</v>
      </c>
      <c r="AX486" s="670"/>
      <c r="AY486" s="671"/>
      <c r="AZ486" s="674" t="s">
        <v>561</v>
      </c>
      <c r="BA486" s="670" t="s">
        <v>560</v>
      </c>
      <c r="BB486" s="670"/>
      <c r="BC486" s="671"/>
    </row>
    <row r="487" spans="29:55">
      <c r="AD487" s="677"/>
      <c r="AE487" s="62"/>
      <c r="AF487" s="674"/>
      <c r="AG487" s="63" t="s">
        <v>76</v>
      </c>
      <c r="AH487" s="63">
        <v>0</v>
      </c>
      <c r="AI487" s="64" t="s">
        <v>77</v>
      </c>
      <c r="AJ487" s="674"/>
      <c r="AK487" s="63" t="s">
        <v>76</v>
      </c>
      <c r="AL487" s="63">
        <v>0</v>
      </c>
      <c r="AM487" s="64" t="s">
        <v>77</v>
      </c>
      <c r="AN487" s="674"/>
      <c r="AO487" s="63" t="s">
        <v>76</v>
      </c>
      <c r="AP487" s="63">
        <v>0</v>
      </c>
      <c r="AQ487" s="64" t="s">
        <v>77</v>
      </c>
      <c r="AR487" s="674"/>
      <c r="AS487" s="63" t="s">
        <v>76</v>
      </c>
      <c r="AT487" s="63">
        <v>0</v>
      </c>
      <c r="AU487" s="64" t="s">
        <v>77</v>
      </c>
      <c r="AV487" s="674"/>
      <c r="AW487" s="63" t="s">
        <v>76</v>
      </c>
      <c r="AX487" s="63">
        <v>0</v>
      </c>
      <c r="AY487" s="64" t="s">
        <v>77</v>
      </c>
      <c r="AZ487" s="674"/>
      <c r="BA487" s="63" t="s">
        <v>76</v>
      </c>
      <c r="BB487" s="63">
        <v>0</v>
      </c>
      <c r="BC487" s="64" t="s">
        <v>77</v>
      </c>
    </row>
    <row r="488" spans="29:55">
      <c r="AD488" s="65" t="str">
        <f t="array" ref="AD488:AD511">TRANSPOSE($C$5:$Z$5)</f>
        <v>00</v>
      </c>
      <c r="AE488" s="66">
        <f t="array" ref="AE488:AE511">TRANSPOSE(skemA1!$C$21:$Z$21)</f>
        <v>140.9</v>
      </c>
      <c r="AF488" s="66">
        <f t="array" ref="AF488:AF511">TRANSPOSE($C$6:$Z$6)</f>
        <v>-1</v>
      </c>
      <c r="AG488" s="66" t="str">
        <f>IF(AF488&gt;0,AF488*$AE488,"")</f>
        <v/>
      </c>
      <c r="AH488" s="66" t="str">
        <f>IF(AF488=0,AF488*$AE488,"")</f>
        <v/>
      </c>
      <c r="AI488" s="67">
        <f>IF(AF488&lt;0,AF488*$AE488,"")</f>
        <v>-140.9</v>
      </c>
      <c r="AJ488" s="66">
        <f t="array" ref="AJ488:AJ511">TRANSPOSE($C$7:$Z$7)</f>
        <v>-1</v>
      </c>
      <c r="AK488" s="66" t="str">
        <f>IF(AJ488&gt;0,AJ488*$AE488,"")</f>
        <v/>
      </c>
      <c r="AL488" s="66" t="str">
        <f>IF(AJ488=0,AJ488*$AE488,"")</f>
        <v/>
      </c>
      <c r="AM488" s="67">
        <f>IF(AJ488&lt;0,AJ488*$AE488,"")</f>
        <v>-140.9</v>
      </c>
      <c r="AN488" s="66">
        <f t="array" ref="AN488:AN511">TRANSPOSE($C$8:$Z$8)</f>
        <v>1</v>
      </c>
      <c r="AO488" s="66">
        <f>IF(AN488&gt;0,AN488*$AE488,"")</f>
        <v>140.9</v>
      </c>
      <c r="AP488" s="66" t="str">
        <f>IF(AN488=0,AN488*$AE488,"")</f>
        <v/>
      </c>
      <c r="AQ488" s="67" t="str">
        <f>IF(AN488&lt;0,AN488*$AE488,"")</f>
        <v/>
      </c>
      <c r="AR488" s="66">
        <f t="array" ref="AR488:AR511">TRANSPOSE($C$9:$Z$9)</f>
        <v>1</v>
      </c>
      <c r="AS488" s="66">
        <f>IF(AR488&gt;0,AR488*$AE488,"")</f>
        <v>140.9</v>
      </c>
      <c r="AT488" s="66" t="str">
        <f>IF(AR488=0,AR488*$AE488,"")</f>
        <v/>
      </c>
      <c r="AU488" s="67" t="str">
        <f>IF(AR488&lt;0,AR488*$AE488,"")</f>
        <v/>
      </c>
      <c r="AV488" s="66">
        <f t="array" ref="AV488:AV511">TRANSPOSE($C$10:$Z$10)</f>
        <v>1</v>
      </c>
      <c r="AW488" s="66">
        <f t="shared" ref="AW488:AW511" si="288">IF(AV488&gt;0,AV488*$AE488,"")</f>
        <v>140.9</v>
      </c>
      <c r="AX488" s="66" t="str">
        <f t="shared" ref="AX488:AX511" si="289">IF(AV488=0,AV488*$AE488,"")</f>
        <v/>
      </c>
      <c r="AY488" s="67" t="str">
        <f t="shared" ref="AY488:AY511" si="290">IF(AV488&lt;0,AV488*$AE488,"")</f>
        <v/>
      </c>
      <c r="AZ488" s="66">
        <f t="array" ref="AZ488:AZ511">TRANSPOSE($C$11:$Z$11)</f>
        <v>1</v>
      </c>
      <c r="BA488" s="66">
        <f t="shared" ref="BA488:BA511" si="291">IF(AZ488&gt;0,AZ488*$AE488,"")</f>
        <v>140.9</v>
      </c>
      <c r="BB488" s="66" t="str">
        <f t="shared" ref="BB488:BB511" si="292">IF(AZ488=0,AZ488*$AE488,"")</f>
        <v/>
      </c>
      <c r="BC488" s="67" t="str">
        <f t="shared" ref="BC488:BC511" si="293">IF(AZ488&lt;0,AZ488*$AE488,"")</f>
        <v/>
      </c>
    </row>
    <row r="489" spans="29:55">
      <c r="AD489" s="68" t="str">
        <v>01</v>
      </c>
      <c r="AE489" s="61">
        <v>171.4</v>
      </c>
      <c r="AF489" s="61">
        <v>-1</v>
      </c>
      <c r="AG489" s="66" t="str">
        <f t="shared" ref="AG489:AG511" si="294">IF(AF489&gt;0,AF489*$AE489,"")</f>
        <v/>
      </c>
      <c r="AH489" s="66" t="str">
        <f t="shared" ref="AH489:AH511" si="295">IF(AF489=0,AF489*$AE489,"")</f>
        <v/>
      </c>
      <c r="AI489" s="67">
        <f t="shared" ref="AI489:AI511" si="296">IF(AF489&lt;0,AF489*$AE489,"")</f>
        <v>-171.4</v>
      </c>
      <c r="AJ489" s="61">
        <v>-1</v>
      </c>
      <c r="AK489" s="66" t="str">
        <f t="shared" ref="AK489:AK511" si="297">IF(AJ489&gt;0,AJ489*$AE489,"")</f>
        <v/>
      </c>
      <c r="AL489" s="66" t="str">
        <f t="shared" ref="AL489:AL511" si="298">IF(AJ489=0,AJ489*$AE489,"")</f>
        <v/>
      </c>
      <c r="AM489" s="67">
        <f t="shared" ref="AM489:AM511" si="299">IF(AJ489&lt;0,AJ489*$AE489,"")</f>
        <v>-171.4</v>
      </c>
      <c r="AN489" s="61">
        <v>1</v>
      </c>
      <c r="AO489" s="66">
        <f t="shared" ref="AO489:AO511" si="300">IF(AN489&gt;0,AN489*$AE489,"")</f>
        <v>171.4</v>
      </c>
      <c r="AP489" s="66" t="str">
        <f t="shared" ref="AP489:AP511" si="301">IF(AN489=0,AN489*$AE489,"")</f>
        <v/>
      </c>
      <c r="AQ489" s="67" t="str">
        <f t="shared" ref="AQ489:AQ511" si="302">IF(AN489&lt;0,AN489*$AE489,"")</f>
        <v/>
      </c>
      <c r="AR489" s="61">
        <v>1</v>
      </c>
      <c r="AS489" s="66">
        <f t="shared" ref="AS489:AS511" si="303">IF(AR489&gt;0,AR489*$AE489,"")</f>
        <v>171.4</v>
      </c>
      <c r="AT489" s="66" t="str">
        <f t="shared" ref="AT489:AT511" si="304">IF(AR489=0,AR489*$AE489,"")</f>
        <v/>
      </c>
      <c r="AU489" s="67" t="str">
        <f t="shared" ref="AU489:AU511" si="305">IF(AR489&lt;0,AR489*$AE489,"")</f>
        <v/>
      </c>
      <c r="AV489" s="61">
        <v>0</v>
      </c>
      <c r="AW489" s="66" t="str">
        <f t="shared" si="288"/>
        <v/>
      </c>
      <c r="AX489" s="66">
        <f t="shared" si="289"/>
        <v>0</v>
      </c>
      <c r="AY489" s="67" t="str">
        <f t="shared" si="290"/>
        <v/>
      </c>
      <c r="AZ489" s="61">
        <v>1</v>
      </c>
      <c r="BA489" s="66">
        <f t="shared" si="291"/>
        <v>171.4</v>
      </c>
      <c r="BB489" s="66" t="str">
        <f t="shared" si="292"/>
        <v/>
      </c>
      <c r="BC489" s="67" t="str">
        <f t="shared" si="293"/>
        <v/>
      </c>
    </row>
    <row r="490" spans="29:55">
      <c r="AD490" s="68" t="str">
        <v>02</v>
      </c>
      <c r="AE490" s="61">
        <v>202.59999999999997</v>
      </c>
      <c r="AF490" s="61">
        <v>-1</v>
      </c>
      <c r="AG490" s="66" t="str">
        <f t="shared" si="294"/>
        <v/>
      </c>
      <c r="AH490" s="66" t="str">
        <f t="shared" si="295"/>
        <v/>
      </c>
      <c r="AI490" s="67">
        <f t="shared" si="296"/>
        <v>-202.59999999999997</v>
      </c>
      <c r="AJ490" s="61">
        <v>-1</v>
      </c>
      <c r="AK490" s="66" t="str">
        <f t="shared" si="297"/>
        <v/>
      </c>
      <c r="AL490" s="66" t="str">
        <f t="shared" si="298"/>
        <v/>
      </c>
      <c r="AM490" s="67">
        <f t="shared" si="299"/>
        <v>-202.59999999999997</v>
      </c>
      <c r="AN490" s="61">
        <v>1</v>
      </c>
      <c r="AO490" s="66">
        <f t="shared" si="300"/>
        <v>202.59999999999997</v>
      </c>
      <c r="AP490" s="66" t="str">
        <f t="shared" si="301"/>
        <v/>
      </c>
      <c r="AQ490" s="67" t="str">
        <f t="shared" si="302"/>
        <v/>
      </c>
      <c r="AR490" s="61">
        <v>1</v>
      </c>
      <c r="AS490" s="66">
        <f t="shared" si="303"/>
        <v>202.59999999999997</v>
      </c>
      <c r="AT490" s="66" t="str">
        <f t="shared" si="304"/>
        <v/>
      </c>
      <c r="AU490" s="67" t="str">
        <f t="shared" si="305"/>
        <v/>
      </c>
      <c r="AV490" s="61">
        <v>-1</v>
      </c>
      <c r="AW490" s="66" t="str">
        <f t="shared" si="288"/>
        <v/>
      </c>
      <c r="AX490" s="66" t="str">
        <f t="shared" si="289"/>
        <v/>
      </c>
      <c r="AY490" s="67">
        <f t="shared" si="290"/>
        <v>-202.59999999999997</v>
      </c>
      <c r="AZ490" s="61">
        <v>1</v>
      </c>
      <c r="BA490" s="66">
        <f t="shared" si="291"/>
        <v>202.59999999999997</v>
      </c>
      <c r="BB490" s="66" t="str">
        <f t="shared" si="292"/>
        <v/>
      </c>
      <c r="BC490" s="67" t="str">
        <f t="shared" si="293"/>
        <v/>
      </c>
    </row>
    <row r="491" spans="29:55">
      <c r="AD491" s="68" t="str">
        <v>03</v>
      </c>
      <c r="AE491" s="61">
        <v>231.5</v>
      </c>
      <c r="AF491" s="61">
        <v>-1</v>
      </c>
      <c r="AG491" s="66" t="str">
        <f t="shared" si="294"/>
        <v/>
      </c>
      <c r="AH491" s="66" t="str">
        <f t="shared" si="295"/>
        <v/>
      </c>
      <c r="AI491" s="67">
        <f t="shared" si="296"/>
        <v>-231.5</v>
      </c>
      <c r="AJ491" s="61">
        <v>-1</v>
      </c>
      <c r="AK491" s="66" t="str">
        <f t="shared" si="297"/>
        <v/>
      </c>
      <c r="AL491" s="66" t="str">
        <f t="shared" si="298"/>
        <v/>
      </c>
      <c r="AM491" s="67">
        <f t="shared" si="299"/>
        <v>-231.5</v>
      </c>
      <c r="AN491" s="61">
        <v>-1</v>
      </c>
      <c r="AO491" s="66" t="str">
        <f t="shared" si="300"/>
        <v/>
      </c>
      <c r="AP491" s="66" t="str">
        <f t="shared" si="301"/>
        <v/>
      </c>
      <c r="AQ491" s="67">
        <f t="shared" si="302"/>
        <v>-231.5</v>
      </c>
      <c r="AR491" s="61">
        <v>1</v>
      </c>
      <c r="AS491" s="66">
        <f t="shared" si="303"/>
        <v>231.5</v>
      </c>
      <c r="AT491" s="66" t="str">
        <f t="shared" si="304"/>
        <v/>
      </c>
      <c r="AU491" s="67" t="str">
        <f t="shared" si="305"/>
        <v/>
      </c>
      <c r="AV491" s="61">
        <v>-1</v>
      </c>
      <c r="AW491" s="66" t="str">
        <f t="shared" si="288"/>
        <v/>
      </c>
      <c r="AX491" s="66" t="str">
        <f t="shared" si="289"/>
        <v/>
      </c>
      <c r="AY491" s="67">
        <f t="shared" si="290"/>
        <v>-231.5</v>
      </c>
      <c r="AZ491" s="61">
        <v>-1</v>
      </c>
      <c r="BA491" s="66" t="str">
        <f t="shared" si="291"/>
        <v/>
      </c>
      <c r="BB491" s="66" t="str">
        <f t="shared" si="292"/>
        <v/>
      </c>
      <c r="BC491" s="67">
        <f t="shared" si="293"/>
        <v>-231.5</v>
      </c>
    </row>
    <row r="492" spans="29:55">
      <c r="AD492" s="68" t="str">
        <v>04</v>
      </c>
      <c r="AE492" s="61">
        <v>252.1</v>
      </c>
      <c r="AF492" s="61">
        <v>-1</v>
      </c>
      <c r="AG492" s="66" t="str">
        <f t="shared" si="294"/>
        <v/>
      </c>
      <c r="AH492" s="66" t="str">
        <f t="shared" si="295"/>
        <v/>
      </c>
      <c r="AI492" s="67">
        <f t="shared" si="296"/>
        <v>-252.1</v>
      </c>
      <c r="AJ492" s="61">
        <v>-1</v>
      </c>
      <c r="AK492" s="66" t="str">
        <f t="shared" si="297"/>
        <v/>
      </c>
      <c r="AL492" s="66" t="str">
        <f t="shared" si="298"/>
        <v/>
      </c>
      <c r="AM492" s="67">
        <f t="shared" si="299"/>
        <v>-252.1</v>
      </c>
      <c r="AN492" s="61">
        <v>-1</v>
      </c>
      <c r="AO492" s="66" t="str">
        <f t="shared" si="300"/>
        <v/>
      </c>
      <c r="AP492" s="66" t="str">
        <f t="shared" si="301"/>
        <v/>
      </c>
      <c r="AQ492" s="67">
        <f t="shared" si="302"/>
        <v>-252.1</v>
      </c>
      <c r="AR492" s="61">
        <v>1</v>
      </c>
      <c r="AS492" s="66">
        <f t="shared" si="303"/>
        <v>252.1</v>
      </c>
      <c r="AT492" s="66" t="str">
        <f t="shared" si="304"/>
        <v/>
      </c>
      <c r="AU492" s="67" t="str">
        <f t="shared" si="305"/>
        <v/>
      </c>
      <c r="AV492" s="61">
        <v>0</v>
      </c>
      <c r="AW492" s="66" t="str">
        <f t="shared" si="288"/>
        <v/>
      </c>
      <c r="AX492" s="66">
        <f t="shared" si="289"/>
        <v>0</v>
      </c>
      <c r="AY492" s="67" t="str">
        <f t="shared" si="290"/>
        <v/>
      </c>
      <c r="AZ492" s="61">
        <v>-1</v>
      </c>
      <c r="BA492" s="66" t="str">
        <f t="shared" si="291"/>
        <v/>
      </c>
      <c r="BB492" s="66" t="str">
        <f t="shared" si="292"/>
        <v/>
      </c>
      <c r="BC492" s="67">
        <f t="shared" si="293"/>
        <v>-252.1</v>
      </c>
    </row>
    <row r="493" spans="29:55">
      <c r="AD493" s="68" t="str">
        <v>05</v>
      </c>
      <c r="AE493" s="61">
        <v>259.7</v>
      </c>
      <c r="AF493" s="61">
        <v>-1</v>
      </c>
      <c r="AG493" s="66" t="str">
        <f t="shared" si="294"/>
        <v/>
      </c>
      <c r="AH493" s="66" t="str">
        <f t="shared" si="295"/>
        <v/>
      </c>
      <c r="AI493" s="67">
        <f t="shared" si="296"/>
        <v>-259.7</v>
      </c>
      <c r="AJ493" s="61">
        <v>-1</v>
      </c>
      <c r="AK493" s="66" t="str">
        <f t="shared" si="297"/>
        <v/>
      </c>
      <c r="AL493" s="66" t="str">
        <f t="shared" si="298"/>
        <v/>
      </c>
      <c r="AM493" s="67">
        <f t="shared" si="299"/>
        <v>-259.7</v>
      </c>
      <c r="AN493" s="61">
        <v>-1</v>
      </c>
      <c r="AO493" s="66" t="str">
        <f t="shared" si="300"/>
        <v/>
      </c>
      <c r="AP493" s="66" t="str">
        <f t="shared" si="301"/>
        <v/>
      </c>
      <c r="AQ493" s="67">
        <f t="shared" si="302"/>
        <v>-259.7</v>
      </c>
      <c r="AR493" s="61">
        <v>1</v>
      </c>
      <c r="AS493" s="66">
        <f t="shared" si="303"/>
        <v>259.7</v>
      </c>
      <c r="AT493" s="66" t="str">
        <f t="shared" si="304"/>
        <v/>
      </c>
      <c r="AU493" s="67" t="str">
        <f t="shared" si="305"/>
        <v/>
      </c>
      <c r="AV493" s="61">
        <v>1</v>
      </c>
      <c r="AW493" s="66">
        <f t="shared" si="288"/>
        <v>259.7</v>
      </c>
      <c r="AX493" s="66" t="str">
        <f t="shared" si="289"/>
        <v/>
      </c>
      <c r="AY493" s="67" t="str">
        <f t="shared" si="290"/>
        <v/>
      </c>
      <c r="AZ493" s="61">
        <v>-1</v>
      </c>
      <c r="BA493" s="66" t="str">
        <f t="shared" si="291"/>
        <v/>
      </c>
      <c r="BB493" s="66" t="str">
        <f t="shared" si="292"/>
        <v/>
      </c>
      <c r="BC493" s="67">
        <f t="shared" si="293"/>
        <v>-259.7</v>
      </c>
    </row>
    <row r="494" spans="29:55">
      <c r="AD494" s="68" t="str">
        <v>06</v>
      </c>
      <c r="AE494" s="61">
        <v>254.5</v>
      </c>
      <c r="AF494" s="61">
        <v>1</v>
      </c>
      <c r="AG494" s="66">
        <f t="shared" si="294"/>
        <v>254.5</v>
      </c>
      <c r="AH494" s="66" t="str">
        <f t="shared" si="295"/>
        <v/>
      </c>
      <c r="AI494" s="67" t="str">
        <f t="shared" si="296"/>
        <v/>
      </c>
      <c r="AJ494" s="61">
        <v>-1</v>
      </c>
      <c r="AK494" s="66" t="str">
        <f t="shared" si="297"/>
        <v/>
      </c>
      <c r="AL494" s="66" t="str">
        <f t="shared" si="298"/>
        <v/>
      </c>
      <c r="AM494" s="67">
        <f t="shared" si="299"/>
        <v>-254.5</v>
      </c>
      <c r="AN494" s="61">
        <v>-1</v>
      </c>
      <c r="AO494" s="66" t="str">
        <f t="shared" si="300"/>
        <v/>
      </c>
      <c r="AP494" s="66" t="str">
        <f t="shared" si="301"/>
        <v/>
      </c>
      <c r="AQ494" s="67">
        <f t="shared" si="302"/>
        <v>-254.5</v>
      </c>
      <c r="AR494" s="61">
        <v>-1</v>
      </c>
      <c r="AS494" s="66" t="str">
        <f t="shared" si="303"/>
        <v/>
      </c>
      <c r="AT494" s="66" t="str">
        <f t="shared" si="304"/>
        <v/>
      </c>
      <c r="AU494" s="67">
        <f t="shared" si="305"/>
        <v>-254.5</v>
      </c>
      <c r="AV494" s="61">
        <v>1</v>
      </c>
      <c r="AW494" s="66">
        <f t="shared" si="288"/>
        <v>254.5</v>
      </c>
      <c r="AX494" s="66" t="str">
        <f t="shared" si="289"/>
        <v/>
      </c>
      <c r="AY494" s="67" t="str">
        <f t="shared" si="290"/>
        <v/>
      </c>
      <c r="AZ494" s="61">
        <v>1</v>
      </c>
      <c r="BA494" s="66">
        <f t="shared" si="291"/>
        <v>254.5</v>
      </c>
      <c r="BB494" s="66" t="str">
        <f t="shared" si="292"/>
        <v/>
      </c>
      <c r="BC494" s="67" t="str">
        <f t="shared" si="293"/>
        <v/>
      </c>
    </row>
    <row r="495" spans="29:55">
      <c r="AD495" s="68" t="str">
        <v>07</v>
      </c>
      <c r="AE495" s="61">
        <v>233.8</v>
      </c>
      <c r="AF495" s="61">
        <v>1</v>
      </c>
      <c r="AG495" s="66">
        <f t="shared" si="294"/>
        <v>233.8</v>
      </c>
      <c r="AH495" s="66" t="str">
        <f t="shared" si="295"/>
        <v/>
      </c>
      <c r="AI495" s="67" t="str">
        <f t="shared" si="296"/>
        <v/>
      </c>
      <c r="AJ495" s="61">
        <v>-1</v>
      </c>
      <c r="AK495" s="66" t="str">
        <f t="shared" si="297"/>
        <v/>
      </c>
      <c r="AL495" s="66" t="str">
        <f t="shared" si="298"/>
        <v/>
      </c>
      <c r="AM495" s="67">
        <f t="shared" si="299"/>
        <v>-233.8</v>
      </c>
      <c r="AN495" s="61">
        <v>-1</v>
      </c>
      <c r="AO495" s="66" t="str">
        <f t="shared" si="300"/>
        <v/>
      </c>
      <c r="AP495" s="66" t="str">
        <f t="shared" si="301"/>
        <v/>
      </c>
      <c r="AQ495" s="67">
        <f t="shared" si="302"/>
        <v>-233.8</v>
      </c>
      <c r="AR495" s="61">
        <v>-1</v>
      </c>
      <c r="AS495" s="66" t="str">
        <f t="shared" si="303"/>
        <v/>
      </c>
      <c r="AT495" s="66" t="str">
        <f t="shared" si="304"/>
        <v/>
      </c>
      <c r="AU495" s="67">
        <f t="shared" si="305"/>
        <v>-233.8</v>
      </c>
      <c r="AV495" s="61">
        <v>0</v>
      </c>
      <c r="AW495" s="66" t="str">
        <f t="shared" si="288"/>
        <v/>
      </c>
      <c r="AX495" s="66">
        <f t="shared" si="289"/>
        <v>0</v>
      </c>
      <c r="AY495" s="67" t="str">
        <f t="shared" si="290"/>
        <v/>
      </c>
      <c r="AZ495" s="61">
        <v>1</v>
      </c>
      <c r="BA495" s="66">
        <f t="shared" si="291"/>
        <v>233.8</v>
      </c>
      <c r="BB495" s="66" t="str">
        <f t="shared" si="292"/>
        <v/>
      </c>
      <c r="BC495" s="67" t="str">
        <f t="shared" si="293"/>
        <v/>
      </c>
    </row>
    <row r="496" spans="29:55">
      <c r="AD496" s="68" t="str">
        <v>08</v>
      </c>
      <c r="AE496" s="61">
        <v>206.1</v>
      </c>
      <c r="AF496" s="61">
        <v>1</v>
      </c>
      <c r="AG496" s="66">
        <f t="shared" si="294"/>
        <v>206.1</v>
      </c>
      <c r="AH496" s="66" t="str">
        <f t="shared" si="295"/>
        <v/>
      </c>
      <c r="AI496" s="67" t="str">
        <f t="shared" si="296"/>
        <v/>
      </c>
      <c r="AJ496" s="61">
        <v>-1</v>
      </c>
      <c r="AK496" s="66" t="str">
        <f t="shared" si="297"/>
        <v/>
      </c>
      <c r="AL496" s="66" t="str">
        <f t="shared" si="298"/>
        <v/>
      </c>
      <c r="AM496" s="67">
        <f t="shared" si="299"/>
        <v>-206.1</v>
      </c>
      <c r="AN496" s="61">
        <v>-1</v>
      </c>
      <c r="AO496" s="66" t="str">
        <f t="shared" si="300"/>
        <v/>
      </c>
      <c r="AP496" s="66" t="str">
        <f t="shared" si="301"/>
        <v/>
      </c>
      <c r="AQ496" s="67">
        <f t="shared" si="302"/>
        <v>-206.1</v>
      </c>
      <c r="AR496" s="61">
        <v>-1</v>
      </c>
      <c r="AS496" s="66" t="str">
        <f t="shared" si="303"/>
        <v/>
      </c>
      <c r="AT496" s="66" t="str">
        <f t="shared" si="304"/>
        <v/>
      </c>
      <c r="AU496" s="67">
        <f t="shared" si="305"/>
        <v>-206.1</v>
      </c>
      <c r="AV496" s="61">
        <v>-1</v>
      </c>
      <c r="AW496" s="66" t="str">
        <f t="shared" si="288"/>
        <v/>
      </c>
      <c r="AX496" s="66" t="str">
        <f t="shared" si="289"/>
        <v/>
      </c>
      <c r="AY496" s="67">
        <f t="shared" si="290"/>
        <v>-206.1</v>
      </c>
      <c r="AZ496" s="61">
        <v>1</v>
      </c>
      <c r="BA496" s="66">
        <f t="shared" si="291"/>
        <v>206.1</v>
      </c>
      <c r="BB496" s="66" t="str">
        <f t="shared" si="292"/>
        <v/>
      </c>
      <c r="BC496" s="67" t="str">
        <f t="shared" si="293"/>
        <v/>
      </c>
    </row>
    <row r="497" spans="29:55">
      <c r="AD497" s="68" t="str">
        <v>09</v>
      </c>
      <c r="AE497" s="61">
        <v>175.6</v>
      </c>
      <c r="AF497" s="61">
        <v>1</v>
      </c>
      <c r="AG497" s="66">
        <f t="shared" si="294"/>
        <v>175.6</v>
      </c>
      <c r="AH497" s="66" t="str">
        <f t="shared" si="295"/>
        <v/>
      </c>
      <c r="AI497" s="67" t="str">
        <f t="shared" si="296"/>
        <v/>
      </c>
      <c r="AJ497" s="61">
        <v>-1</v>
      </c>
      <c r="AK497" s="66" t="str">
        <f t="shared" si="297"/>
        <v/>
      </c>
      <c r="AL497" s="66" t="str">
        <f t="shared" si="298"/>
        <v/>
      </c>
      <c r="AM497" s="67">
        <f t="shared" si="299"/>
        <v>-175.6</v>
      </c>
      <c r="AN497" s="61">
        <v>1</v>
      </c>
      <c r="AO497" s="66">
        <f t="shared" si="300"/>
        <v>175.6</v>
      </c>
      <c r="AP497" s="66" t="str">
        <f t="shared" si="301"/>
        <v/>
      </c>
      <c r="AQ497" s="67" t="str">
        <f t="shared" si="302"/>
        <v/>
      </c>
      <c r="AR497" s="61">
        <v>-1</v>
      </c>
      <c r="AS497" s="66" t="str">
        <f t="shared" si="303"/>
        <v/>
      </c>
      <c r="AT497" s="66" t="str">
        <f t="shared" si="304"/>
        <v/>
      </c>
      <c r="AU497" s="67">
        <f t="shared" si="305"/>
        <v>-175.6</v>
      </c>
      <c r="AV497" s="61">
        <v>-1</v>
      </c>
      <c r="AW497" s="66" t="str">
        <f t="shared" si="288"/>
        <v/>
      </c>
      <c r="AX497" s="66" t="str">
        <f t="shared" si="289"/>
        <v/>
      </c>
      <c r="AY497" s="67">
        <f t="shared" si="290"/>
        <v>-175.6</v>
      </c>
      <c r="AZ497" s="61">
        <v>-1</v>
      </c>
      <c r="BA497" s="66" t="str">
        <f t="shared" si="291"/>
        <v/>
      </c>
      <c r="BB497" s="66" t="str">
        <f t="shared" si="292"/>
        <v/>
      </c>
      <c r="BC497" s="67">
        <f t="shared" si="293"/>
        <v>-175.6</v>
      </c>
    </row>
    <row r="498" spans="29:55">
      <c r="AD498" s="68" t="str">
        <v>10</v>
      </c>
      <c r="AE498" s="61">
        <v>152.6</v>
      </c>
      <c r="AF498" s="61">
        <v>1</v>
      </c>
      <c r="AG498" s="66">
        <f t="shared" si="294"/>
        <v>152.6</v>
      </c>
      <c r="AH498" s="66" t="str">
        <f t="shared" si="295"/>
        <v/>
      </c>
      <c r="AI498" s="67" t="str">
        <f t="shared" si="296"/>
        <v/>
      </c>
      <c r="AJ498" s="61">
        <v>-1</v>
      </c>
      <c r="AK498" s="66" t="str">
        <f t="shared" si="297"/>
        <v/>
      </c>
      <c r="AL498" s="66" t="str">
        <f t="shared" si="298"/>
        <v/>
      </c>
      <c r="AM498" s="67">
        <f t="shared" si="299"/>
        <v>-152.6</v>
      </c>
      <c r="AN498" s="61">
        <v>1</v>
      </c>
      <c r="AO498" s="66">
        <f t="shared" si="300"/>
        <v>152.6</v>
      </c>
      <c r="AP498" s="66" t="str">
        <f t="shared" si="301"/>
        <v/>
      </c>
      <c r="AQ498" s="67" t="str">
        <f t="shared" si="302"/>
        <v/>
      </c>
      <c r="AR498" s="61">
        <v>-1</v>
      </c>
      <c r="AS498" s="66" t="str">
        <f t="shared" si="303"/>
        <v/>
      </c>
      <c r="AT498" s="66" t="str">
        <f t="shared" si="304"/>
        <v/>
      </c>
      <c r="AU498" s="67">
        <f t="shared" si="305"/>
        <v>-152.6</v>
      </c>
      <c r="AV498" s="61">
        <v>0</v>
      </c>
      <c r="AW498" s="66" t="str">
        <f t="shared" si="288"/>
        <v/>
      </c>
      <c r="AX498" s="66">
        <f t="shared" si="289"/>
        <v>0</v>
      </c>
      <c r="AY498" s="67" t="str">
        <f t="shared" si="290"/>
        <v/>
      </c>
      <c r="AZ498" s="61">
        <v>-1</v>
      </c>
      <c r="BA498" s="66" t="str">
        <f t="shared" si="291"/>
        <v/>
      </c>
      <c r="BB498" s="66" t="str">
        <f t="shared" si="292"/>
        <v/>
      </c>
      <c r="BC498" s="67">
        <f t="shared" si="293"/>
        <v>-152.6</v>
      </c>
    </row>
    <row r="499" spans="29:55">
      <c r="AD499" s="68" t="str">
        <v>11</v>
      </c>
      <c r="AE499" s="61">
        <v>137.5</v>
      </c>
      <c r="AF499" s="61">
        <v>1</v>
      </c>
      <c r="AG499" s="66">
        <f t="shared" si="294"/>
        <v>137.5</v>
      </c>
      <c r="AH499" s="66" t="str">
        <f t="shared" si="295"/>
        <v/>
      </c>
      <c r="AI499" s="67" t="str">
        <f t="shared" si="296"/>
        <v/>
      </c>
      <c r="AJ499" s="61">
        <v>-1</v>
      </c>
      <c r="AK499" s="66" t="str">
        <f t="shared" si="297"/>
        <v/>
      </c>
      <c r="AL499" s="66" t="str">
        <f t="shared" si="298"/>
        <v/>
      </c>
      <c r="AM499" s="67">
        <f t="shared" si="299"/>
        <v>-137.5</v>
      </c>
      <c r="AN499" s="61">
        <v>1</v>
      </c>
      <c r="AO499" s="66">
        <f t="shared" si="300"/>
        <v>137.5</v>
      </c>
      <c r="AP499" s="66" t="str">
        <f t="shared" si="301"/>
        <v/>
      </c>
      <c r="AQ499" s="67" t="str">
        <f t="shared" si="302"/>
        <v/>
      </c>
      <c r="AR499" s="61">
        <v>-1</v>
      </c>
      <c r="AS499" s="66" t="str">
        <f t="shared" si="303"/>
        <v/>
      </c>
      <c r="AT499" s="66" t="str">
        <f t="shared" si="304"/>
        <v/>
      </c>
      <c r="AU499" s="67">
        <f t="shared" si="305"/>
        <v>-137.5</v>
      </c>
      <c r="AV499" s="61">
        <v>1</v>
      </c>
      <c r="AW499" s="66">
        <f t="shared" si="288"/>
        <v>137.5</v>
      </c>
      <c r="AX499" s="66" t="str">
        <f t="shared" si="289"/>
        <v/>
      </c>
      <c r="AY499" s="67" t="str">
        <f t="shared" si="290"/>
        <v/>
      </c>
      <c r="AZ499" s="61">
        <v>-1</v>
      </c>
      <c r="BA499" s="66" t="str">
        <f t="shared" si="291"/>
        <v/>
      </c>
      <c r="BB499" s="66" t="str">
        <f t="shared" si="292"/>
        <v/>
      </c>
      <c r="BC499" s="67">
        <f t="shared" si="293"/>
        <v>-137.5</v>
      </c>
    </row>
    <row r="500" spans="29:55">
      <c r="AD500" s="68" t="str">
        <v>12</v>
      </c>
      <c r="AE500" s="61">
        <v>133.69999999999999</v>
      </c>
      <c r="AF500" s="61">
        <v>1</v>
      </c>
      <c r="AG500" s="66">
        <f t="shared" si="294"/>
        <v>133.69999999999999</v>
      </c>
      <c r="AH500" s="66" t="str">
        <f t="shared" si="295"/>
        <v/>
      </c>
      <c r="AI500" s="67" t="str">
        <f t="shared" si="296"/>
        <v/>
      </c>
      <c r="AJ500" s="61">
        <v>1</v>
      </c>
      <c r="AK500" s="66">
        <f t="shared" si="297"/>
        <v>133.69999999999999</v>
      </c>
      <c r="AL500" s="66" t="str">
        <f t="shared" si="298"/>
        <v/>
      </c>
      <c r="AM500" s="67" t="str">
        <f t="shared" si="299"/>
        <v/>
      </c>
      <c r="AN500" s="61">
        <v>1</v>
      </c>
      <c r="AO500" s="66">
        <f t="shared" si="300"/>
        <v>133.69999999999999</v>
      </c>
      <c r="AP500" s="66" t="str">
        <f t="shared" si="301"/>
        <v/>
      </c>
      <c r="AQ500" s="67" t="str">
        <f t="shared" si="302"/>
        <v/>
      </c>
      <c r="AR500" s="61">
        <v>1</v>
      </c>
      <c r="AS500" s="66">
        <f t="shared" si="303"/>
        <v>133.69999999999999</v>
      </c>
      <c r="AT500" s="66" t="str">
        <f t="shared" si="304"/>
        <v/>
      </c>
      <c r="AU500" s="67" t="str">
        <f t="shared" si="305"/>
        <v/>
      </c>
      <c r="AV500" s="61">
        <v>1</v>
      </c>
      <c r="AW500" s="66">
        <f t="shared" si="288"/>
        <v>133.69999999999999</v>
      </c>
      <c r="AX500" s="66" t="str">
        <f t="shared" si="289"/>
        <v/>
      </c>
      <c r="AY500" s="67" t="str">
        <f t="shared" si="290"/>
        <v/>
      </c>
      <c r="AZ500" s="61">
        <v>1</v>
      </c>
      <c r="BA500" s="66">
        <f t="shared" si="291"/>
        <v>133.69999999999999</v>
      </c>
      <c r="BB500" s="66" t="str">
        <f t="shared" si="292"/>
        <v/>
      </c>
      <c r="BC500" s="67" t="str">
        <f t="shared" si="293"/>
        <v/>
      </c>
    </row>
    <row r="501" spans="29:55">
      <c r="AD501" s="68" t="str">
        <v>13</v>
      </c>
      <c r="AE501" s="61">
        <v>140.9</v>
      </c>
      <c r="AF501" s="61">
        <v>1</v>
      </c>
      <c r="AG501" s="66">
        <f t="shared" si="294"/>
        <v>140.9</v>
      </c>
      <c r="AH501" s="66" t="str">
        <f t="shared" si="295"/>
        <v/>
      </c>
      <c r="AI501" s="67" t="str">
        <f t="shared" si="296"/>
        <v/>
      </c>
      <c r="AJ501" s="61">
        <v>1</v>
      </c>
      <c r="AK501" s="66">
        <f t="shared" si="297"/>
        <v>140.9</v>
      </c>
      <c r="AL501" s="66" t="str">
        <f t="shared" si="298"/>
        <v/>
      </c>
      <c r="AM501" s="67" t="str">
        <f t="shared" si="299"/>
        <v/>
      </c>
      <c r="AN501" s="61">
        <v>1</v>
      </c>
      <c r="AO501" s="66">
        <f t="shared" si="300"/>
        <v>140.9</v>
      </c>
      <c r="AP501" s="66" t="str">
        <f t="shared" si="301"/>
        <v/>
      </c>
      <c r="AQ501" s="67" t="str">
        <f t="shared" si="302"/>
        <v/>
      </c>
      <c r="AR501" s="61">
        <v>1</v>
      </c>
      <c r="AS501" s="66">
        <f t="shared" si="303"/>
        <v>140.9</v>
      </c>
      <c r="AT501" s="66" t="str">
        <f t="shared" si="304"/>
        <v/>
      </c>
      <c r="AU501" s="67" t="str">
        <f t="shared" si="305"/>
        <v/>
      </c>
      <c r="AV501" s="61">
        <v>0</v>
      </c>
      <c r="AW501" s="66" t="str">
        <f t="shared" si="288"/>
        <v/>
      </c>
      <c r="AX501" s="66">
        <f t="shared" si="289"/>
        <v>0</v>
      </c>
      <c r="AY501" s="67" t="str">
        <f t="shared" si="290"/>
        <v/>
      </c>
      <c r="AZ501" s="61">
        <v>1</v>
      </c>
      <c r="BA501" s="66">
        <f t="shared" si="291"/>
        <v>140.9</v>
      </c>
      <c r="BB501" s="66" t="str">
        <f t="shared" si="292"/>
        <v/>
      </c>
      <c r="BC501" s="67" t="str">
        <f t="shared" si="293"/>
        <v/>
      </c>
    </row>
    <row r="502" spans="29:55">
      <c r="AD502" s="68" t="str">
        <v>14</v>
      </c>
      <c r="AE502" s="61">
        <v>151.89999999999998</v>
      </c>
      <c r="AF502" s="61">
        <v>1</v>
      </c>
      <c r="AG502" s="66">
        <f t="shared" si="294"/>
        <v>151.89999999999998</v>
      </c>
      <c r="AH502" s="66" t="str">
        <f t="shared" si="295"/>
        <v/>
      </c>
      <c r="AI502" s="67" t="str">
        <f t="shared" si="296"/>
        <v/>
      </c>
      <c r="AJ502" s="61">
        <v>1</v>
      </c>
      <c r="AK502" s="66">
        <f t="shared" si="297"/>
        <v>151.89999999999998</v>
      </c>
      <c r="AL502" s="66" t="str">
        <f t="shared" si="298"/>
        <v/>
      </c>
      <c r="AM502" s="67" t="str">
        <f t="shared" si="299"/>
        <v/>
      </c>
      <c r="AN502" s="61">
        <v>1</v>
      </c>
      <c r="AO502" s="66">
        <f t="shared" si="300"/>
        <v>151.89999999999998</v>
      </c>
      <c r="AP502" s="66" t="str">
        <f t="shared" si="301"/>
        <v/>
      </c>
      <c r="AQ502" s="67" t="str">
        <f t="shared" si="302"/>
        <v/>
      </c>
      <c r="AR502" s="61">
        <v>1</v>
      </c>
      <c r="AS502" s="66">
        <f t="shared" si="303"/>
        <v>151.89999999999998</v>
      </c>
      <c r="AT502" s="66" t="str">
        <f t="shared" si="304"/>
        <v/>
      </c>
      <c r="AU502" s="67" t="str">
        <f t="shared" si="305"/>
        <v/>
      </c>
      <c r="AV502" s="61">
        <v>-1</v>
      </c>
      <c r="AW502" s="66" t="str">
        <f t="shared" si="288"/>
        <v/>
      </c>
      <c r="AX502" s="66" t="str">
        <f t="shared" si="289"/>
        <v/>
      </c>
      <c r="AY502" s="67">
        <f t="shared" si="290"/>
        <v>-151.89999999999998</v>
      </c>
      <c r="AZ502" s="61">
        <v>1</v>
      </c>
      <c r="BA502" s="66">
        <f t="shared" si="291"/>
        <v>151.89999999999998</v>
      </c>
      <c r="BB502" s="66" t="str">
        <f t="shared" si="292"/>
        <v/>
      </c>
      <c r="BC502" s="67" t="str">
        <f t="shared" si="293"/>
        <v/>
      </c>
    </row>
    <row r="503" spans="29:55">
      <c r="AD503" s="68" t="str">
        <v>15</v>
      </c>
      <c r="AE503" s="61">
        <v>161.30000000000001</v>
      </c>
      <c r="AF503" s="61">
        <v>1</v>
      </c>
      <c r="AG503" s="66">
        <f t="shared" si="294"/>
        <v>161.30000000000001</v>
      </c>
      <c r="AH503" s="66" t="str">
        <f t="shared" si="295"/>
        <v/>
      </c>
      <c r="AI503" s="67" t="str">
        <f t="shared" si="296"/>
        <v/>
      </c>
      <c r="AJ503" s="61">
        <v>1</v>
      </c>
      <c r="AK503" s="66">
        <f t="shared" si="297"/>
        <v>161.30000000000001</v>
      </c>
      <c r="AL503" s="66" t="str">
        <f t="shared" si="298"/>
        <v/>
      </c>
      <c r="AM503" s="67" t="str">
        <f t="shared" si="299"/>
        <v/>
      </c>
      <c r="AN503" s="61">
        <v>-1</v>
      </c>
      <c r="AO503" s="66" t="str">
        <f t="shared" si="300"/>
        <v/>
      </c>
      <c r="AP503" s="66" t="str">
        <f t="shared" si="301"/>
        <v/>
      </c>
      <c r="AQ503" s="67">
        <f t="shared" si="302"/>
        <v>-161.30000000000001</v>
      </c>
      <c r="AR503" s="61">
        <v>1</v>
      </c>
      <c r="AS503" s="66">
        <f t="shared" si="303"/>
        <v>161.30000000000001</v>
      </c>
      <c r="AT503" s="66" t="str">
        <f t="shared" si="304"/>
        <v/>
      </c>
      <c r="AU503" s="67" t="str">
        <f t="shared" si="305"/>
        <v/>
      </c>
      <c r="AV503" s="61">
        <v>-1</v>
      </c>
      <c r="AW503" s="66" t="str">
        <f t="shared" si="288"/>
        <v/>
      </c>
      <c r="AX503" s="66" t="str">
        <f t="shared" si="289"/>
        <v/>
      </c>
      <c r="AY503" s="67">
        <f t="shared" si="290"/>
        <v>-161.30000000000001</v>
      </c>
      <c r="AZ503" s="61">
        <v>-1</v>
      </c>
      <c r="BA503" s="66" t="str">
        <f t="shared" si="291"/>
        <v/>
      </c>
      <c r="BB503" s="66" t="str">
        <f t="shared" si="292"/>
        <v/>
      </c>
      <c r="BC503" s="67">
        <f t="shared" si="293"/>
        <v>-161.30000000000001</v>
      </c>
    </row>
    <row r="504" spans="29:55">
      <c r="AD504" s="68" t="str">
        <v>16</v>
      </c>
      <c r="AE504" s="61">
        <v>165</v>
      </c>
      <c r="AF504" s="61">
        <v>1</v>
      </c>
      <c r="AG504" s="66">
        <f t="shared" si="294"/>
        <v>165</v>
      </c>
      <c r="AH504" s="66" t="str">
        <f t="shared" si="295"/>
        <v/>
      </c>
      <c r="AI504" s="67" t="str">
        <f t="shared" si="296"/>
        <v/>
      </c>
      <c r="AJ504" s="61">
        <v>1</v>
      </c>
      <c r="AK504" s="66">
        <f t="shared" si="297"/>
        <v>165</v>
      </c>
      <c r="AL504" s="66" t="str">
        <f t="shared" si="298"/>
        <v/>
      </c>
      <c r="AM504" s="67" t="str">
        <f t="shared" si="299"/>
        <v/>
      </c>
      <c r="AN504" s="61">
        <v>-1</v>
      </c>
      <c r="AO504" s="66" t="str">
        <f t="shared" si="300"/>
        <v/>
      </c>
      <c r="AP504" s="66" t="str">
        <f t="shared" si="301"/>
        <v/>
      </c>
      <c r="AQ504" s="67">
        <f t="shared" si="302"/>
        <v>-165</v>
      </c>
      <c r="AR504" s="61">
        <v>1</v>
      </c>
      <c r="AS504" s="66">
        <f t="shared" si="303"/>
        <v>165</v>
      </c>
      <c r="AT504" s="66" t="str">
        <f t="shared" si="304"/>
        <v/>
      </c>
      <c r="AU504" s="67" t="str">
        <f t="shared" si="305"/>
        <v/>
      </c>
      <c r="AV504" s="61">
        <v>0</v>
      </c>
      <c r="AW504" s="66" t="str">
        <f t="shared" si="288"/>
        <v/>
      </c>
      <c r="AX504" s="66">
        <f t="shared" si="289"/>
        <v>0</v>
      </c>
      <c r="AY504" s="67" t="str">
        <f t="shared" si="290"/>
        <v/>
      </c>
      <c r="AZ504" s="61">
        <v>-1</v>
      </c>
      <c r="BA504" s="66" t="str">
        <f t="shared" si="291"/>
        <v/>
      </c>
      <c r="BB504" s="66" t="str">
        <f t="shared" si="292"/>
        <v/>
      </c>
      <c r="BC504" s="67">
        <f t="shared" si="293"/>
        <v>-165</v>
      </c>
    </row>
    <row r="505" spans="29:55">
      <c r="AD505" s="68" t="str">
        <v>17</v>
      </c>
      <c r="AE505" s="61">
        <v>159.60000000000002</v>
      </c>
      <c r="AF505" s="61">
        <v>1</v>
      </c>
      <c r="AG505" s="66">
        <f t="shared" si="294"/>
        <v>159.60000000000002</v>
      </c>
      <c r="AH505" s="66" t="str">
        <f t="shared" si="295"/>
        <v/>
      </c>
      <c r="AI505" s="67" t="str">
        <f t="shared" si="296"/>
        <v/>
      </c>
      <c r="AJ505" s="61">
        <v>1</v>
      </c>
      <c r="AK505" s="66">
        <f t="shared" si="297"/>
        <v>159.60000000000002</v>
      </c>
      <c r="AL505" s="66" t="str">
        <f t="shared" si="298"/>
        <v/>
      </c>
      <c r="AM505" s="67" t="str">
        <f t="shared" si="299"/>
        <v/>
      </c>
      <c r="AN505" s="61">
        <v>-1</v>
      </c>
      <c r="AO505" s="66" t="str">
        <f t="shared" si="300"/>
        <v/>
      </c>
      <c r="AP505" s="66" t="str">
        <f t="shared" si="301"/>
        <v/>
      </c>
      <c r="AQ505" s="67">
        <f t="shared" si="302"/>
        <v>-159.60000000000002</v>
      </c>
      <c r="AR505" s="61">
        <v>1</v>
      </c>
      <c r="AS505" s="66">
        <f t="shared" si="303"/>
        <v>159.60000000000002</v>
      </c>
      <c r="AT505" s="66" t="str">
        <f t="shared" si="304"/>
        <v/>
      </c>
      <c r="AU505" s="67" t="str">
        <f t="shared" si="305"/>
        <v/>
      </c>
      <c r="AV505" s="61">
        <v>1</v>
      </c>
      <c r="AW505" s="66">
        <f t="shared" si="288"/>
        <v>159.60000000000002</v>
      </c>
      <c r="AX505" s="66" t="str">
        <f t="shared" si="289"/>
        <v/>
      </c>
      <c r="AY505" s="67" t="str">
        <f t="shared" si="290"/>
        <v/>
      </c>
      <c r="AZ505" s="61">
        <v>-1</v>
      </c>
      <c r="BA505" s="66" t="str">
        <f t="shared" si="291"/>
        <v/>
      </c>
      <c r="BB505" s="66" t="str">
        <f t="shared" si="292"/>
        <v/>
      </c>
      <c r="BC505" s="67">
        <f t="shared" si="293"/>
        <v>-159.60000000000002</v>
      </c>
    </row>
    <row r="506" spans="29:55">
      <c r="AD506" s="68" t="str">
        <v>18</v>
      </c>
      <c r="AE506" s="61">
        <v>147.19999999999999</v>
      </c>
      <c r="AF506" s="61">
        <v>-1</v>
      </c>
      <c r="AG506" s="66" t="str">
        <f t="shared" si="294"/>
        <v/>
      </c>
      <c r="AH506" s="66" t="str">
        <f t="shared" si="295"/>
        <v/>
      </c>
      <c r="AI506" s="67">
        <f t="shared" si="296"/>
        <v>-147.19999999999999</v>
      </c>
      <c r="AJ506" s="61">
        <v>1</v>
      </c>
      <c r="AK506" s="66">
        <f t="shared" si="297"/>
        <v>147.19999999999999</v>
      </c>
      <c r="AL506" s="66" t="str">
        <f t="shared" si="298"/>
        <v/>
      </c>
      <c r="AM506" s="67" t="str">
        <f t="shared" si="299"/>
        <v/>
      </c>
      <c r="AN506" s="61">
        <v>-1</v>
      </c>
      <c r="AO506" s="66" t="str">
        <f t="shared" si="300"/>
        <v/>
      </c>
      <c r="AP506" s="66" t="str">
        <f t="shared" si="301"/>
        <v/>
      </c>
      <c r="AQ506" s="67">
        <f t="shared" si="302"/>
        <v>-147.19999999999999</v>
      </c>
      <c r="AR506" s="61">
        <v>-1</v>
      </c>
      <c r="AS506" s="66" t="str">
        <f t="shared" si="303"/>
        <v/>
      </c>
      <c r="AT506" s="66" t="str">
        <f t="shared" si="304"/>
        <v/>
      </c>
      <c r="AU506" s="67">
        <f t="shared" si="305"/>
        <v>-147.19999999999999</v>
      </c>
      <c r="AV506" s="61">
        <v>1</v>
      </c>
      <c r="AW506" s="66">
        <f t="shared" si="288"/>
        <v>147.19999999999999</v>
      </c>
      <c r="AX506" s="66" t="str">
        <f t="shared" si="289"/>
        <v/>
      </c>
      <c r="AY506" s="67" t="str">
        <f t="shared" si="290"/>
        <v/>
      </c>
      <c r="AZ506" s="61">
        <v>1</v>
      </c>
      <c r="BA506" s="66">
        <f t="shared" si="291"/>
        <v>147.19999999999999</v>
      </c>
      <c r="BB506" s="66" t="str">
        <f t="shared" si="292"/>
        <v/>
      </c>
      <c r="BC506" s="67" t="str">
        <f t="shared" si="293"/>
        <v/>
      </c>
    </row>
    <row r="507" spans="29:55">
      <c r="AD507" s="68" t="str">
        <v>19</v>
      </c>
      <c r="AE507" s="61">
        <v>130.80000000000001</v>
      </c>
      <c r="AF507" s="61">
        <v>-1</v>
      </c>
      <c r="AG507" s="66" t="str">
        <f t="shared" si="294"/>
        <v/>
      </c>
      <c r="AH507" s="66" t="str">
        <f t="shared" si="295"/>
        <v/>
      </c>
      <c r="AI507" s="67">
        <f t="shared" si="296"/>
        <v>-130.80000000000001</v>
      </c>
      <c r="AJ507" s="61">
        <v>1</v>
      </c>
      <c r="AK507" s="66">
        <f t="shared" si="297"/>
        <v>130.80000000000001</v>
      </c>
      <c r="AL507" s="66" t="str">
        <f t="shared" si="298"/>
        <v/>
      </c>
      <c r="AM507" s="67" t="str">
        <f t="shared" si="299"/>
        <v/>
      </c>
      <c r="AN507" s="61">
        <v>-1</v>
      </c>
      <c r="AO507" s="66" t="str">
        <f t="shared" si="300"/>
        <v/>
      </c>
      <c r="AP507" s="66" t="str">
        <f t="shared" si="301"/>
        <v/>
      </c>
      <c r="AQ507" s="67">
        <f t="shared" si="302"/>
        <v>-130.80000000000001</v>
      </c>
      <c r="AR507" s="61">
        <v>-1</v>
      </c>
      <c r="AS507" s="66" t="str">
        <f t="shared" si="303"/>
        <v/>
      </c>
      <c r="AT507" s="66" t="str">
        <f t="shared" si="304"/>
        <v/>
      </c>
      <c r="AU507" s="67">
        <f t="shared" si="305"/>
        <v>-130.80000000000001</v>
      </c>
      <c r="AV507" s="61">
        <v>0</v>
      </c>
      <c r="AW507" s="66" t="str">
        <f t="shared" si="288"/>
        <v/>
      </c>
      <c r="AX507" s="66">
        <f t="shared" si="289"/>
        <v>0</v>
      </c>
      <c r="AY507" s="67" t="str">
        <f t="shared" si="290"/>
        <v/>
      </c>
      <c r="AZ507" s="61">
        <v>1</v>
      </c>
      <c r="BA507" s="66">
        <f t="shared" si="291"/>
        <v>130.80000000000001</v>
      </c>
      <c r="BB507" s="66" t="str">
        <f t="shared" si="292"/>
        <v/>
      </c>
      <c r="BC507" s="67" t="str">
        <f t="shared" si="293"/>
        <v/>
      </c>
    </row>
    <row r="508" spans="29:55">
      <c r="AD508" s="68" t="str">
        <v>20</v>
      </c>
      <c r="AE508" s="61">
        <v>112.6</v>
      </c>
      <c r="AF508" s="61">
        <v>-1</v>
      </c>
      <c r="AG508" s="66" t="str">
        <f t="shared" si="294"/>
        <v/>
      </c>
      <c r="AH508" s="66" t="str">
        <f t="shared" si="295"/>
        <v/>
      </c>
      <c r="AI508" s="67">
        <f t="shared" si="296"/>
        <v>-112.6</v>
      </c>
      <c r="AJ508" s="61">
        <v>1</v>
      </c>
      <c r="AK508" s="66">
        <f t="shared" si="297"/>
        <v>112.6</v>
      </c>
      <c r="AL508" s="66" t="str">
        <f t="shared" si="298"/>
        <v/>
      </c>
      <c r="AM508" s="67" t="str">
        <f t="shared" si="299"/>
        <v/>
      </c>
      <c r="AN508" s="61">
        <v>-1</v>
      </c>
      <c r="AO508" s="66" t="str">
        <f t="shared" si="300"/>
        <v/>
      </c>
      <c r="AP508" s="66" t="str">
        <f t="shared" si="301"/>
        <v/>
      </c>
      <c r="AQ508" s="67">
        <f t="shared" si="302"/>
        <v>-112.6</v>
      </c>
      <c r="AR508" s="61">
        <v>-1</v>
      </c>
      <c r="AS508" s="66" t="str">
        <f t="shared" si="303"/>
        <v/>
      </c>
      <c r="AT508" s="66" t="str">
        <f t="shared" si="304"/>
        <v/>
      </c>
      <c r="AU508" s="67">
        <f t="shared" si="305"/>
        <v>-112.6</v>
      </c>
      <c r="AV508" s="61">
        <v>-1</v>
      </c>
      <c r="AW508" s="66" t="str">
        <f t="shared" si="288"/>
        <v/>
      </c>
      <c r="AX508" s="66" t="str">
        <f t="shared" si="289"/>
        <v/>
      </c>
      <c r="AY508" s="67">
        <f t="shared" si="290"/>
        <v>-112.6</v>
      </c>
      <c r="AZ508" s="61">
        <v>1</v>
      </c>
      <c r="BA508" s="66">
        <f t="shared" si="291"/>
        <v>112.6</v>
      </c>
      <c r="BB508" s="66" t="str">
        <f t="shared" si="292"/>
        <v/>
      </c>
      <c r="BC508" s="67" t="str">
        <f t="shared" si="293"/>
        <v/>
      </c>
    </row>
    <row r="509" spans="29:55">
      <c r="AD509" s="68" t="str">
        <v>21</v>
      </c>
      <c r="AE509" s="61">
        <v>94.399999999999991</v>
      </c>
      <c r="AF509" s="61">
        <v>-1</v>
      </c>
      <c r="AG509" s="66" t="str">
        <f t="shared" si="294"/>
        <v/>
      </c>
      <c r="AH509" s="66" t="str">
        <f t="shared" si="295"/>
        <v/>
      </c>
      <c r="AI509" s="67">
        <f t="shared" si="296"/>
        <v>-94.399999999999991</v>
      </c>
      <c r="AJ509" s="61">
        <v>1</v>
      </c>
      <c r="AK509" s="66">
        <f t="shared" si="297"/>
        <v>94.399999999999991</v>
      </c>
      <c r="AL509" s="66" t="str">
        <f t="shared" si="298"/>
        <v/>
      </c>
      <c r="AM509" s="67" t="str">
        <f t="shared" si="299"/>
        <v/>
      </c>
      <c r="AN509" s="61">
        <v>1</v>
      </c>
      <c r="AO509" s="66">
        <f t="shared" si="300"/>
        <v>94.399999999999991</v>
      </c>
      <c r="AP509" s="66" t="str">
        <f t="shared" si="301"/>
        <v/>
      </c>
      <c r="AQ509" s="67" t="str">
        <f t="shared" si="302"/>
        <v/>
      </c>
      <c r="AR509" s="61">
        <v>-1</v>
      </c>
      <c r="AS509" s="66" t="str">
        <f t="shared" si="303"/>
        <v/>
      </c>
      <c r="AT509" s="66" t="str">
        <f t="shared" si="304"/>
        <v/>
      </c>
      <c r="AU509" s="67">
        <f t="shared" si="305"/>
        <v>-94.399999999999991</v>
      </c>
      <c r="AV509" s="61">
        <v>-1</v>
      </c>
      <c r="AW509" s="66" t="str">
        <f t="shared" si="288"/>
        <v/>
      </c>
      <c r="AX509" s="66" t="str">
        <f t="shared" si="289"/>
        <v/>
      </c>
      <c r="AY509" s="67">
        <f t="shared" si="290"/>
        <v>-94.399999999999991</v>
      </c>
      <c r="AZ509" s="61">
        <v>-1</v>
      </c>
      <c r="BA509" s="66" t="str">
        <f t="shared" si="291"/>
        <v/>
      </c>
      <c r="BB509" s="66" t="str">
        <f t="shared" si="292"/>
        <v/>
      </c>
      <c r="BC509" s="67">
        <f t="shared" si="293"/>
        <v>-94.399999999999991</v>
      </c>
    </row>
    <row r="510" spans="29:55">
      <c r="AD510" s="68" t="str">
        <v>22</v>
      </c>
      <c r="AE510" s="61">
        <v>88.4</v>
      </c>
      <c r="AF510" s="61">
        <v>-1</v>
      </c>
      <c r="AG510" s="66" t="str">
        <f t="shared" si="294"/>
        <v/>
      </c>
      <c r="AH510" s="66" t="str">
        <f t="shared" si="295"/>
        <v/>
      </c>
      <c r="AI510" s="67">
        <f t="shared" si="296"/>
        <v>-88.4</v>
      </c>
      <c r="AJ510" s="61">
        <v>1</v>
      </c>
      <c r="AK510" s="66">
        <f t="shared" si="297"/>
        <v>88.4</v>
      </c>
      <c r="AL510" s="66" t="str">
        <f t="shared" si="298"/>
        <v/>
      </c>
      <c r="AM510" s="67" t="str">
        <f t="shared" si="299"/>
        <v/>
      </c>
      <c r="AN510" s="61">
        <v>1</v>
      </c>
      <c r="AO510" s="66">
        <f t="shared" si="300"/>
        <v>88.4</v>
      </c>
      <c r="AP510" s="66" t="str">
        <f t="shared" si="301"/>
        <v/>
      </c>
      <c r="AQ510" s="67" t="str">
        <f t="shared" si="302"/>
        <v/>
      </c>
      <c r="AR510" s="61">
        <v>-1</v>
      </c>
      <c r="AS510" s="66" t="str">
        <f t="shared" si="303"/>
        <v/>
      </c>
      <c r="AT510" s="66" t="str">
        <f t="shared" si="304"/>
        <v/>
      </c>
      <c r="AU510" s="67">
        <f t="shared" si="305"/>
        <v>-88.4</v>
      </c>
      <c r="AV510" s="61">
        <v>0</v>
      </c>
      <c r="AW510" s="66" t="str">
        <f t="shared" si="288"/>
        <v/>
      </c>
      <c r="AX510" s="66">
        <f t="shared" si="289"/>
        <v>0</v>
      </c>
      <c r="AY510" s="67" t="str">
        <f t="shared" si="290"/>
        <v/>
      </c>
      <c r="AZ510" s="61">
        <v>-1</v>
      </c>
      <c r="BA510" s="66" t="str">
        <f t="shared" si="291"/>
        <v/>
      </c>
      <c r="BB510" s="66" t="str">
        <f t="shared" si="292"/>
        <v/>
      </c>
      <c r="BC510" s="67">
        <f t="shared" si="293"/>
        <v>-88.4</v>
      </c>
    </row>
    <row r="511" spans="29:55">
      <c r="AD511" s="68" t="str">
        <v>23</v>
      </c>
      <c r="AE511" s="61">
        <v>93.600000000000009</v>
      </c>
      <c r="AF511" s="61">
        <v>-1</v>
      </c>
      <c r="AG511" s="66" t="str">
        <f t="shared" si="294"/>
        <v/>
      </c>
      <c r="AH511" s="66" t="str">
        <f t="shared" si="295"/>
        <v/>
      </c>
      <c r="AI511" s="67">
        <f t="shared" si="296"/>
        <v>-93.600000000000009</v>
      </c>
      <c r="AJ511" s="61">
        <v>1</v>
      </c>
      <c r="AK511" s="66">
        <f t="shared" si="297"/>
        <v>93.600000000000009</v>
      </c>
      <c r="AL511" s="66" t="str">
        <f t="shared" si="298"/>
        <v/>
      </c>
      <c r="AM511" s="67" t="str">
        <f t="shared" si="299"/>
        <v/>
      </c>
      <c r="AN511" s="61">
        <v>1</v>
      </c>
      <c r="AO511" s="66">
        <f t="shared" si="300"/>
        <v>93.600000000000009</v>
      </c>
      <c r="AP511" s="66" t="str">
        <f t="shared" si="301"/>
        <v/>
      </c>
      <c r="AQ511" s="67" t="str">
        <f t="shared" si="302"/>
        <v/>
      </c>
      <c r="AR511" s="61">
        <v>-1</v>
      </c>
      <c r="AS511" s="66" t="str">
        <f t="shared" si="303"/>
        <v/>
      </c>
      <c r="AT511" s="66" t="str">
        <f t="shared" si="304"/>
        <v/>
      </c>
      <c r="AU511" s="67">
        <f t="shared" si="305"/>
        <v>-93.600000000000009</v>
      </c>
      <c r="AV511" s="61">
        <v>1</v>
      </c>
      <c r="AW511" s="66">
        <f t="shared" si="288"/>
        <v>93.600000000000009</v>
      </c>
      <c r="AX511" s="66" t="str">
        <f t="shared" si="289"/>
        <v/>
      </c>
      <c r="AY511" s="67" t="str">
        <f t="shared" si="290"/>
        <v/>
      </c>
      <c r="AZ511" s="61">
        <v>-1</v>
      </c>
      <c r="BA511" s="66" t="str">
        <f t="shared" si="291"/>
        <v/>
      </c>
      <c r="BB511" s="66" t="str">
        <f t="shared" si="292"/>
        <v/>
      </c>
      <c r="BC511" s="67">
        <f t="shared" si="293"/>
        <v>-93.600000000000009</v>
      </c>
    </row>
    <row r="512" spans="29:55" ht="15.75" thickBot="1">
      <c r="AC512" s="476">
        <f>AD484</f>
        <v>44725</v>
      </c>
      <c r="AD512" s="69" t="s">
        <v>85</v>
      </c>
      <c r="AE512" s="70">
        <f>SUM(AE488:AE511)</f>
        <v>3997.7</v>
      </c>
      <c r="AF512" s="70"/>
      <c r="AG512" s="71">
        <f>ABS(SUM(AG488:AG511))</f>
        <v>2072.5</v>
      </c>
      <c r="AH512" s="70"/>
      <c r="AI512" s="72">
        <f>ABS(SUM(AI488:AI511))</f>
        <v>1925.2</v>
      </c>
      <c r="AJ512" s="70"/>
      <c r="AK512" s="71">
        <f>ABS(SUM(AK488:AK511))</f>
        <v>1579.3999999999999</v>
      </c>
      <c r="AL512" s="70"/>
      <c r="AM512" s="72">
        <f>ABS(SUM(AM488:AM511))</f>
        <v>2418.2999999999997</v>
      </c>
      <c r="AN512" s="70"/>
      <c r="AO512" s="71">
        <f>ABS(SUM(AO488:AO511))</f>
        <v>1683.5</v>
      </c>
      <c r="AP512" s="70"/>
      <c r="AQ512" s="72">
        <f>ABS(SUM(AQ488:AQ511))</f>
        <v>2314.1999999999998</v>
      </c>
      <c r="AR512" s="70"/>
      <c r="AS512" s="71">
        <f>ABS(SUM(AS488:AS511))</f>
        <v>2170.6000000000004</v>
      </c>
      <c r="AT512" s="70"/>
      <c r="AU512" s="72">
        <f>ABS(SUM(AU488:AU511))</f>
        <v>1827.1</v>
      </c>
      <c r="AV512" s="70"/>
      <c r="AW512" s="71">
        <f>ABS(SUM(AW488:AW511))</f>
        <v>1326.7</v>
      </c>
      <c r="AX512" s="70"/>
      <c r="AY512" s="72">
        <f>ABS(SUM(AY488:AY511))</f>
        <v>1336</v>
      </c>
      <c r="AZ512" s="70"/>
      <c r="BA512" s="71">
        <f>ABS(SUM(BA488:BA511))</f>
        <v>2026.4</v>
      </c>
      <c r="BB512" s="70"/>
      <c r="BC512" s="72">
        <f>ABS(SUM(BC488:BC511))</f>
        <v>1971.3000000000002</v>
      </c>
    </row>
    <row r="514" spans="30:55" ht="15" thickBot="1">
      <c r="AD514" s="476">
        <f>skemA1!B22</f>
        <v>44726</v>
      </c>
    </row>
    <row r="515" spans="30:55" ht="15" thickBot="1">
      <c r="AD515" s="677" t="s">
        <v>75</v>
      </c>
      <c r="AE515" s="60" t="s">
        <v>558</v>
      </c>
      <c r="AF515" s="672" t="s">
        <v>559</v>
      </c>
      <c r="AG515" s="672"/>
      <c r="AH515" s="672"/>
      <c r="AI515" s="673"/>
      <c r="AJ515" s="672" t="s">
        <v>562</v>
      </c>
      <c r="AK515" s="672"/>
      <c r="AL515" s="672"/>
      <c r="AM515" s="673"/>
      <c r="AN515" s="672" t="s">
        <v>563</v>
      </c>
      <c r="AO515" s="672"/>
      <c r="AP515" s="672"/>
      <c r="AQ515" s="673"/>
      <c r="AR515" s="672" t="s">
        <v>564</v>
      </c>
      <c r="AS515" s="672"/>
      <c r="AT515" s="672"/>
      <c r="AU515" s="673"/>
      <c r="AV515" s="672" t="s">
        <v>565</v>
      </c>
      <c r="AW515" s="672"/>
      <c r="AX515" s="672"/>
      <c r="AY515" s="673"/>
      <c r="AZ515" s="672" t="s">
        <v>566</v>
      </c>
      <c r="BA515" s="672"/>
      <c r="BB515" s="672"/>
      <c r="BC515" s="673"/>
    </row>
    <row r="516" spans="30:55" ht="15" thickBot="1">
      <c r="AD516" s="677"/>
      <c r="AE516" s="61"/>
      <c r="AF516" s="674" t="s">
        <v>561</v>
      </c>
      <c r="AG516" s="670" t="s">
        <v>560</v>
      </c>
      <c r="AH516" s="670"/>
      <c r="AI516" s="671"/>
      <c r="AJ516" s="674" t="s">
        <v>561</v>
      </c>
      <c r="AK516" s="670" t="s">
        <v>560</v>
      </c>
      <c r="AL516" s="670"/>
      <c r="AM516" s="671"/>
      <c r="AN516" s="674" t="s">
        <v>561</v>
      </c>
      <c r="AO516" s="670" t="s">
        <v>560</v>
      </c>
      <c r="AP516" s="670"/>
      <c r="AQ516" s="671"/>
      <c r="AR516" s="674" t="s">
        <v>561</v>
      </c>
      <c r="AS516" s="670" t="s">
        <v>560</v>
      </c>
      <c r="AT516" s="670"/>
      <c r="AU516" s="671"/>
      <c r="AV516" s="674" t="s">
        <v>561</v>
      </c>
      <c r="AW516" s="670" t="s">
        <v>560</v>
      </c>
      <c r="AX516" s="670"/>
      <c r="AY516" s="671"/>
      <c r="AZ516" s="674" t="s">
        <v>561</v>
      </c>
      <c r="BA516" s="670" t="s">
        <v>560</v>
      </c>
      <c r="BB516" s="670"/>
      <c r="BC516" s="671"/>
    </row>
    <row r="517" spans="30:55">
      <c r="AD517" s="677"/>
      <c r="AE517" s="62"/>
      <c r="AF517" s="674"/>
      <c r="AG517" s="63" t="s">
        <v>76</v>
      </c>
      <c r="AH517" s="63">
        <v>0</v>
      </c>
      <c r="AI517" s="64" t="s">
        <v>77</v>
      </c>
      <c r="AJ517" s="674"/>
      <c r="AK517" s="63" t="s">
        <v>76</v>
      </c>
      <c r="AL517" s="63">
        <v>0</v>
      </c>
      <c r="AM517" s="64" t="s">
        <v>77</v>
      </c>
      <c r="AN517" s="674"/>
      <c r="AO517" s="63" t="s">
        <v>76</v>
      </c>
      <c r="AP517" s="63">
        <v>0</v>
      </c>
      <c r="AQ517" s="64" t="s">
        <v>77</v>
      </c>
      <c r="AR517" s="674"/>
      <c r="AS517" s="63" t="s">
        <v>76</v>
      </c>
      <c r="AT517" s="63">
        <v>0</v>
      </c>
      <c r="AU517" s="64" t="s">
        <v>77</v>
      </c>
      <c r="AV517" s="674"/>
      <c r="AW517" s="63" t="s">
        <v>76</v>
      </c>
      <c r="AX517" s="63">
        <v>0</v>
      </c>
      <c r="AY517" s="64" t="s">
        <v>77</v>
      </c>
      <c r="AZ517" s="674"/>
      <c r="BA517" s="63" t="s">
        <v>76</v>
      </c>
      <c r="BB517" s="63">
        <v>0</v>
      </c>
      <c r="BC517" s="64" t="s">
        <v>77</v>
      </c>
    </row>
    <row r="518" spans="30:55">
      <c r="AD518" s="65" t="str">
        <f t="array" ref="AD518:AD541">TRANSPOSE($C$5:$Z$5)</f>
        <v>00</v>
      </c>
      <c r="AE518" s="66">
        <f t="array" ref="AE518:AE541">TRANSPOSE(skemA1!$C$22:$Z$22)</f>
        <v>115.9</v>
      </c>
      <c r="AF518" s="66">
        <f t="array" ref="AF518:AF541">TRANSPOSE($C$6:$Z$6)</f>
        <v>-1</v>
      </c>
      <c r="AG518" s="66" t="str">
        <f>IF(AF518&gt;0,AF518*$AE518,"")</f>
        <v/>
      </c>
      <c r="AH518" s="66" t="str">
        <f>IF(AF518=0,AF518*$AE518,"")</f>
        <v/>
      </c>
      <c r="AI518" s="67">
        <f>IF(AF518&lt;0,AF518*$AE518,"")</f>
        <v>-115.9</v>
      </c>
      <c r="AJ518" s="66">
        <f t="array" ref="AJ518:AJ541">TRANSPOSE($C$7:$Z$7)</f>
        <v>-1</v>
      </c>
      <c r="AK518" s="66" t="str">
        <f>IF(AJ518&gt;0,AJ518*$AE518,"")</f>
        <v/>
      </c>
      <c r="AL518" s="66" t="str">
        <f>IF(AJ518=0,AJ518*$AE518,"")</f>
        <v/>
      </c>
      <c r="AM518" s="67">
        <f>IF(AJ518&lt;0,AJ518*$AE518,"")</f>
        <v>-115.9</v>
      </c>
      <c r="AN518" s="66">
        <f t="array" ref="AN518:AN541">TRANSPOSE($C$8:$Z$8)</f>
        <v>1</v>
      </c>
      <c r="AO518" s="66">
        <f>IF(AN518&gt;0,AN518*$AE518,"")</f>
        <v>115.9</v>
      </c>
      <c r="AP518" s="66" t="str">
        <f>IF(AN518=0,AN518*$AE518,"")</f>
        <v/>
      </c>
      <c r="AQ518" s="67" t="str">
        <f>IF(AN518&lt;0,AN518*$AE518,"")</f>
        <v/>
      </c>
      <c r="AR518" s="66">
        <f t="array" ref="AR518:AR541">TRANSPOSE($C$9:$Z$9)</f>
        <v>1</v>
      </c>
      <c r="AS518" s="66">
        <f>IF(AR518&gt;0,AR518*$AE518,"")</f>
        <v>115.9</v>
      </c>
      <c r="AT518" s="66" t="str">
        <f>IF(AR518=0,AR518*$AE518,"")</f>
        <v/>
      </c>
      <c r="AU518" s="67" t="str">
        <f>IF(AR518&lt;0,AR518*$AE518,"")</f>
        <v/>
      </c>
      <c r="AV518" s="66">
        <f t="array" ref="AV518:AV541">TRANSPOSE($C$10:$Z$10)</f>
        <v>1</v>
      </c>
      <c r="AW518" s="66">
        <f t="shared" ref="AW518:AW541" si="306">IF(AV518&gt;0,AV518*$AE518,"")</f>
        <v>115.9</v>
      </c>
      <c r="AX518" s="66" t="str">
        <f t="shared" ref="AX518:AX541" si="307">IF(AV518=0,AV518*$AE518,"")</f>
        <v/>
      </c>
      <c r="AY518" s="67" t="str">
        <f t="shared" ref="AY518:AY541" si="308">IF(AV518&lt;0,AV518*$AE518,"")</f>
        <v/>
      </c>
      <c r="AZ518" s="66">
        <f t="array" ref="AZ518:AZ541">TRANSPOSE($C$11:$Z$11)</f>
        <v>1</v>
      </c>
      <c r="BA518" s="66">
        <f t="shared" ref="BA518:BA541" si="309">IF(AZ518&gt;0,AZ518*$AE518,"")</f>
        <v>115.9</v>
      </c>
      <c r="BB518" s="66" t="str">
        <f t="shared" ref="BB518:BB541" si="310">IF(AZ518=0,AZ518*$AE518,"")</f>
        <v/>
      </c>
      <c r="BC518" s="67" t="str">
        <f t="shared" ref="BC518:BC541" si="311">IF(AZ518&lt;0,AZ518*$AE518,"")</f>
        <v/>
      </c>
    </row>
    <row r="519" spans="30:55">
      <c r="AD519" s="68" t="str">
        <v>01</v>
      </c>
      <c r="AE519" s="61">
        <v>149</v>
      </c>
      <c r="AF519" s="61">
        <v>-1</v>
      </c>
      <c r="AG519" s="66" t="str">
        <f t="shared" ref="AG519:AG541" si="312">IF(AF519&gt;0,AF519*$AE519,"")</f>
        <v/>
      </c>
      <c r="AH519" s="66" t="str">
        <f t="shared" ref="AH519:AH541" si="313">IF(AF519=0,AF519*$AE519,"")</f>
        <v/>
      </c>
      <c r="AI519" s="67">
        <f t="shared" ref="AI519:AI541" si="314">IF(AF519&lt;0,AF519*$AE519,"")</f>
        <v>-149</v>
      </c>
      <c r="AJ519" s="61">
        <v>-1</v>
      </c>
      <c r="AK519" s="66" t="str">
        <f t="shared" ref="AK519:AK541" si="315">IF(AJ519&gt;0,AJ519*$AE519,"")</f>
        <v/>
      </c>
      <c r="AL519" s="66" t="str">
        <f t="shared" ref="AL519:AL541" si="316">IF(AJ519=0,AJ519*$AE519,"")</f>
        <v/>
      </c>
      <c r="AM519" s="67">
        <f t="shared" ref="AM519:AM541" si="317">IF(AJ519&lt;0,AJ519*$AE519,"")</f>
        <v>-149</v>
      </c>
      <c r="AN519" s="61">
        <v>1</v>
      </c>
      <c r="AO519" s="66">
        <f t="shared" ref="AO519:AO541" si="318">IF(AN519&gt;0,AN519*$AE519,"")</f>
        <v>149</v>
      </c>
      <c r="AP519" s="66" t="str">
        <f t="shared" ref="AP519:AP541" si="319">IF(AN519=0,AN519*$AE519,"")</f>
        <v/>
      </c>
      <c r="AQ519" s="67" t="str">
        <f t="shared" ref="AQ519:AQ541" si="320">IF(AN519&lt;0,AN519*$AE519,"")</f>
        <v/>
      </c>
      <c r="AR519" s="61">
        <v>1</v>
      </c>
      <c r="AS519" s="66">
        <f t="shared" ref="AS519:AS541" si="321">IF(AR519&gt;0,AR519*$AE519,"")</f>
        <v>149</v>
      </c>
      <c r="AT519" s="66" t="str">
        <f t="shared" ref="AT519:AT541" si="322">IF(AR519=0,AR519*$AE519,"")</f>
        <v/>
      </c>
      <c r="AU519" s="67" t="str">
        <f t="shared" ref="AU519:AU541" si="323">IF(AR519&lt;0,AR519*$AE519,"")</f>
        <v/>
      </c>
      <c r="AV519" s="61">
        <v>0</v>
      </c>
      <c r="AW519" s="66" t="str">
        <f t="shared" si="306"/>
        <v/>
      </c>
      <c r="AX519" s="66">
        <f t="shared" si="307"/>
        <v>0</v>
      </c>
      <c r="AY519" s="67" t="str">
        <f t="shared" si="308"/>
        <v/>
      </c>
      <c r="AZ519" s="61">
        <v>1</v>
      </c>
      <c r="BA519" s="66">
        <f t="shared" si="309"/>
        <v>149</v>
      </c>
      <c r="BB519" s="66" t="str">
        <f t="shared" si="310"/>
        <v/>
      </c>
      <c r="BC519" s="67" t="str">
        <f t="shared" si="311"/>
        <v/>
      </c>
    </row>
    <row r="520" spans="30:55">
      <c r="AD520" s="68" t="str">
        <v>02</v>
      </c>
      <c r="AE520" s="61">
        <v>187.1</v>
      </c>
      <c r="AF520" s="61">
        <v>-1</v>
      </c>
      <c r="AG520" s="66" t="str">
        <f t="shared" si="312"/>
        <v/>
      </c>
      <c r="AH520" s="66" t="str">
        <f t="shared" si="313"/>
        <v/>
      </c>
      <c r="AI520" s="67">
        <f t="shared" si="314"/>
        <v>-187.1</v>
      </c>
      <c r="AJ520" s="61">
        <v>-1</v>
      </c>
      <c r="AK520" s="66" t="str">
        <f t="shared" si="315"/>
        <v/>
      </c>
      <c r="AL520" s="66" t="str">
        <f t="shared" si="316"/>
        <v/>
      </c>
      <c r="AM520" s="67">
        <f t="shared" si="317"/>
        <v>-187.1</v>
      </c>
      <c r="AN520" s="61">
        <v>1</v>
      </c>
      <c r="AO520" s="66">
        <f t="shared" si="318"/>
        <v>187.1</v>
      </c>
      <c r="AP520" s="66" t="str">
        <f t="shared" si="319"/>
        <v/>
      </c>
      <c r="AQ520" s="67" t="str">
        <f t="shared" si="320"/>
        <v/>
      </c>
      <c r="AR520" s="61">
        <v>1</v>
      </c>
      <c r="AS520" s="66">
        <f t="shared" si="321"/>
        <v>187.1</v>
      </c>
      <c r="AT520" s="66" t="str">
        <f t="shared" si="322"/>
        <v/>
      </c>
      <c r="AU520" s="67" t="str">
        <f t="shared" si="323"/>
        <v/>
      </c>
      <c r="AV520" s="61">
        <v>-1</v>
      </c>
      <c r="AW520" s="66" t="str">
        <f t="shared" si="306"/>
        <v/>
      </c>
      <c r="AX520" s="66" t="str">
        <f t="shared" si="307"/>
        <v/>
      </c>
      <c r="AY520" s="67">
        <f t="shared" si="308"/>
        <v>-187.1</v>
      </c>
      <c r="AZ520" s="61">
        <v>1</v>
      </c>
      <c r="BA520" s="66">
        <f t="shared" si="309"/>
        <v>187.1</v>
      </c>
      <c r="BB520" s="66" t="str">
        <f t="shared" si="310"/>
        <v/>
      </c>
      <c r="BC520" s="67" t="str">
        <f t="shared" si="311"/>
        <v/>
      </c>
    </row>
    <row r="521" spans="30:55">
      <c r="AD521" s="68" t="str">
        <v>03</v>
      </c>
      <c r="AE521" s="61">
        <v>225.70000000000002</v>
      </c>
      <c r="AF521" s="61">
        <v>-1</v>
      </c>
      <c r="AG521" s="66" t="str">
        <f t="shared" si="312"/>
        <v/>
      </c>
      <c r="AH521" s="66" t="str">
        <f t="shared" si="313"/>
        <v/>
      </c>
      <c r="AI521" s="67">
        <f t="shared" si="314"/>
        <v>-225.70000000000002</v>
      </c>
      <c r="AJ521" s="61">
        <v>-1</v>
      </c>
      <c r="AK521" s="66" t="str">
        <f t="shared" si="315"/>
        <v/>
      </c>
      <c r="AL521" s="66" t="str">
        <f t="shared" si="316"/>
        <v/>
      </c>
      <c r="AM521" s="67">
        <f t="shared" si="317"/>
        <v>-225.70000000000002</v>
      </c>
      <c r="AN521" s="61">
        <v>-1</v>
      </c>
      <c r="AO521" s="66" t="str">
        <f t="shared" si="318"/>
        <v/>
      </c>
      <c r="AP521" s="66" t="str">
        <f t="shared" si="319"/>
        <v/>
      </c>
      <c r="AQ521" s="67">
        <f t="shared" si="320"/>
        <v>-225.70000000000002</v>
      </c>
      <c r="AR521" s="61">
        <v>1</v>
      </c>
      <c r="AS521" s="66">
        <f t="shared" si="321"/>
        <v>225.70000000000002</v>
      </c>
      <c r="AT521" s="66" t="str">
        <f t="shared" si="322"/>
        <v/>
      </c>
      <c r="AU521" s="67" t="str">
        <f t="shared" si="323"/>
        <v/>
      </c>
      <c r="AV521" s="61">
        <v>-1</v>
      </c>
      <c r="AW521" s="66" t="str">
        <f t="shared" si="306"/>
        <v/>
      </c>
      <c r="AX521" s="66" t="str">
        <f t="shared" si="307"/>
        <v/>
      </c>
      <c r="AY521" s="67">
        <f t="shared" si="308"/>
        <v>-225.70000000000002</v>
      </c>
      <c r="AZ521" s="61">
        <v>-1</v>
      </c>
      <c r="BA521" s="66" t="str">
        <f t="shared" si="309"/>
        <v/>
      </c>
      <c r="BB521" s="66" t="str">
        <f t="shared" si="310"/>
        <v/>
      </c>
      <c r="BC521" s="67">
        <f t="shared" si="311"/>
        <v>-225.70000000000002</v>
      </c>
    </row>
    <row r="522" spans="30:55">
      <c r="AD522" s="68" t="str">
        <v>04</v>
      </c>
      <c r="AE522" s="61">
        <v>255.39999999999998</v>
      </c>
      <c r="AF522" s="61">
        <v>-1</v>
      </c>
      <c r="AG522" s="66" t="str">
        <f t="shared" si="312"/>
        <v/>
      </c>
      <c r="AH522" s="66" t="str">
        <f t="shared" si="313"/>
        <v/>
      </c>
      <c r="AI522" s="67">
        <f t="shared" si="314"/>
        <v>-255.39999999999998</v>
      </c>
      <c r="AJ522" s="61">
        <v>-1</v>
      </c>
      <c r="AK522" s="66" t="str">
        <f t="shared" si="315"/>
        <v/>
      </c>
      <c r="AL522" s="66" t="str">
        <f t="shared" si="316"/>
        <v/>
      </c>
      <c r="AM522" s="67">
        <f t="shared" si="317"/>
        <v>-255.39999999999998</v>
      </c>
      <c r="AN522" s="61">
        <v>-1</v>
      </c>
      <c r="AO522" s="66" t="str">
        <f t="shared" si="318"/>
        <v/>
      </c>
      <c r="AP522" s="66" t="str">
        <f t="shared" si="319"/>
        <v/>
      </c>
      <c r="AQ522" s="67">
        <f t="shared" si="320"/>
        <v>-255.39999999999998</v>
      </c>
      <c r="AR522" s="61">
        <v>1</v>
      </c>
      <c r="AS522" s="66">
        <f t="shared" si="321"/>
        <v>255.39999999999998</v>
      </c>
      <c r="AT522" s="66" t="str">
        <f t="shared" si="322"/>
        <v/>
      </c>
      <c r="AU522" s="67" t="str">
        <f t="shared" si="323"/>
        <v/>
      </c>
      <c r="AV522" s="61">
        <v>0</v>
      </c>
      <c r="AW522" s="66" t="str">
        <f t="shared" si="306"/>
        <v/>
      </c>
      <c r="AX522" s="66">
        <f t="shared" si="307"/>
        <v>0</v>
      </c>
      <c r="AY522" s="67" t="str">
        <f t="shared" si="308"/>
        <v/>
      </c>
      <c r="AZ522" s="61">
        <v>-1</v>
      </c>
      <c r="BA522" s="66" t="str">
        <f t="shared" si="309"/>
        <v/>
      </c>
      <c r="BB522" s="66" t="str">
        <f t="shared" si="310"/>
        <v/>
      </c>
      <c r="BC522" s="67">
        <f t="shared" si="311"/>
        <v>-255.39999999999998</v>
      </c>
    </row>
    <row r="523" spans="30:55">
      <c r="AD523" s="68" t="str">
        <v>05</v>
      </c>
      <c r="AE523" s="61">
        <v>273</v>
      </c>
      <c r="AF523" s="61">
        <v>-1</v>
      </c>
      <c r="AG523" s="66" t="str">
        <f t="shared" si="312"/>
        <v/>
      </c>
      <c r="AH523" s="66" t="str">
        <f t="shared" si="313"/>
        <v/>
      </c>
      <c r="AI523" s="67">
        <f t="shared" si="314"/>
        <v>-273</v>
      </c>
      <c r="AJ523" s="61">
        <v>-1</v>
      </c>
      <c r="AK523" s="66" t="str">
        <f t="shared" si="315"/>
        <v/>
      </c>
      <c r="AL523" s="66" t="str">
        <f t="shared" si="316"/>
        <v/>
      </c>
      <c r="AM523" s="67">
        <f t="shared" si="317"/>
        <v>-273</v>
      </c>
      <c r="AN523" s="61">
        <v>-1</v>
      </c>
      <c r="AO523" s="66" t="str">
        <f t="shared" si="318"/>
        <v/>
      </c>
      <c r="AP523" s="66" t="str">
        <f t="shared" si="319"/>
        <v/>
      </c>
      <c r="AQ523" s="67">
        <f t="shared" si="320"/>
        <v>-273</v>
      </c>
      <c r="AR523" s="61">
        <v>1</v>
      </c>
      <c r="AS523" s="66">
        <f t="shared" si="321"/>
        <v>273</v>
      </c>
      <c r="AT523" s="66" t="str">
        <f t="shared" si="322"/>
        <v/>
      </c>
      <c r="AU523" s="67" t="str">
        <f t="shared" si="323"/>
        <v/>
      </c>
      <c r="AV523" s="61">
        <v>1</v>
      </c>
      <c r="AW523" s="66">
        <f t="shared" si="306"/>
        <v>273</v>
      </c>
      <c r="AX523" s="66" t="str">
        <f t="shared" si="307"/>
        <v/>
      </c>
      <c r="AY523" s="67" t="str">
        <f t="shared" si="308"/>
        <v/>
      </c>
      <c r="AZ523" s="61">
        <v>-1</v>
      </c>
      <c r="BA523" s="66" t="str">
        <f t="shared" si="309"/>
        <v/>
      </c>
      <c r="BB523" s="66" t="str">
        <f t="shared" si="310"/>
        <v/>
      </c>
      <c r="BC523" s="67">
        <f t="shared" si="311"/>
        <v>-273</v>
      </c>
    </row>
    <row r="524" spans="30:55">
      <c r="AD524" s="68" t="str">
        <v>06</v>
      </c>
      <c r="AE524" s="61">
        <v>274.7</v>
      </c>
      <c r="AF524" s="61">
        <v>1</v>
      </c>
      <c r="AG524" s="66">
        <f t="shared" si="312"/>
        <v>274.7</v>
      </c>
      <c r="AH524" s="66" t="str">
        <f t="shared" si="313"/>
        <v/>
      </c>
      <c r="AI524" s="67" t="str">
        <f t="shared" si="314"/>
        <v/>
      </c>
      <c r="AJ524" s="61">
        <v>-1</v>
      </c>
      <c r="AK524" s="66" t="str">
        <f t="shared" si="315"/>
        <v/>
      </c>
      <c r="AL524" s="66" t="str">
        <f t="shared" si="316"/>
        <v/>
      </c>
      <c r="AM524" s="67">
        <f t="shared" si="317"/>
        <v>-274.7</v>
      </c>
      <c r="AN524" s="61">
        <v>-1</v>
      </c>
      <c r="AO524" s="66" t="str">
        <f t="shared" si="318"/>
        <v/>
      </c>
      <c r="AP524" s="66" t="str">
        <f t="shared" si="319"/>
        <v/>
      </c>
      <c r="AQ524" s="67">
        <f t="shared" si="320"/>
        <v>-274.7</v>
      </c>
      <c r="AR524" s="61">
        <v>-1</v>
      </c>
      <c r="AS524" s="66" t="str">
        <f t="shared" si="321"/>
        <v/>
      </c>
      <c r="AT524" s="66" t="str">
        <f t="shared" si="322"/>
        <v/>
      </c>
      <c r="AU524" s="67">
        <f t="shared" si="323"/>
        <v>-274.7</v>
      </c>
      <c r="AV524" s="61">
        <v>1</v>
      </c>
      <c r="AW524" s="66">
        <f t="shared" si="306"/>
        <v>274.7</v>
      </c>
      <c r="AX524" s="66" t="str">
        <f t="shared" si="307"/>
        <v/>
      </c>
      <c r="AY524" s="67" t="str">
        <f t="shared" si="308"/>
        <v/>
      </c>
      <c r="AZ524" s="61">
        <v>1</v>
      </c>
      <c r="BA524" s="66">
        <f t="shared" si="309"/>
        <v>274.7</v>
      </c>
      <c r="BB524" s="66" t="str">
        <f t="shared" si="310"/>
        <v/>
      </c>
      <c r="BC524" s="67" t="str">
        <f t="shared" si="311"/>
        <v/>
      </c>
    </row>
    <row r="525" spans="30:55">
      <c r="AD525" s="68" t="str">
        <v>07</v>
      </c>
      <c r="AE525" s="61">
        <v>259.8</v>
      </c>
      <c r="AF525" s="61">
        <v>1</v>
      </c>
      <c r="AG525" s="66">
        <f t="shared" si="312"/>
        <v>259.8</v>
      </c>
      <c r="AH525" s="66" t="str">
        <f t="shared" si="313"/>
        <v/>
      </c>
      <c r="AI525" s="67" t="str">
        <f t="shared" si="314"/>
        <v/>
      </c>
      <c r="AJ525" s="61">
        <v>-1</v>
      </c>
      <c r="AK525" s="66" t="str">
        <f t="shared" si="315"/>
        <v/>
      </c>
      <c r="AL525" s="66" t="str">
        <f t="shared" si="316"/>
        <v/>
      </c>
      <c r="AM525" s="67">
        <f t="shared" si="317"/>
        <v>-259.8</v>
      </c>
      <c r="AN525" s="61">
        <v>-1</v>
      </c>
      <c r="AO525" s="66" t="str">
        <f t="shared" si="318"/>
        <v/>
      </c>
      <c r="AP525" s="66" t="str">
        <f t="shared" si="319"/>
        <v/>
      </c>
      <c r="AQ525" s="67">
        <f t="shared" si="320"/>
        <v>-259.8</v>
      </c>
      <c r="AR525" s="61">
        <v>-1</v>
      </c>
      <c r="AS525" s="66" t="str">
        <f t="shared" si="321"/>
        <v/>
      </c>
      <c r="AT525" s="66" t="str">
        <f t="shared" si="322"/>
        <v/>
      </c>
      <c r="AU525" s="67">
        <f t="shared" si="323"/>
        <v>-259.8</v>
      </c>
      <c r="AV525" s="61">
        <v>0</v>
      </c>
      <c r="AW525" s="66" t="str">
        <f t="shared" si="306"/>
        <v/>
      </c>
      <c r="AX525" s="66">
        <f t="shared" si="307"/>
        <v>0</v>
      </c>
      <c r="AY525" s="67" t="str">
        <f t="shared" si="308"/>
        <v/>
      </c>
      <c r="AZ525" s="61">
        <v>1</v>
      </c>
      <c r="BA525" s="66">
        <f t="shared" si="309"/>
        <v>259.8</v>
      </c>
      <c r="BB525" s="66" t="str">
        <f t="shared" si="310"/>
        <v/>
      </c>
      <c r="BC525" s="67" t="str">
        <f t="shared" si="311"/>
        <v/>
      </c>
    </row>
    <row r="526" spans="30:55">
      <c r="AD526" s="68" t="str">
        <v>08</v>
      </c>
      <c r="AE526" s="61">
        <v>231.9</v>
      </c>
      <c r="AF526" s="61">
        <v>1</v>
      </c>
      <c r="AG526" s="66">
        <f t="shared" si="312"/>
        <v>231.9</v>
      </c>
      <c r="AH526" s="66" t="str">
        <f t="shared" si="313"/>
        <v/>
      </c>
      <c r="AI526" s="67" t="str">
        <f t="shared" si="314"/>
        <v/>
      </c>
      <c r="AJ526" s="61">
        <v>-1</v>
      </c>
      <c r="AK526" s="66" t="str">
        <f t="shared" si="315"/>
        <v/>
      </c>
      <c r="AL526" s="66" t="str">
        <f t="shared" si="316"/>
        <v/>
      </c>
      <c r="AM526" s="67">
        <f t="shared" si="317"/>
        <v>-231.9</v>
      </c>
      <c r="AN526" s="61">
        <v>-1</v>
      </c>
      <c r="AO526" s="66" t="str">
        <f t="shared" si="318"/>
        <v/>
      </c>
      <c r="AP526" s="66" t="str">
        <f t="shared" si="319"/>
        <v/>
      </c>
      <c r="AQ526" s="67">
        <f t="shared" si="320"/>
        <v>-231.9</v>
      </c>
      <c r="AR526" s="61">
        <v>-1</v>
      </c>
      <c r="AS526" s="66" t="str">
        <f t="shared" si="321"/>
        <v/>
      </c>
      <c r="AT526" s="66" t="str">
        <f t="shared" si="322"/>
        <v/>
      </c>
      <c r="AU526" s="67">
        <f t="shared" si="323"/>
        <v>-231.9</v>
      </c>
      <c r="AV526" s="61">
        <v>-1</v>
      </c>
      <c r="AW526" s="66" t="str">
        <f t="shared" si="306"/>
        <v/>
      </c>
      <c r="AX526" s="66" t="str">
        <f t="shared" si="307"/>
        <v/>
      </c>
      <c r="AY526" s="67">
        <f t="shared" si="308"/>
        <v>-231.9</v>
      </c>
      <c r="AZ526" s="61">
        <v>1</v>
      </c>
      <c r="BA526" s="66">
        <f t="shared" si="309"/>
        <v>231.9</v>
      </c>
      <c r="BB526" s="66" t="str">
        <f t="shared" si="310"/>
        <v/>
      </c>
      <c r="BC526" s="67" t="str">
        <f t="shared" si="311"/>
        <v/>
      </c>
    </row>
    <row r="527" spans="30:55">
      <c r="AD527" s="68" t="str">
        <v>09</v>
      </c>
      <c r="AE527" s="61">
        <v>199</v>
      </c>
      <c r="AF527" s="61">
        <v>1</v>
      </c>
      <c r="AG527" s="66">
        <f t="shared" si="312"/>
        <v>199</v>
      </c>
      <c r="AH527" s="66" t="str">
        <f t="shared" si="313"/>
        <v/>
      </c>
      <c r="AI527" s="67" t="str">
        <f t="shared" si="314"/>
        <v/>
      </c>
      <c r="AJ527" s="61">
        <v>-1</v>
      </c>
      <c r="AK527" s="66" t="str">
        <f t="shared" si="315"/>
        <v/>
      </c>
      <c r="AL527" s="66" t="str">
        <f t="shared" si="316"/>
        <v/>
      </c>
      <c r="AM527" s="67">
        <f t="shared" si="317"/>
        <v>-199</v>
      </c>
      <c r="AN527" s="61">
        <v>1</v>
      </c>
      <c r="AO527" s="66">
        <f t="shared" si="318"/>
        <v>199</v>
      </c>
      <c r="AP527" s="66" t="str">
        <f t="shared" si="319"/>
        <v/>
      </c>
      <c r="AQ527" s="67" t="str">
        <f t="shared" si="320"/>
        <v/>
      </c>
      <c r="AR527" s="61">
        <v>-1</v>
      </c>
      <c r="AS527" s="66" t="str">
        <f t="shared" si="321"/>
        <v/>
      </c>
      <c r="AT527" s="66" t="str">
        <f t="shared" si="322"/>
        <v/>
      </c>
      <c r="AU527" s="67">
        <f t="shared" si="323"/>
        <v>-199</v>
      </c>
      <c r="AV527" s="61">
        <v>-1</v>
      </c>
      <c r="AW527" s="66" t="str">
        <f t="shared" si="306"/>
        <v/>
      </c>
      <c r="AX527" s="66" t="str">
        <f t="shared" si="307"/>
        <v/>
      </c>
      <c r="AY527" s="67">
        <f t="shared" si="308"/>
        <v>-199</v>
      </c>
      <c r="AZ527" s="61">
        <v>-1</v>
      </c>
      <c r="BA527" s="66" t="str">
        <f t="shared" si="309"/>
        <v/>
      </c>
      <c r="BB527" s="66" t="str">
        <f t="shared" si="310"/>
        <v/>
      </c>
      <c r="BC527" s="67">
        <f t="shared" si="311"/>
        <v>-199</v>
      </c>
    </row>
    <row r="528" spans="30:55">
      <c r="AD528" s="68" t="str">
        <v>10</v>
      </c>
      <c r="AE528" s="61">
        <v>169.2</v>
      </c>
      <c r="AF528" s="61">
        <v>1</v>
      </c>
      <c r="AG528" s="66">
        <f t="shared" si="312"/>
        <v>169.2</v>
      </c>
      <c r="AH528" s="66" t="str">
        <f t="shared" si="313"/>
        <v/>
      </c>
      <c r="AI528" s="67" t="str">
        <f t="shared" si="314"/>
        <v/>
      </c>
      <c r="AJ528" s="61">
        <v>-1</v>
      </c>
      <c r="AK528" s="66" t="str">
        <f t="shared" si="315"/>
        <v/>
      </c>
      <c r="AL528" s="66" t="str">
        <f t="shared" si="316"/>
        <v/>
      </c>
      <c r="AM528" s="67">
        <f t="shared" si="317"/>
        <v>-169.2</v>
      </c>
      <c r="AN528" s="61">
        <v>1</v>
      </c>
      <c r="AO528" s="66">
        <f t="shared" si="318"/>
        <v>169.2</v>
      </c>
      <c r="AP528" s="66" t="str">
        <f t="shared" si="319"/>
        <v/>
      </c>
      <c r="AQ528" s="67" t="str">
        <f t="shared" si="320"/>
        <v/>
      </c>
      <c r="AR528" s="61">
        <v>-1</v>
      </c>
      <c r="AS528" s="66" t="str">
        <f t="shared" si="321"/>
        <v/>
      </c>
      <c r="AT528" s="66" t="str">
        <f t="shared" si="322"/>
        <v/>
      </c>
      <c r="AU528" s="67">
        <f t="shared" si="323"/>
        <v>-169.2</v>
      </c>
      <c r="AV528" s="61">
        <v>0</v>
      </c>
      <c r="AW528" s="66" t="str">
        <f t="shared" si="306"/>
        <v/>
      </c>
      <c r="AX528" s="66">
        <f t="shared" si="307"/>
        <v>0</v>
      </c>
      <c r="AY528" s="67" t="str">
        <f t="shared" si="308"/>
        <v/>
      </c>
      <c r="AZ528" s="61">
        <v>-1</v>
      </c>
      <c r="BA528" s="66" t="str">
        <f t="shared" si="309"/>
        <v/>
      </c>
      <c r="BB528" s="66" t="str">
        <f t="shared" si="310"/>
        <v/>
      </c>
      <c r="BC528" s="67">
        <f t="shared" si="311"/>
        <v>-169.2</v>
      </c>
    </row>
    <row r="529" spans="29:55">
      <c r="AD529" s="68" t="str">
        <v>11</v>
      </c>
      <c r="AE529" s="61">
        <v>142.19999999999999</v>
      </c>
      <c r="AF529" s="61">
        <v>1</v>
      </c>
      <c r="AG529" s="66">
        <f t="shared" si="312"/>
        <v>142.19999999999999</v>
      </c>
      <c r="AH529" s="66" t="str">
        <f t="shared" si="313"/>
        <v/>
      </c>
      <c r="AI529" s="67" t="str">
        <f t="shared" si="314"/>
        <v/>
      </c>
      <c r="AJ529" s="61">
        <v>-1</v>
      </c>
      <c r="AK529" s="66" t="str">
        <f t="shared" si="315"/>
        <v/>
      </c>
      <c r="AL529" s="66" t="str">
        <f t="shared" si="316"/>
        <v/>
      </c>
      <c r="AM529" s="67">
        <f t="shared" si="317"/>
        <v>-142.19999999999999</v>
      </c>
      <c r="AN529" s="61">
        <v>1</v>
      </c>
      <c r="AO529" s="66">
        <f t="shared" si="318"/>
        <v>142.19999999999999</v>
      </c>
      <c r="AP529" s="66" t="str">
        <f t="shared" si="319"/>
        <v/>
      </c>
      <c r="AQ529" s="67" t="str">
        <f t="shared" si="320"/>
        <v/>
      </c>
      <c r="AR529" s="61">
        <v>-1</v>
      </c>
      <c r="AS529" s="66" t="str">
        <f t="shared" si="321"/>
        <v/>
      </c>
      <c r="AT529" s="66" t="str">
        <f t="shared" si="322"/>
        <v/>
      </c>
      <c r="AU529" s="67">
        <f t="shared" si="323"/>
        <v>-142.19999999999999</v>
      </c>
      <c r="AV529" s="61">
        <v>1</v>
      </c>
      <c r="AW529" s="66">
        <f t="shared" si="306"/>
        <v>142.19999999999999</v>
      </c>
      <c r="AX529" s="66" t="str">
        <f t="shared" si="307"/>
        <v/>
      </c>
      <c r="AY529" s="67" t="str">
        <f t="shared" si="308"/>
        <v/>
      </c>
      <c r="AZ529" s="61">
        <v>-1</v>
      </c>
      <c r="BA529" s="66" t="str">
        <f t="shared" si="309"/>
        <v/>
      </c>
      <c r="BB529" s="66" t="str">
        <f t="shared" si="310"/>
        <v/>
      </c>
      <c r="BC529" s="67">
        <f t="shared" si="311"/>
        <v>-142.19999999999999</v>
      </c>
    </row>
    <row r="530" spans="29:55">
      <c r="AD530" s="68" t="str">
        <v>12</v>
      </c>
      <c r="AE530" s="61">
        <v>129.69999999999999</v>
      </c>
      <c r="AF530" s="61">
        <v>1</v>
      </c>
      <c r="AG530" s="66">
        <f t="shared" si="312"/>
        <v>129.69999999999999</v>
      </c>
      <c r="AH530" s="66" t="str">
        <f t="shared" si="313"/>
        <v/>
      </c>
      <c r="AI530" s="67" t="str">
        <f t="shared" si="314"/>
        <v/>
      </c>
      <c r="AJ530" s="61">
        <v>1</v>
      </c>
      <c r="AK530" s="66">
        <f t="shared" si="315"/>
        <v>129.69999999999999</v>
      </c>
      <c r="AL530" s="66" t="str">
        <f t="shared" si="316"/>
        <v/>
      </c>
      <c r="AM530" s="67" t="str">
        <f t="shared" si="317"/>
        <v/>
      </c>
      <c r="AN530" s="61">
        <v>1</v>
      </c>
      <c r="AO530" s="66">
        <f t="shared" si="318"/>
        <v>129.69999999999999</v>
      </c>
      <c r="AP530" s="66" t="str">
        <f t="shared" si="319"/>
        <v/>
      </c>
      <c r="AQ530" s="67" t="str">
        <f t="shared" si="320"/>
        <v/>
      </c>
      <c r="AR530" s="61">
        <v>1</v>
      </c>
      <c r="AS530" s="66">
        <f t="shared" si="321"/>
        <v>129.69999999999999</v>
      </c>
      <c r="AT530" s="66" t="str">
        <f t="shared" si="322"/>
        <v/>
      </c>
      <c r="AU530" s="67" t="str">
        <f t="shared" si="323"/>
        <v/>
      </c>
      <c r="AV530" s="61">
        <v>1</v>
      </c>
      <c r="AW530" s="66">
        <f t="shared" si="306"/>
        <v>129.69999999999999</v>
      </c>
      <c r="AX530" s="66" t="str">
        <f t="shared" si="307"/>
        <v/>
      </c>
      <c r="AY530" s="67" t="str">
        <f t="shared" si="308"/>
        <v/>
      </c>
      <c r="AZ530" s="61">
        <v>1</v>
      </c>
      <c r="BA530" s="66">
        <f t="shared" si="309"/>
        <v>129.69999999999999</v>
      </c>
      <c r="BB530" s="66" t="str">
        <f t="shared" si="310"/>
        <v/>
      </c>
      <c r="BC530" s="67" t="str">
        <f t="shared" si="311"/>
        <v/>
      </c>
    </row>
    <row r="531" spans="29:55">
      <c r="AD531" s="68" t="str">
        <v>13</v>
      </c>
      <c r="AE531" s="61">
        <v>129</v>
      </c>
      <c r="AF531" s="61">
        <v>1</v>
      </c>
      <c r="AG531" s="66">
        <f t="shared" si="312"/>
        <v>129</v>
      </c>
      <c r="AH531" s="66" t="str">
        <f t="shared" si="313"/>
        <v/>
      </c>
      <c r="AI531" s="67" t="str">
        <f t="shared" si="314"/>
        <v/>
      </c>
      <c r="AJ531" s="61">
        <v>1</v>
      </c>
      <c r="AK531" s="66">
        <f t="shared" si="315"/>
        <v>129</v>
      </c>
      <c r="AL531" s="66" t="str">
        <f t="shared" si="316"/>
        <v/>
      </c>
      <c r="AM531" s="67" t="str">
        <f t="shared" si="317"/>
        <v/>
      </c>
      <c r="AN531" s="61">
        <v>1</v>
      </c>
      <c r="AO531" s="66">
        <f t="shared" si="318"/>
        <v>129</v>
      </c>
      <c r="AP531" s="66" t="str">
        <f t="shared" si="319"/>
        <v/>
      </c>
      <c r="AQ531" s="67" t="str">
        <f t="shared" si="320"/>
        <v/>
      </c>
      <c r="AR531" s="61">
        <v>1</v>
      </c>
      <c r="AS531" s="66">
        <f t="shared" si="321"/>
        <v>129</v>
      </c>
      <c r="AT531" s="66" t="str">
        <f t="shared" si="322"/>
        <v/>
      </c>
      <c r="AU531" s="67" t="str">
        <f t="shared" si="323"/>
        <v/>
      </c>
      <c r="AV531" s="61">
        <v>0</v>
      </c>
      <c r="AW531" s="66" t="str">
        <f t="shared" si="306"/>
        <v/>
      </c>
      <c r="AX531" s="66">
        <f t="shared" si="307"/>
        <v>0</v>
      </c>
      <c r="AY531" s="67" t="str">
        <f t="shared" si="308"/>
        <v/>
      </c>
      <c r="AZ531" s="61">
        <v>1</v>
      </c>
      <c r="BA531" s="66">
        <f t="shared" si="309"/>
        <v>129</v>
      </c>
      <c r="BB531" s="66" t="str">
        <f t="shared" si="310"/>
        <v/>
      </c>
      <c r="BC531" s="67" t="str">
        <f t="shared" si="311"/>
        <v/>
      </c>
    </row>
    <row r="532" spans="29:55">
      <c r="AD532" s="68" t="str">
        <v>14</v>
      </c>
      <c r="AE532" s="61">
        <v>138.6</v>
      </c>
      <c r="AF532" s="61">
        <v>1</v>
      </c>
      <c r="AG532" s="66">
        <f t="shared" si="312"/>
        <v>138.6</v>
      </c>
      <c r="AH532" s="66" t="str">
        <f t="shared" si="313"/>
        <v/>
      </c>
      <c r="AI532" s="67" t="str">
        <f t="shared" si="314"/>
        <v/>
      </c>
      <c r="AJ532" s="61">
        <v>1</v>
      </c>
      <c r="AK532" s="66">
        <f t="shared" si="315"/>
        <v>138.6</v>
      </c>
      <c r="AL532" s="66" t="str">
        <f t="shared" si="316"/>
        <v/>
      </c>
      <c r="AM532" s="67" t="str">
        <f t="shared" si="317"/>
        <v/>
      </c>
      <c r="AN532" s="61">
        <v>1</v>
      </c>
      <c r="AO532" s="66">
        <f t="shared" si="318"/>
        <v>138.6</v>
      </c>
      <c r="AP532" s="66" t="str">
        <f t="shared" si="319"/>
        <v/>
      </c>
      <c r="AQ532" s="67" t="str">
        <f t="shared" si="320"/>
        <v/>
      </c>
      <c r="AR532" s="61">
        <v>1</v>
      </c>
      <c r="AS532" s="66">
        <f t="shared" si="321"/>
        <v>138.6</v>
      </c>
      <c r="AT532" s="66" t="str">
        <f t="shared" si="322"/>
        <v/>
      </c>
      <c r="AU532" s="67" t="str">
        <f t="shared" si="323"/>
        <v/>
      </c>
      <c r="AV532" s="61">
        <v>-1</v>
      </c>
      <c r="AW532" s="66" t="str">
        <f t="shared" si="306"/>
        <v/>
      </c>
      <c r="AX532" s="66" t="str">
        <f t="shared" si="307"/>
        <v/>
      </c>
      <c r="AY532" s="67">
        <f t="shared" si="308"/>
        <v>-138.6</v>
      </c>
      <c r="AZ532" s="61">
        <v>1</v>
      </c>
      <c r="BA532" s="66">
        <f t="shared" si="309"/>
        <v>138.6</v>
      </c>
      <c r="BB532" s="66" t="str">
        <f t="shared" si="310"/>
        <v/>
      </c>
      <c r="BC532" s="67" t="str">
        <f t="shared" si="311"/>
        <v/>
      </c>
    </row>
    <row r="533" spans="29:55">
      <c r="AD533" s="68" t="str">
        <v>15</v>
      </c>
      <c r="AE533" s="61">
        <v>149.70000000000002</v>
      </c>
      <c r="AF533" s="61">
        <v>1</v>
      </c>
      <c r="AG533" s="66">
        <f t="shared" si="312"/>
        <v>149.70000000000002</v>
      </c>
      <c r="AH533" s="66" t="str">
        <f t="shared" si="313"/>
        <v/>
      </c>
      <c r="AI533" s="67" t="str">
        <f t="shared" si="314"/>
        <v/>
      </c>
      <c r="AJ533" s="61">
        <v>1</v>
      </c>
      <c r="AK533" s="66">
        <f t="shared" si="315"/>
        <v>149.70000000000002</v>
      </c>
      <c r="AL533" s="66" t="str">
        <f t="shared" si="316"/>
        <v/>
      </c>
      <c r="AM533" s="67" t="str">
        <f t="shared" si="317"/>
        <v/>
      </c>
      <c r="AN533" s="61">
        <v>-1</v>
      </c>
      <c r="AO533" s="66" t="str">
        <f t="shared" si="318"/>
        <v/>
      </c>
      <c r="AP533" s="66" t="str">
        <f t="shared" si="319"/>
        <v/>
      </c>
      <c r="AQ533" s="67">
        <f t="shared" si="320"/>
        <v>-149.70000000000002</v>
      </c>
      <c r="AR533" s="61">
        <v>1</v>
      </c>
      <c r="AS533" s="66">
        <f t="shared" si="321"/>
        <v>149.70000000000002</v>
      </c>
      <c r="AT533" s="66" t="str">
        <f t="shared" si="322"/>
        <v/>
      </c>
      <c r="AU533" s="67" t="str">
        <f t="shared" si="323"/>
        <v/>
      </c>
      <c r="AV533" s="61">
        <v>-1</v>
      </c>
      <c r="AW533" s="66" t="str">
        <f t="shared" si="306"/>
        <v/>
      </c>
      <c r="AX533" s="66" t="str">
        <f t="shared" si="307"/>
        <v/>
      </c>
      <c r="AY533" s="67">
        <f t="shared" si="308"/>
        <v>-149.70000000000002</v>
      </c>
      <c r="AZ533" s="61">
        <v>-1</v>
      </c>
      <c r="BA533" s="66" t="str">
        <f t="shared" si="309"/>
        <v/>
      </c>
      <c r="BB533" s="66" t="str">
        <f t="shared" si="310"/>
        <v/>
      </c>
      <c r="BC533" s="67">
        <f t="shared" si="311"/>
        <v>-149.70000000000002</v>
      </c>
    </row>
    <row r="534" spans="29:55">
      <c r="AD534" s="68" t="str">
        <v>16</v>
      </c>
      <c r="AE534" s="61">
        <v>157.80000000000001</v>
      </c>
      <c r="AF534" s="61">
        <v>1</v>
      </c>
      <c r="AG534" s="66">
        <f t="shared" si="312"/>
        <v>157.80000000000001</v>
      </c>
      <c r="AH534" s="66" t="str">
        <f t="shared" si="313"/>
        <v/>
      </c>
      <c r="AI534" s="67" t="str">
        <f t="shared" si="314"/>
        <v/>
      </c>
      <c r="AJ534" s="61">
        <v>1</v>
      </c>
      <c r="AK534" s="66">
        <f t="shared" si="315"/>
        <v>157.80000000000001</v>
      </c>
      <c r="AL534" s="66" t="str">
        <f t="shared" si="316"/>
        <v/>
      </c>
      <c r="AM534" s="67" t="str">
        <f t="shared" si="317"/>
        <v/>
      </c>
      <c r="AN534" s="61">
        <v>-1</v>
      </c>
      <c r="AO534" s="66" t="str">
        <f t="shared" si="318"/>
        <v/>
      </c>
      <c r="AP534" s="66" t="str">
        <f t="shared" si="319"/>
        <v/>
      </c>
      <c r="AQ534" s="67">
        <f t="shared" si="320"/>
        <v>-157.80000000000001</v>
      </c>
      <c r="AR534" s="61">
        <v>1</v>
      </c>
      <c r="AS534" s="66">
        <f t="shared" si="321"/>
        <v>157.80000000000001</v>
      </c>
      <c r="AT534" s="66" t="str">
        <f t="shared" si="322"/>
        <v/>
      </c>
      <c r="AU534" s="67" t="str">
        <f t="shared" si="323"/>
        <v/>
      </c>
      <c r="AV534" s="61">
        <v>0</v>
      </c>
      <c r="AW534" s="66" t="str">
        <f t="shared" si="306"/>
        <v/>
      </c>
      <c r="AX534" s="66">
        <f t="shared" si="307"/>
        <v>0</v>
      </c>
      <c r="AY534" s="67" t="str">
        <f t="shared" si="308"/>
        <v/>
      </c>
      <c r="AZ534" s="61">
        <v>-1</v>
      </c>
      <c r="BA534" s="66" t="str">
        <f t="shared" si="309"/>
        <v/>
      </c>
      <c r="BB534" s="66" t="str">
        <f t="shared" si="310"/>
        <v/>
      </c>
      <c r="BC534" s="67">
        <f t="shared" si="311"/>
        <v>-157.80000000000001</v>
      </c>
    </row>
    <row r="535" spans="29:55">
      <c r="AD535" s="68" t="str">
        <v>17</v>
      </c>
      <c r="AE535" s="61">
        <v>157.5</v>
      </c>
      <c r="AF535" s="61">
        <v>1</v>
      </c>
      <c r="AG535" s="66">
        <f t="shared" si="312"/>
        <v>157.5</v>
      </c>
      <c r="AH535" s="66" t="str">
        <f t="shared" si="313"/>
        <v/>
      </c>
      <c r="AI535" s="67" t="str">
        <f t="shared" si="314"/>
        <v/>
      </c>
      <c r="AJ535" s="61">
        <v>1</v>
      </c>
      <c r="AK535" s="66">
        <f t="shared" si="315"/>
        <v>157.5</v>
      </c>
      <c r="AL535" s="66" t="str">
        <f t="shared" si="316"/>
        <v/>
      </c>
      <c r="AM535" s="67" t="str">
        <f t="shared" si="317"/>
        <v/>
      </c>
      <c r="AN535" s="61">
        <v>-1</v>
      </c>
      <c r="AO535" s="66" t="str">
        <f t="shared" si="318"/>
        <v/>
      </c>
      <c r="AP535" s="66" t="str">
        <f t="shared" si="319"/>
        <v/>
      </c>
      <c r="AQ535" s="67">
        <f t="shared" si="320"/>
        <v>-157.5</v>
      </c>
      <c r="AR535" s="61">
        <v>1</v>
      </c>
      <c r="AS535" s="66">
        <f t="shared" si="321"/>
        <v>157.5</v>
      </c>
      <c r="AT535" s="66" t="str">
        <f t="shared" si="322"/>
        <v/>
      </c>
      <c r="AU535" s="67" t="str">
        <f t="shared" si="323"/>
        <v/>
      </c>
      <c r="AV535" s="61">
        <v>1</v>
      </c>
      <c r="AW535" s="66">
        <f t="shared" si="306"/>
        <v>157.5</v>
      </c>
      <c r="AX535" s="66" t="str">
        <f t="shared" si="307"/>
        <v/>
      </c>
      <c r="AY535" s="67" t="str">
        <f t="shared" si="308"/>
        <v/>
      </c>
      <c r="AZ535" s="61">
        <v>-1</v>
      </c>
      <c r="BA535" s="66" t="str">
        <f t="shared" si="309"/>
        <v/>
      </c>
      <c r="BB535" s="66" t="str">
        <f t="shared" si="310"/>
        <v/>
      </c>
      <c r="BC535" s="67">
        <f t="shared" si="311"/>
        <v>-157.5</v>
      </c>
    </row>
    <row r="536" spans="29:55">
      <c r="AD536" s="68" t="str">
        <v>18</v>
      </c>
      <c r="AE536" s="61">
        <v>146.9</v>
      </c>
      <c r="AF536" s="61">
        <v>-1</v>
      </c>
      <c r="AG536" s="66" t="str">
        <f t="shared" si="312"/>
        <v/>
      </c>
      <c r="AH536" s="66" t="str">
        <f t="shared" si="313"/>
        <v/>
      </c>
      <c r="AI536" s="67">
        <f t="shared" si="314"/>
        <v>-146.9</v>
      </c>
      <c r="AJ536" s="61">
        <v>1</v>
      </c>
      <c r="AK536" s="66">
        <f t="shared" si="315"/>
        <v>146.9</v>
      </c>
      <c r="AL536" s="66" t="str">
        <f t="shared" si="316"/>
        <v/>
      </c>
      <c r="AM536" s="67" t="str">
        <f t="shared" si="317"/>
        <v/>
      </c>
      <c r="AN536" s="61">
        <v>-1</v>
      </c>
      <c r="AO536" s="66" t="str">
        <f t="shared" si="318"/>
        <v/>
      </c>
      <c r="AP536" s="66" t="str">
        <f t="shared" si="319"/>
        <v/>
      </c>
      <c r="AQ536" s="67">
        <f t="shared" si="320"/>
        <v>-146.9</v>
      </c>
      <c r="AR536" s="61">
        <v>-1</v>
      </c>
      <c r="AS536" s="66" t="str">
        <f t="shared" si="321"/>
        <v/>
      </c>
      <c r="AT536" s="66" t="str">
        <f t="shared" si="322"/>
        <v/>
      </c>
      <c r="AU536" s="67">
        <f t="shared" si="323"/>
        <v>-146.9</v>
      </c>
      <c r="AV536" s="61">
        <v>1</v>
      </c>
      <c r="AW536" s="66">
        <f t="shared" si="306"/>
        <v>146.9</v>
      </c>
      <c r="AX536" s="66" t="str">
        <f t="shared" si="307"/>
        <v/>
      </c>
      <c r="AY536" s="67" t="str">
        <f t="shared" si="308"/>
        <v/>
      </c>
      <c r="AZ536" s="61">
        <v>1</v>
      </c>
      <c r="BA536" s="66">
        <f t="shared" si="309"/>
        <v>146.9</v>
      </c>
      <c r="BB536" s="66" t="str">
        <f t="shared" si="310"/>
        <v/>
      </c>
      <c r="BC536" s="67" t="str">
        <f t="shared" si="311"/>
        <v/>
      </c>
    </row>
    <row r="537" spans="29:55">
      <c r="AD537" s="68" t="str">
        <v>19</v>
      </c>
      <c r="AE537" s="61">
        <v>131.9</v>
      </c>
      <c r="AF537" s="61">
        <v>-1</v>
      </c>
      <c r="AG537" s="66" t="str">
        <f t="shared" si="312"/>
        <v/>
      </c>
      <c r="AH537" s="66" t="str">
        <f t="shared" si="313"/>
        <v/>
      </c>
      <c r="AI537" s="67">
        <f t="shared" si="314"/>
        <v>-131.9</v>
      </c>
      <c r="AJ537" s="61">
        <v>1</v>
      </c>
      <c r="AK537" s="66">
        <f t="shared" si="315"/>
        <v>131.9</v>
      </c>
      <c r="AL537" s="66" t="str">
        <f t="shared" si="316"/>
        <v/>
      </c>
      <c r="AM537" s="67" t="str">
        <f t="shared" si="317"/>
        <v/>
      </c>
      <c r="AN537" s="61">
        <v>-1</v>
      </c>
      <c r="AO537" s="66" t="str">
        <f t="shared" si="318"/>
        <v/>
      </c>
      <c r="AP537" s="66" t="str">
        <f t="shared" si="319"/>
        <v/>
      </c>
      <c r="AQ537" s="67">
        <f t="shared" si="320"/>
        <v>-131.9</v>
      </c>
      <c r="AR537" s="61">
        <v>-1</v>
      </c>
      <c r="AS537" s="66" t="str">
        <f t="shared" si="321"/>
        <v/>
      </c>
      <c r="AT537" s="66" t="str">
        <f t="shared" si="322"/>
        <v/>
      </c>
      <c r="AU537" s="67">
        <f t="shared" si="323"/>
        <v>-131.9</v>
      </c>
      <c r="AV537" s="61">
        <v>0</v>
      </c>
      <c r="AW537" s="66" t="str">
        <f t="shared" si="306"/>
        <v/>
      </c>
      <c r="AX537" s="66">
        <f t="shared" si="307"/>
        <v>0</v>
      </c>
      <c r="AY537" s="67" t="str">
        <f t="shared" si="308"/>
        <v/>
      </c>
      <c r="AZ537" s="61">
        <v>1</v>
      </c>
      <c r="BA537" s="66">
        <f t="shared" si="309"/>
        <v>131.9</v>
      </c>
      <c r="BB537" s="66" t="str">
        <f t="shared" si="310"/>
        <v/>
      </c>
      <c r="BC537" s="67" t="str">
        <f t="shared" si="311"/>
        <v/>
      </c>
    </row>
    <row r="538" spans="29:55">
      <c r="AD538" s="68" t="str">
        <v>20</v>
      </c>
      <c r="AE538" s="61">
        <v>113.39999999999999</v>
      </c>
      <c r="AF538" s="61">
        <v>-1</v>
      </c>
      <c r="AG538" s="66" t="str">
        <f t="shared" si="312"/>
        <v/>
      </c>
      <c r="AH538" s="66" t="str">
        <f t="shared" si="313"/>
        <v/>
      </c>
      <c r="AI538" s="67">
        <f t="shared" si="314"/>
        <v>-113.39999999999999</v>
      </c>
      <c r="AJ538" s="61">
        <v>1</v>
      </c>
      <c r="AK538" s="66">
        <f t="shared" si="315"/>
        <v>113.39999999999999</v>
      </c>
      <c r="AL538" s="66" t="str">
        <f t="shared" si="316"/>
        <v/>
      </c>
      <c r="AM538" s="67" t="str">
        <f t="shared" si="317"/>
        <v/>
      </c>
      <c r="AN538" s="61">
        <v>-1</v>
      </c>
      <c r="AO538" s="66" t="str">
        <f t="shared" si="318"/>
        <v/>
      </c>
      <c r="AP538" s="66" t="str">
        <f t="shared" si="319"/>
        <v/>
      </c>
      <c r="AQ538" s="67">
        <f t="shared" si="320"/>
        <v>-113.39999999999999</v>
      </c>
      <c r="AR538" s="61">
        <v>-1</v>
      </c>
      <c r="AS538" s="66" t="str">
        <f t="shared" si="321"/>
        <v/>
      </c>
      <c r="AT538" s="66" t="str">
        <f t="shared" si="322"/>
        <v/>
      </c>
      <c r="AU538" s="67">
        <f t="shared" si="323"/>
        <v>-113.39999999999999</v>
      </c>
      <c r="AV538" s="61">
        <v>-1</v>
      </c>
      <c r="AW538" s="66" t="str">
        <f t="shared" si="306"/>
        <v/>
      </c>
      <c r="AX538" s="66" t="str">
        <f t="shared" si="307"/>
        <v/>
      </c>
      <c r="AY538" s="67">
        <f t="shared" si="308"/>
        <v>-113.39999999999999</v>
      </c>
      <c r="AZ538" s="61">
        <v>1</v>
      </c>
      <c r="BA538" s="66">
        <f t="shared" si="309"/>
        <v>113.39999999999999</v>
      </c>
      <c r="BB538" s="66" t="str">
        <f t="shared" si="310"/>
        <v/>
      </c>
      <c r="BC538" s="67" t="str">
        <f t="shared" si="311"/>
        <v/>
      </c>
    </row>
    <row r="539" spans="29:55">
      <c r="AD539" s="68" t="str">
        <v>21</v>
      </c>
      <c r="AE539" s="61">
        <v>94.699999999999989</v>
      </c>
      <c r="AF539" s="61">
        <v>-1</v>
      </c>
      <c r="AG539" s="66" t="str">
        <f t="shared" si="312"/>
        <v/>
      </c>
      <c r="AH539" s="66" t="str">
        <f t="shared" si="313"/>
        <v/>
      </c>
      <c r="AI539" s="67">
        <f t="shared" si="314"/>
        <v>-94.699999999999989</v>
      </c>
      <c r="AJ539" s="61">
        <v>1</v>
      </c>
      <c r="AK539" s="66">
        <f t="shared" si="315"/>
        <v>94.699999999999989</v>
      </c>
      <c r="AL539" s="66" t="str">
        <f t="shared" si="316"/>
        <v/>
      </c>
      <c r="AM539" s="67" t="str">
        <f t="shared" si="317"/>
        <v/>
      </c>
      <c r="AN539" s="61">
        <v>1</v>
      </c>
      <c r="AO539" s="66">
        <f t="shared" si="318"/>
        <v>94.699999999999989</v>
      </c>
      <c r="AP539" s="66" t="str">
        <f t="shared" si="319"/>
        <v/>
      </c>
      <c r="AQ539" s="67" t="str">
        <f t="shared" si="320"/>
        <v/>
      </c>
      <c r="AR539" s="61">
        <v>-1</v>
      </c>
      <c r="AS539" s="66" t="str">
        <f t="shared" si="321"/>
        <v/>
      </c>
      <c r="AT539" s="66" t="str">
        <f t="shared" si="322"/>
        <v/>
      </c>
      <c r="AU539" s="67">
        <f t="shared" si="323"/>
        <v>-94.699999999999989</v>
      </c>
      <c r="AV539" s="61">
        <v>-1</v>
      </c>
      <c r="AW539" s="66" t="str">
        <f t="shared" si="306"/>
        <v/>
      </c>
      <c r="AX539" s="66" t="str">
        <f t="shared" si="307"/>
        <v/>
      </c>
      <c r="AY539" s="67">
        <f t="shared" si="308"/>
        <v>-94.699999999999989</v>
      </c>
      <c r="AZ539" s="61">
        <v>-1</v>
      </c>
      <c r="BA539" s="66" t="str">
        <f t="shared" si="309"/>
        <v/>
      </c>
      <c r="BB539" s="66" t="str">
        <f t="shared" si="310"/>
        <v/>
      </c>
      <c r="BC539" s="67">
        <f t="shared" si="311"/>
        <v>-94.699999999999989</v>
      </c>
    </row>
    <row r="540" spans="29:55">
      <c r="AD540" s="68" t="str">
        <v>22</v>
      </c>
      <c r="AE540" s="61">
        <v>78.100000000000009</v>
      </c>
      <c r="AF540" s="61">
        <v>-1</v>
      </c>
      <c r="AG540" s="66" t="str">
        <f t="shared" si="312"/>
        <v/>
      </c>
      <c r="AH540" s="66" t="str">
        <f t="shared" si="313"/>
        <v/>
      </c>
      <c r="AI540" s="67">
        <f t="shared" si="314"/>
        <v>-78.100000000000009</v>
      </c>
      <c r="AJ540" s="61">
        <v>1</v>
      </c>
      <c r="AK540" s="66">
        <f t="shared" si="315"/>
        <v>78.100000000000009</v>
      </c>
      <c r="AL540" s="66" t="str">
        <f t="shared" si="316"/>
        <v/>
      </c>
      <c r="AM540" s="67" t="str">
        <f t="shared" si="317"/>
        <v/>
      </c>
      <c r="AN540" s="61">
        <v>1</v>
      </c>
      <c r="AO540" s="66">
        <f t="shared" si="318"/>
        <v>78.100000000000009</v>
      </c>
      <c r="AP540" s="66" t="str">
        <f t="shared" si="319"/>
        <v/>
      </c>
      <c r="AQ540" s="67" t="str">
        <f t="shared" si="320"/>
        <v/>
      </c>
      <c r="AR540" s="61">
        <v>-1</v>
      </c>
      <c r="AS540" s="66" t="str">
        <f t="shared" si="321"/>
        <v/>
      </c>
      <c r="AT540" s="66" t="str">
        <f t="shared" si="322"/>
        <v/>
      </c>
      <c r="AU540" s="67">
        <f t="shared" si="323"/>
        <v>-78.100000000000009</v>
      </c>
      <c r="AV540" s="61">
        <v>0</v>
      </c>
      <c r="AW540" s="66" t="str">
        <f t="shared" si="306"/>
        <v/>
      </c>
      <c r="AX540" s="66">
        <f t="shared" si="307"/>
        <v>0</v>
      </c>
      <c r="AY540" s="67" t="str">
        <f t="shared" si="308"/>
        <v/>
      </c>
      <c r="AZ540" s="61">
        <v>-1</v>
      </c>
      <c r="BA540" s="66" t="str">
        <f t="shared" si="309"/>
        <v/>
      </c>
      <c r="BB540" s="66" t="str">
        <f t="shared" si="310"/>
        <v/>
      </c>
      <c r="BC540" s="67">
        <f t="shared" si="311"/>
        <v>-78.100000000000009</v>
      </c>
    </row>
    <row r="541" spans="29:55">
      <c r="AD541" s="68" t="str">
        <v>23</v>
      </c>
      <c r="AE541" s="61">
        <v>74.8</v>
      </c>
      <c r="AF541" s="61">
        <v>-1</v>
      </c>
      <c r="AG541" s="66" t="str">
        <f t="shared" si="312"/>
        <v/>
      </c>
      <c r="AH541" s="66" t="str">
        <f t="shared" si="313"/>
        <v/>
      </c>
      <c r="AI541" s="67">
        <f t="shared" si="314"/>
        <v>-74.8</v>
      </c>
      <c r="AJ541" s="61">
        <v>1</v>
      </c>
      <c r="AK541" s="66">
        <f t="shared" si="315"/>
        <v>74.8</v>
      </c>
      <c r="AL541" s="66" t="str">
        <f t="shared" si="316"/>
        <v/>
      </c>
      <c r="AM541" s="67" t="str">
        <f t="shared" si="317"/>
        <v/>
      </c>
      <c r="AN541" s="61">
        <v>1</v>
      </c>
      <c r="AO541" s="66">
        <f t="shared" si="318"/>
        <v>74.8</v>
      </c>
      <c r="AP541" s="66" t="str">
        <f t="shared" si="319"/>
        <v/>
      </c>
      <c r="AQ541" s="67" t="str">
        <f t="shared" si="320"/>
        <v/>
      </c>
      <c r="AR541" s="61">
        <v>-1</v>
      </c>
      <c r="AS541" s="66" t="str">
        <f t="shared" si="321"/>
        <v/>
      </c>
      <c r="AT541" s="66" t="str">
        <f t="shared" si="322"/>
        <v/>
      </c>
      <c r="AU541" s="67">
        <f t="shared" si="323"/>
        <v>-74.8</v>
      </c>
      <c r="AV541" s="61">
        <v>1</v>
      </c>
      <c r="AW541" s="66">
        <f t="shared" si="306"/>
        <v>74.8</v>
      </c>
      <c r="AX541" s="66" t="str">
        <f t="shared" si="307"/>
        <v/>
      </c>
      <c r="AY541" s="67" t="str">
        <f t="shared" si="308"/>
        <v/>
      </c>
      <c r="AZ541" s="61">
        <v>-1</v>
      </c>
      <c r="BA541" s="66" t="str">
        <f t="shared" si="309"/>
        <v/>
      </c>
      <c r="BB541" s="66" t="str">
        <f t="shared" si="310"/>
        <v/>
      </c>
      <c r="BC541" s="67">
        <f t="shared" si="311"/>
        <v>-74.8</v>
      </c>
    </row>
    <row r="542" spans="29:55" ht="15.75" thickBot="1">
      <c r="AC542" s="476">
        <f>AD514</f>
        <v>44726</v>
      </c>
      <c r="AD542" s="69" t="s">
        <v>85</v>
      </c>
      <c r="AE542" s="70">
        <f>SUM(AE518:AE541)</f>
        <v>3984.9999999999995</v>
      </c>
      <c r="AF542" s="70"/>
      <c r="AG542" s="71">
        <f>ABS(SUM(AG518:AG541))</f>
        <v>2139.1</v>
      </c>
      <c r="AH542" s="70"/>
      <c r="AI542" s="72">
        <f>ABS(SUM(AI518:AI541))</f>
        <v>1845.9</v>
      </c>
      <c r="AJ542" s="70"/>
      <c r="AK542" s="71">
        <f>ABS(SUM(AK518:AK541))</f>
        <v>1502.1</v>
      </c>
      <c r="AL542" s="70"/>
      <c r="AM542" s="72">
        <f>ABS(SUM(AM518:AM541))</f>
        <v>2482.8999999999996</v>
      </c>
      <c r="AN542" s="70"/>
      <c r="AO542" s="71">
        <f>ABS(SUM(AO518:AO541))</f>
        <v>1607.3</v>
      </c>
      <c r="AP542" s="70"/>
      <c r="AQ542" s="72">
        <f>ABS(SUM(AQ518:AQ541))</f>
        <v>2377.7000000000003</v>
      </c>
      <c r="AR542" s="70"/>
      <c r="AS542" s="71">
        <f>ABS(SUM(AS518:AS541))</f>
        <v>2068.3999999999996</v>
      </c>
      <c r="AT542" s="70"/>
      <c r="AU542" s="72">
        <f>ABS(SUM(AU518:AU541))</f>
        <v>1916.6000000000001</v>
      </c>
      <c r="AV542" s="70"/>
      <c r="AW542" s="71">
        <f>ABS(SUM(AW518:AW541))</f>
        <v>1314.7</v>
      </c>
      <c r="AX542" s="70"/>
      <c r="AY542" s="72">
        <f>ABS(SUM(AY518:AY541))</f>
        <v>1340.1000000000001</v>
      </c>
      <c r="AZ542" s="70"/>
      <c r="BA542" s="71">
        <f>ABS(SUM(BA518:BA541))</f>
        <v>2007.9000000000003</v>
      </c>
      <c r="BB542" s="70"/>
      <c r="BC542" s="72">
        <f>ABS(SUM(BC518:BC541))</f>
        <v>1977.1</v>
      </c>
    </row>
    <row r="544" spans="29:55" ht="15" thickBot="1">
      <c r="AD544" s="476">
        <f>skemA1!B23</f>
        <v>44727</v>
      </c>
    </row>
    <row r="545" spans="30:55" ht="15" thickBot="1">
      <c r="AD545" s="677" t="s">
        <v>75</v>
      </c>
      <c r="AE545" s="60" t="s">
        <v>558</v>
      </c>
      <c r="AF545" s="672" t="s">
        <v>559</v>
      </c>
      <c r="AG545" s="672"/>
      <c r="AH545" s="672"/>
      <c r="AI545" s="673"/>
      <c r="AJ545" s="672" t="s">
        <v>562</v>
      </c>
      <c r="AK545" s="672"/>
      <c r="AL545" s="672"/>
      <c r="AM545" s="673"/>
      <c r="AN545" s="672" t="s">
        <v>563</v>
      </c>
      <c r="AO545" s="672"/>
      <c r="AP545" s="672"/>
      <c r="AQ545" s="673"/>
      <c r="AR545" s="672" t="s">
        <v>564</v>
      </c>
      <c r="AS545" s="672"/>
      <c r="AT545" s="672"/>
      <c r="AU545" s="673"/>
      <c r="AV545" s="672" t="s">
        <v>565</v>
      </c>
      <c r="AW545" s="672"/>
      <c r="AX545" s="672"/>
      <c r="AY545" s="673"/>
      <c r="AZ545" s="672" t="s">
        <v>566</v>
      </c>
      <c r="BA545" s="672"/>
      <c r="BB545" s="672"/>
      <c r="BC545" s="673"/>
    </row>
    <row r="546" spans="30:55" ht="15" thickBot="1">
      <c r="AD546" s="677"/>
      <c r="AE546" s="61"/>
      <c r="AF546" s="674" t="s">
        <v>561</v>
      </c>
      <c r="AG546" s="670" t="s">
        <v>560</v>
      </c>
      <c r="AH546" s="670"/>
      <c r="AI546" s="671"/>
      <c r="AJ546" s="674" t="s">
        <v>561</v>
      </c>
      <c r="AK546" s="670" t="s">
        <v>560</v>
      </c>
      <c r="AL546" s="670"/>
      <c r="AM546" s="671"/>
      <c r="AN546" s="674" t="s">
        <v>561</v>
      </c>
      <c r="AO546" s="670" t="s">
        <v>560</v>
      </c>
      <c r="AP546" s="670"/>
      <c r="AQ546" s="671"/>
      <c r="AR546" s="674" t="s">
        <v>561</v>
      </c>
      <c r="AS546" s="670" t="s">
        <v>560</v>
      </c>
      <c r="AT546" s="670"/>
      <c r="AU546" s="671"/>
      <c r="AV546" s="674" t="s">
        <v>561</v>
      </c>
      <c r="AW546" s="670" t="s">
        <v>560</v>
      </c>
      <c r="AX546" s="670"/>
      <c r="AY546" s="671"/>
      <c r="AZ546" s="674" t="s">
        <v>561</v>
      </c>
      <c r="BA546" s="670" t="s">
        <v>560</v>
      </c>
      <c r="BB546" s="670"/>
      <c r="BC546" s="671"/>
    </row>
    <row r="547" spans="30:55">
      <c r="AD547" s="677"/>
      <c r="AE547" s="62"/>
      <c r="AF547" s="674"/>
      <c r="AG547" s="63" t="s">
        <v>76</v>
      </c>
      <c r="AH547" s="63">
        <v>0</v>
      </c>
      <c r="AI547" s="64" t="s">
        <v>77</v>
      </c>
      <c r="AJ547" s="674"/>
      <c r="AK547" s="63" t="s">
        <v>76</v>
      </c>
      <c r="AL547" s="63">
        <v>0</v>
      </c>
      <c r="AM547" s="64" t="s">
        <v>77</v>
      </c>
      <c r="AN547" s="674"/>
      <c r="AO547" s="63" t="s">
        <v>76</v>
      </c>
      <c r="AP547" s="63">
        <v>0</v>
      </c>
      <c r="AQ547" s="64" t="s">
        <v>77</v>
      </c>
      <c r="AR547" s="674"/>
      <c r="AS547" s="63" t="s">
        <v>76</v>
      </c>
      <c r="AT547" s="63">
        <v>0</v>
      </c>
      <c r="AU547" s="64" t="s">
        <v>77</v>
      </c>
      <c r="AV547" s="674"/>
      <c r="AW547" s="63" t="s">
        <v>76</v>
      </c>
      <c r="AX547" s="63">
        <v>0</v>
      </c>
      <c r="AY547" s="64" t="s">
        <v>77</v>
      </c>
      <c r="AZ547" s="674"/>
      <c r="BA547" s="63" t="s">
        <v>76</v>
      </c>
      <c r="BB547" s="63">
        <v>0</v>
      </c>
      <c r="BC547" s="64" t="s">
        <v>77</v>
      </c>
    </row>
    <row r="548" spans="30:55">
      <c r="AD548" s="65" t="str">
        <f t="array" ref="AD548:AD571">TRANSPOSE($C$5:$Z$5)</f>
        <v>00</v>
      </c>
      <c r="AE548" s="66">
        <f t="array" ref="AE548:AE571">TRANSPOSE(skemA1!$C$23:$Z$23)</f>
        <v>88.9</v>
      </c>
      <c r="AF548" s="66">
        <f t="array" ref="AF548:AF571">TRANSPOSE($C$6:$Z$6)</f>
        <v>-1</v>
      </c>
      <c r="AG548" s="66" t="str">
        <f>IF(AF548&gt;0,AF548*$AE548,"")</f>
        <v/>
      </c>
      <c r="AH548" s="66" t="str">
        <f>IF(AF548=0,AF548*$AE548,"")</f>
        <v/>
      </c>
      <c r="AI548" s="67">
        <f>IF(AF548&lt;0,AF548*$AE548,"")</f>
        <v>-88.9</v>
      </c>
      <c r="AJ548" s="66">
        <f t="array" ref="AJ548:AJ571">TRANSPOSE($C$7:$Z$7)</f>
        <v>-1</v>
      </c>
      <c r="AK548" s="66" t="str">
        <f>IF(AJ548&gt;0,AJ548*$AE548,"")</f>
        <v/>
      </c>
      <c r="AL548" s="66" t="str">
        <f>IF(AJ548=0,AJ548*$AE548,"")</f>
        <v/>
      </c>
      <c r="AM548" s="67">
        <f>IF(AJ548&lt;0,AJ548*$AE548,"")</f>
        <v>-88.9</v>
      </c>
      <c r="AN548" s="66">
        <f t="array" ref="AN548:AN571">TRANSPOSE($C$8:$Z$8)</f>
        <v>1</v>
      </c>
      <c r="AO548" s="66">
        <f>IF(AN548&gt;0,AN548*$AE548,"")</f>
        <v>88.9</v>
      </c>
      <c r="AP548" s="66" t="str">
        <f>IF(AN548=0,AN548*$AE548,"")</f>
        <v/>
      </c>
      <c r="AQ548" s="67" t="str">
        <f>IF(AN548&lt;0,AN548*$AE548,"")</f>
        <v/>
      </c>
      <c r="AR548" s="66">
        <f t="array" ref="AR548:AR571">TRANSPOSE($C$9:$Z$9)</f>
        <v>1</v>
      </c>
      <c r="AS548" s="66">
        <f>IF(AR548&gt;0,AR548*$AE548,"")</f>
        <v>88.9</v>
      </c>
      <c r="AT548" s="66" t="str">
        <f>IF(AR548=0,AR548*$AE548,"")</f>
        <v/>
      </c>
      <c r="AU548" s="67" t="str">
        <f>IF(AR548&lt;0,AR548*$AE548,"")</f>
        <v/>
      </c>
      <c r="AV548" s="66">
        <f t="array" ref="AV548:AV571">TRANSPOSE($C$10:$Z$10)</f>
        <v>1</v>
      </c>
      <c r="AW548" s="66">
        <f t="shared" ref="AW548:AW571" si="324">IF(AV548&gt;0,AV548*$AE548,"")</f>
        <v>88.9</v>
      </c>
      <c r="AX548" s="66" t="str">
        <f t="shared" ref="AX548:AX571" si="325">IF(AV548=0,AV548*$AE548,"")</f>
        <v/>
      </c>
      <c r="AY548" s="67" t="str">
        <f t="shared" ref="AY548:AY571" si="326">IF(AV548&lt;0,AV548*$AE548,"")</f>
        <v/>
      </c>
      <c r="AZ548" s="66">
        <f t="array" ref="AZ548:AZ571">TRANSPOSE($C$11:$Z$11)</f>
        <v>1</v>
      </c>
      <c r="BA548" s="66">
        <f t="shared" ref="BA548:BA571" si="327">IF(AZ548&gt;0,AZ548*$AE548,"")</f>
        <v>88.9</v>
      </c>
      <c r="BB548" s="66" t="str">
        <f t="shared" ref="BB548:BB571" si="328">IF(AZ548=0,AZ548*$AE548,"")</f>
        <v/>
      </c>
      <c r="BC548" s="67" t="str">
        <f t="shared" ref="BC548:BC571" si="329">IF(AZ548&lt;0,AZ548*$AE548,"")</f>
        <v/>
      </c>
    </row>
    <row r="549" spans="30:55">
      <c r="AD549" s="68" t="str">
        <v>01</v>
      </c>
      <c r="AE549" s="61">
        <v>119.39999999999999</v>
      </c>
      <c r="AF549" s="61">
        <v>-1</v>
      </c>
      <c r="AG549" s="66" t="str">
        <f t="shared" ref="AG549:AG571" si="330">IF(AF549&gt;0,AF549*$AE549,"")</f>
        <v/>
      </c>
      <c r="AH549" s="66" t="str">
        <f t="shared" ref="AH549:AH571" si="331">IF(AF549=0,AF549*$AE549,"")</f>
        <v/>
      </c>
      <c r="AI549" s="67">
        <f t="shared" ref="AI549:AI571" si="332">IF(AF549&lt;0,AF549*$AE549,"")</f>
        <v>-119.39999999999999</v>
      </c>
      <c r="AJ549" s="61">
        <v>-1</v>
      </c>
      <c r="AK549" s="66" t="str">
        <f t="shared" ref="AK549:AK571" si="333">IF(AJ549&gt;0,AJ549*$AE549,"")</f>
        <v/>
      </c>
      <c r="AL549" s="66" t="str">
        <f t="shared" ref="AL549:AL571" si="334">IF(AJ549=0,AJ549*$AE549,"")</f>
        <v/>
      </c>
      <c r="AM549" s="67">
        <f t="shared" ref="AM549:AM571" si="335">IF(AJ549&lt;0,AJ549*$AE549,"")</f>
        <v>-119.39999999999999</v>
      </c>
      <c r="AN549" s="61">
        <v>1</v>
      </c>
      <c r="AO549" s="66">
        <f t="shared" ref="AO549:AO571" si="336">IF(AN549&gt;0,AN549*$AE549,"")</f>
        <v>119.39999999999999</v>
      </c>
      <c r="AP549" s="66" t="str">
        <f t="shared" ref="AP549:AP571" si="337">IF(AN549=0,AN549*$AE549,"")</f>
        <v/>
      </c>
      <c r="AQ549" s="67" t="str">
        <f t="shared" ref="AQ549:AQ571" si="338">IF(AN549&lt;0,AN549*$AE549,"")</f>
        <v/>
      </c>
      <c r="AR549" s="61">
        <v>1</v>
      </c>
      <c r="AS549" s="66">
        <f t="shared" ref="AS549:AS571" si="339">IF(AR549&gt;0,AR549*$AE549,"")</f>
        <v>119.39999999999999</v>
      </c>
      <c r="AT549" s="66" t="str">
        <f t="shared" ref="AT549:AT571" si="340">IF(AR549=0,AR549*$AE549,"")</f>
        <v/>
      </c>
      <c r="AU549" s="67" t="str">
        <f t="shared" ref="AU549:AU571" si="341">IF(AR549&lt;0,AR549*$AE549,"")</f>
        <v/>
      </c>
      <c r="AV549" s="61">
        <v>0</v>
      </c>
      <c r="AW549" s="66" t="str">
        <f t="shared" si="324"/>
        <v/>
      </c>
      <c r="AX549" s="66">
        <f t="shared" si="325"/>
        <v>0</v>
      </c>
      <c r="AY549" s="67" t="str">
        <f t="shared" si="326"/>
        <v/>
      </c>
      <c r="AZ549" s="61">
        <v>1</v>
      </c>
      <c r="BA549" s="66">
        <f t="shared" si="327"/>
        <v>119.39999999999999</v>
      </c>
      <c r="BB549" s="66" t="str">
        <f t="shared" si="328"/>
        <v/>
      </c>
      <c r="BC549" s="67" t="str">
        <f t="shared" si="329"/>
        <v/>
      </c>
    </row>
    <row r="550" spans="30:55">
      <c r="AD550" s="68" t="str">
        <v>02</v>
      </c>
      <c r="AE550" s="61">
        <v>161.4</v>
      </c>
      <c r="AF550" s="61">
        <v>-1</v>
      </c>
      <c r="AG550" s="66" t="str">
        <f t="shared" si="330"/>
        <v/>
      </c>
      <c r="AH550" s="66" t="str">
        <f t="shared" si="331"/>
        <v/>
      </c>
      <c r="AI550" s="67">
        <f t="shared" si="332"/>
        <v>-161.4</v>
      </c>
      <c r="AJ550" s="61">
        <v>-1</v>
      </c>
      <c r="AK550" s="66" t="str">
        <f t="shared" si="333"/>
        <v/>
      </c>
      <c r="AL550" s="66" t="str">
        <f t="shared" si="334"/>
        <v/>
      </c>
      <c r="AM550" s="67">
        <f t="shared" si="335"/>
        <v>-161.4</v>
      </c>
      <c r="AN550" s="61">
        <v>1</v>
      </c>
      <c r="AO550" s="66">
        <f t="shared" si="336"/>
        <v>161.4</v>
      </c>
      <c r="AP550" s="66" t="str">
        <f t="shared" si="337"/>
        <v/>
      </c>
      <c r="AQ550" s="67" t="str">
        <f t="shared" si="338"/>
        <v/>
      </c>
      <c r="AR550" s="61">
        <v>1</v>
      </c>
      <c r="AS550" s="66">
        <f t="shared" si="339"/>
        <v>161.4</v>
      </c>
      <c r="AT550" s="66" t="str">
        <f t="shared" si="340"/>
        <v/>
      </c>
      <c r="AU550" s="67" t="str">
        <f t="shared" si="341"/>
        <v/>
      </c>
      <c r="AV550" s="61">
        <v>-1</v>
      </c>
      <c r="AW550" s="66" t="str">
        <f t="shared" si="324"/>
        <v/>
      </c>
      <c r="AX550" s="66" t="str">
        <f t="shared" si="325"/>
        <v/>
      </c>
      <c r="AY550" s="67">
        <f t="shared" si="326"/>
        <v>-161.4</v>
      </c>
      <c r="AZ550" s="61">
        <v>1</v>
      </c>
      <c r="BA550" s="66">
        <f t="shared" si="327"/>
        <v>161.4</v>
      </c>
      <c r="BB550" s="66" t="str">
        <f t="shared" si="328"/>
        <v/>
      </c>
      <c r="BC550" s="67" t="str">
        <f t="shared" si="329"/>
        <v/>
      </c>
    </row>
    <row r="551" spans="30:55">
      <c r="AD551" s="68" t="str">
        <v>03</v>
      </c>
      <c r="AE551" s="61">
        <v>208.9</v>
      </c>
      <c r="AF551" s="61">
        <v>-1</v>
      </c>
      <c r="AG551" s="66" t="str">
        <f t="shared" si="330"/>
        <v/>
      </c>
      <c r="AH551" s="66" t="str">
        <f t="shared" si="331"/>
        <v/>
      </c>
      <c r="AI551" s="67">
        <f t="shared" si="332"/>
        <v>-208.9</v>
      </c>
      <c r="AJ551" s="61">
        <v>-1</v>
      </c>
      <c r="AK551" s="66" t="str">
        <f t="shared" si="333"/>
        <v/>
      </c>
      <c r="AL551" s="66" t="str">
        <f t="shared" si="334"/>
        <v/>
      </c>
      <c r="AM551" s="67">
        <f t="shared" si="335"/>
        <v>-208.9</v>
      </c>
      <c r="AN551" s="61">
        <v>-1</v>
      </c>
      <c r="AO551" s="66" t="str">
        <f t="shared" si="336"/>
        <v/>
      </c>
      <c r="AP551" s="66" t="str">
        <f t="shared" si="337"/>
        <v/>
      </c>
      <c r="AQ551" s="67">
        <f t="shared" si="338"/>
        <v>-208.9</v>
      </c>
      <c r="AR551" s="61">
        <v>1</v>
      </c>
      <c r="AS551" s="66">
        <f t="shared" si="339"/>
        <v>208.9</v>
      </c>
      <c r="AT551" s="66" t="str">
        <f t="shared" si="340"/>
        <v/>
      </c>
      <c r="AU551" s="67" t="str">
        <f t="shared" si="341"/>
        <v/>
      </c>
      <c r="AV551" s="61">
        <v>-1</v>
      </c>
      <c r="AW551" s="66" t="str">
        <f t="shared" si="324"/>
        <v/>
      </c>
      <c r="AX551" s="66" t="str">
        <f t="shared" si="325"/>
        <v/>
      </c>
      <c r="AY551" s="67">
        <f t="shared" si="326"/>
        <v>-208.9</v>
      </c>
      <c r="AZ551" s="61">
        <v>-1</v>
      </c>
      <c r="BA551" s="66" t="str">
        <f t="shared" si="327"/>
        <v/>
      </c>
      <c r="BB551" s="66" t="str">
        <f t="shared" si="328"/>
        <v/>
      </c>
      <c r="BC551" s="67">
        <f t="shared" si="329"/>
        <v>-208.9</v>
      </c>
    </row>
    <row r="552" spans="30:55">
      <c r="AD552" s="68" t="str">
        <v>04</v>
      </c>
      <c r="AE552" s="61">
        <v>247.40000000000003</v>
      </c>
      <c r="AF552" s="61">
        <v>-1</v>
      </c>
      <c r="AG552" s="66" t="str">
        <f t="shared" si="330"/>
        <v/>
      </c>
      <c r="AH552" s="66" t="str">
        <f t="shared" si="331"/>
        <v/>
      </c>
      <c r="AI552" s="67">
        <f t="shared" si="332"/>
        <v>-247.40000000000003</v>
      </c>
      <c r="AJ552" s="61">
        <v>-1</v>
      </c>
      <c r="AK552" s="66" t="str">
        <f t="shared" si="333"/>
        <v/>
      </c>
      <c r="AL552" s="66" t="str">
        <f t="shared" si="334"/>
        <v/>
      </c>
      <c r="AM552" s="67">
        <f t="shared" si="335"/>
        <v>-247.40000000000003</v>
      </c>
      <c r="AN552" s="61">
        <v>-1</v>
      </c>
      <c r="AO552" s="66" t="str">
        <f t="shared" si="336"/>
        <v/>
      </c>
      <c r="AP552" s="66" t="str">
        <f t="shared" si="337"/>
        <v/>
      </c>
      <c r="AQ552" s="67">
        <f t="shared" si="338"/>
        <v>-247.40000000000003</v>
      </c>
      <c r="AR552" s="61">
        <v>1</v>
      </c>
      <c r="AS552" s="66">
        <f t="shared" si="339"/>
        <v>247.40000000000003</v>
      </c>
      <c r="AT552" s="66" t="str">
        <f t="shared" si="340"/>
        <v/>
      </c>
      <c r="AU552" s="67" t="str">
        <f t="shared" si="341"/>
        <v/>
      </c>
      <c r="AV552" s="61">
        <v>0</v>
      </c>
      <c r="AW552" s="66" t="str">
        <f t="shared" si="324"/>
        <v/>
      </c>
      <c r="AX552" s="66">
        <f t="shared" si="325"/>
        <v>0</v>
      </c>
      <c r="AY552" s="67" t="str">
        <f t="shared" si="326"/>
        <v/>
      </c>
      <c r="AZ552" s="61">
        <v>-1</v>
      </c>
      <c r="BA552" s="66" t="str">
        <f t="shared" si="327"/>
        <v/>
      </c>
      <c r="BB552" s="66" t="str">
        <f t="shared" si="328"/>
        <v/>
      </c>
      <c r="BC552" s="67">
        <f t="shared" si="329"/>
        <v>-247.40000000000003</v>
      </c>
    </row>
    <row r="553" spans="30:55">
      <c r="AD553" s="68" t="str">
        <v>05</v>
      </c>
      <c r="AE553" s="61">
        <v>276.90000000000003</v>
      </c>
      <c r="AF553" s="61">
        <v>-1</v>
      </c>
      <c r="AG553" s="66" t="str">
        <f t="shared" si="330"/>
        <v/>
      </c>
      <c r="AH553" s="66" t="str">
        <f t="shared" si="331"/>
        <v/>
      </c>
      <c r="AI553" s="67">
        <f t="shared" si="332"/>
        <v>-276.90000000000003</v>
      </c>
      <c r="AJ553" s="61">
        <v>-1</v>
      </c>
      <c r="AK553" s="66" t="str">
        <f t="shared" si="333"/>
        <v/>
      </c>
      <c r="AL553" s="66" t="str">
        <f t="shared" si="334"/>
        <v/>
      </c>
      <c r="AM553" s="67">
        <f t="shared" si="335"/>
        <v>-276.90000000000003</v>
      </c>
      <c r="AN553" s="61">
        <v>-1</v>
      </c>
      <c r="AO553" s="66" t="str">
        <f t="shared" si="336"/>
        <v/>
      </c>
      <c r="AP553" s="66" t="str">
        <f t="shared" si="337"/>
        <v/>
      </c>
      <c r="AQ553" s="67">
        <f t="shared" si="338"/>
        <v>-276.90000000000003</v>
      </c>
      <c r="AR553" s="61">
        <v>1</v>
      </c>
      <c r="AS553" s="66">
        <f t="shared" si="339"/>
        <v>276.90000000000003</v>
      </c>
      <c r="AT553" s="66" t="str">
        <f t="shared" si="340"/>
        <v/>
      </c>
      <c r="AU553" s="67" t="str">
        <f t="shared" si="341"/>
        <v/>
      </c>
      <c r="AV553" s="61">
        <v>1</v>
      </c>
      <c r="AW553" s="66">
        <f t="shared" si="324"/>
        <v>276.90000000000003</v>
      </c>
      <c r="AX553" s="66" t="str">
        <f t="shared" si="325"/>
        <v/>
      </c>
      <c r="AY553" s="67" t="str">
        <f t="shared" si="326"/>
        <v/>
      </c>
      <c r="AZ553" s="61">
        <v>-1</v>
      </c>
      <c r="BA553" s="66" t="str">
        <f t="shared" si="327"/>
        <v/>
      </c>
      <c r="BB553" s="66" t="str">
        <f t="shared" si="328"/>
        <v/>
      </c>
      <c r="BC553" s="67">
        <f t="shared" si="329"/>
        <v>-276.90000000000003</v>
      </c>
    </row>
    <row r="554" spans="30:55">
      <c r="AD554" s="68" t="str">
        <v>06</v>
      </c>
      <c r="AE554" s="61">
        <v>288</v>
      </c>
      <c r="AF554" s="61">
        <v>1</v>
      </c>
      <c r="AG554" s="66">
        <f t="shared" si="330"/>
        <v>288</v>
      </c>
      <c r="AH554" s="66" t="str">
        <f t="shared" si="331"/>
        <v/>
      </c>
      <c r="AI554" s="67" t="str">
        <f t="shared" si="332"/>
        <v/>
      </c>
      <c r="AJ554" s="61">
        <v>-1</v>
      </c>
      <c r="AK554" s="66" t="str">
        <f t="shared" si="333"/>
        <v/>
      </c>
      <c r="AL554" s="66" t="str">
        <f t="shared" si="334"/>
        <v/>
      </c>
      <c r="AM554" s="67">
        <f t="shared" si="335"/>
        <v>-288</v>
      </c>
      <c r="AN554" s="61">
        <v>-1</v>
      </c>
      <c r="AO554" s="66" t="str">
        <f t="shared" si="336"/>
        <v/>
      </c>
      <c r="AP554" s="66" t="str">
        <f t="shared" si="337"/>
        <v/>
      </c>
      <c r="AQ554" s="67">
        <f t="shared" si="338"/>
        <v>-288</v>
      </c>
      <c r="AR554" s="61">
        <v>-1</v>
      </c>
      <c r="AS554" s="66" t="str">
        <f t="shared" si="339"/>
        <v/>
      </c>
      <c r="AT554" s="66" t="str">
        <f t="shared" si="340"/>
        <v/>
      </c>
      <c r="AU554" s="67">
        <f t="shared" si="341"/>
        <v>-288</v>
      </c>
      <c r="AV554" s="61">
        <v>1</v>
      </c>
      <c r="AW554" s="66">
        <f t="shared" si="324"/>
        <v>288</v>
      </c>
      <c r="AX554" s="66" t="str">
        <f t="shared" si="325"/>
        <v/>
      </c>
      <c r="AY554" s="67" t="str">
        <f t="shared" si="326"/>
        <v/>
      </c>
      <c r="AZ554" s="61">
        <v>1</v>
      </c>
      <c r="BA554" s="66">
        <f t="shared" si="327"/>
        <v>288</v>
      </c>
      <c r="BB554" s="66" t="str">
        <f t="shared" si="328"/>
        <v/>
      </c>
      <c r="BC554" s="67" t="str">
        <f t="shared" si="329"/>
        <v/>
      </c>
    </row>
    <row r="555" spans="30:55">
      <c r="AD555" s="68" t="str">
        <v>07</v>
      </c>
      <c r="AE555" s="61">
        <v>281.2</v>
      </c>
      <c r="AF555" s="61">
        <v>1</v>
      </c>
      <c r="AG555" s="66">
        <f t="shared" si="330"/>
        <v>281.2</v>
      </c>
      <c r="AH555" s="66" t="str">
        <f t="shared" si="331"/>
        <v/>
      </c>
      <c r="AI555" s="67" t="str">
        <f t="shared" si="332"/>
        <v/>
      </c>
      <c r="AJ555" s="61">
        <v>-1</v>
      </c>
      <c r="AK555" s="66" t="str">
        <f t="shared" si="333"/>
        <v/>
      </c>
      <c r="AL555" s="66" t="str">
        <f t="shared" si="334"/>
        <v/>
      </c>
      <c r="AM555" s="67">
        <f t="shared" si="335"/>
        <v>-281.2</v>
      </c>
      <c r="AN555" s="61">
        <v>-1</v>
      </c>
      <c r="AO555" s="66" t="str">
        <f t="shared" si="336"/>
        <v/>
      </c>
      <c r="AP555" s="66" t="str">
        <f t="shared" si="337"/>
        <v/>
      </c>
      <c r="AQ555" s="67">
        <f t="shared" si="338"/>
        <v>-281.2</v>
      </c>
      <c r="AR555" s="61">
        <v>-1</v>
      </c>
      <c r="AS555" s="66" t="str">
        <f t="shared" si="339"/>
        <v/>
      </c>
      <c r="AT555" s="66" t="str">
        <f t="shared" si="340"/>
        <v/>
      </c>
      <c r="AU555" s="67">
        <f t="shared" si="341"/>
        <v>-281.2</v>
      </c>
      <c r="AV555" s="61">
        <v>0</v>
      </c>
      <c r="AW555" s="66" t="str">
        <f t="shared" si="324"/>
        <v/>
      </c>
      <c r="AX555" s="66">
        <f t="shared" si="325"/>
        <v>0</v>
      </c>
      <c r="AY555" s="67" t="str">
        <f t="shared" si="326"/>
        <v/>
      </c>
      <c r="AZ555" s="61">
        <v>1</v>
      </c>
      <c r="BA555" s="66">
        <f t="shared" si="327"/>
        <v>281.2</v>
      </c>
      <c r="BB555" s="66" t="str">
        <f t="shared" si="328"/>
        <v/>
      </c>
      <c r="BC555" s="67" t="str">
        <f t="shared" si="329"/>
        <v/>
      </c>
    </row>
    <row r="556" spans="30:55">
      <c r="AD556" s="68" t="str">
        <v>08</v>
      </c>
      <c r="AE556" s="61">
        <v>256.8</v>
      </c>
      <c r="AF556" s="61">
        <v>1</v>
      </c>
      <c r="AG556" s="66">
        <f t="shared" si="330"/>
        <v>256.8</v>
      </c>
      <c r="AH556" s="66" t="str">
        <f t="shared" si="331"/>
        <v/>
      </c>
      <c r="AI556" s="67" t="str">
        <f t="shared" si="332"/>
        <v/>
      </c>
      <c r="AJ556" s="61">
        <v>-1</v>
      </c>
      <c r="AK556" s="66" t="str">
        <f t="shared" si="333"/>
        <v/>
      </c>
      <c r="AL556" s="66" t="str">
        <f t="shared" si="334"/>
        <v/>
      </c>
      <c r="AM556" s="67">
        <f t="shared" si="335"/>
        <v>-256.8</v>
      </c>
      <c r="AN556" s="61">
        <v>-1</v>
      </c>
      <c r="AO556" s="66" t="str">
        <f t="shared" si="336"/>
        <v/>
      </c>
      <c r="AP556" s="66" t="str">
        <f t="shared" si="337"/>
        <v/>
      </c>
      <c r="AQ556" s="67">
        <f t="shared" si="338"/>
        <v>-256.8</v>
      </c>
      <c r="AR556" s="61">
        <v>-1</v>
      </c>
      <c r="AS556" s="66" t="str">
        <f t="shared" si="339"/>
        <v/>
      </c>
      <c r="AT556" s="66" t="str">
        <f t="shared" si="340"/>
        <v/>
      </c>
      <c r="AU556" s="67">
        <f t="shared" si="341"/>
        <v>-256.8</v>
      </c>
      <c r="AV556" s="61">
        <v>-1</v>
      </c>
      <c r="AW556" s="66" t="str">
        <f t="shared" si="324"/>
        <v/>
      </c>
      <c r="AX556" s="66" t="str">
        <f t="shared" si="325"/>
        <v/>
      </c>
      <c r="AY556" s="67">
        <f t="shared" si="326"/>
        <v>-256.8</v>
      </c>
      <c r="AZ556" s="61">
        <v>1</v>
      </c>
      <c r="BA556" s="66">
        <f t="shared" si="327"/>
        <v>256.8</v>
      </c>
      <c r="BB556" s="66" t="str">
        <f t="shared" si="328"/>
        <v/>
      </c>
      <c r="BC556" s="67" t="str">
        <f t="shared" si="329"/>
        <v/>
      </c>
    </row>
    <row r="557" spans="30:55">
      <c r="AD557" s="68" t="str">
        <v>09</v>
      </c>
      <c r="AE557" s="61">
        <v>222.5</v>
      </c>
      <c r="AF557" s="61">
        <v>1</v>
      </c>
      <c r="AG557" s="66">
        <f t="shared" si="330"/>
        <v>222.5</v>
      </c>
      <c r="AH557" s="66" t="str">
        <f t="shared" si="331"/>
        <v/>
      </c>
      <c r="AI557" s="67" t="str">
        <f t="shared" si="332"/>
        <v/>
      </c>
      <c r="AJ557" s="61">
        <v>-1</v>
      </c>
      <c r="AK557" s="66" t="str">
        <f t="shared" si="333"/>
        <v/>
      </c>
      <c r="AL557" s="66" t="str">
        <f t="shared" si="334"/>
        <v/>
      </c>
      <c r="AM557" s="67">
        <f t="shared" si="335"/>
        <v>-222.5</v>
      </c>
      <c r="AN557" s="61">
        <v>1</v>
      </c>
      <c r="AO557" s="66">
        <f t="shared" si="336"/>
        <v>222.5</v>
      </c>
      <c r="AP557" s="66" t="str">
        <f t="shared" si="337"/>
        <v/>
      </c>
      <c r="AQ557" s="67" t="str">
        <f t="shared" si="338"/>
        <v/>
      </c>
      <c r="AR557" s="61">
        <v>-1</v>
      </c>
      <c r="AS557" s="66" t="str">
        <f t="shared" si="339"/>
        <v/>
      </c>
      <c r="AT557" s="66" t="str">
        <f t="shared" si="340"/>
        <v/>
      </c>
      <c r="AU557" s="67">
        <f t="shared" si="341"/>
        <v>-222.5</v>
      </c>
      <c r="AV557" s="61">
        <v>-1</v>
      </c>
      <c r="AW557" s="66" t="str">
        <f t="shared" si="324"/>
        <v/>
      </c>
      <c r="AX557" s="66" t="str">
        <f t="shared" si="325"/>
        <v/>
      </c>
      <c r="AY557" s="67">
        <f t="shared" si="326"/>
        <v>-222.5</v>
      </c>
      <c r="AZ557" s="61">
        <v>-1</v>
      </c>
      <c r="BA557" s="66" t="str">
        <f t="shared" si="327"/>
        <v/>
      </c>
      <c r="BB557" s="66" t="str">
        <f t="shared" si="328"/>
        <v/>
      </c>
      <c r="BC557" s="67">
        <f t="shared" si="329"/>
        <v>-222.5</v>
      </c>
    </row>
    <row r="558" spans="30:55">
      <c r="AD558" s="68" t="str">
        <v>10</v>
      </c>
      <c r="AE558" s="61">
        <v>190.39999999999998</v>
      </c>
      <c r="AF558" s="61">
        <v>1</v>
      </c>
      <c r="AG558" s="66">
        <f t="shared" si="330"/>
        <v>190.39999999999998</v>
      </c>
      <c r="AH558" s="66" t="str">
        <f t="shared" si="331"/>
        <v/>
      </c>
      <c r="AI558" s="67" t="str">
        <f t="shared" si="332"/>
        <v/>
      </c>
      <c r="AJ558" s="61">
        <v>-1</v>
      </c>
      <c r="AK558" s="66" t="str">
        <f t="shared" si="333"/>
        <v/>
      </c>
      <c r="AL558" s="66" t="str">
        <f t="shared" si="334"/>
        <v/>
      </c>
      <c r="AM558" s="67">
        <f t="shared" si="335"/>
        <v>-190.39999999999998</v>
      </c>
      <c r="AN558" s="61">
        <v>1</v>
      </c>
      <c r="AO558" s="66">
        <f t="shared" si="336"/>
        <v>190.39999999999998</v>
      </c>
      <c r="AP558" s="66" t="str">
        <f t="shared" si="337"/>
        <v/>
      </c>
      <c r="AQ558" s="67" t="str">
        <f t="shared" si="338"/>
        <v/>
      </c>
      <c r="AR558" s="61">
        <v>-1</v>
      </c>
      <c r="AS558" s="66" t="str">
        <f t="shared" si="339"/>
        <v/>
      </c>
      <c r="AT558" s="66" t="str">
        <f t="shared" si="340"/>
        <v/>
      </c>
      <c r="AU558" s="67">
        <f t="shared" si="341"/>
        <v>-190.39999999999998</v>
      </c>
      <c r="AV558" s="61">
        <v>0</v>
      </c>
      <c r="AW558" s="66" t="str">
        <f t="shared" si="324"/>
        <v/>
      </c>
      <c r="AX558" s="66">
        <f t="shared" si="325"/>
        <v>0</v>
      </c>
      <c r="AY558" s="67" t="str">
        <f t="shared" si="326"/>
        <v/>
      </c>
      <c r="AZ558" s="61">
        <v>-1</v>
      </c>
      <c r="BA558" s="66" t="str">
        <f t="shared" si="327"/>
        <v/>
      </c>
      <c r="BB558" s="66" t="str">
        <f t="shared" si="328"/>
        <v/>
      </c>
      <c r="BC558" s="67">
        <f t="shared" si="329"/>
        <v>-190.39999999999998</v>
      </c>
    </row>
    <row r="559" spans="30:55">
      <c r="AD559" s="68" t="str">
        <v>11</v>
      </c>
      <c r="AE559" s="61">
        <v>158.5</v>
      </c>
      <c r="AF559" s="61">
        <v>1</v>
      </c>
      <c r="AG559" s="66">
        <f t="shared" si="330"/>
        <v>158.5</v>
      </c>
      <c r="AH559" s="66" t="str">
        <f t="shared" si="331"/>
        <v/>
      </c>
      <c r="AI559" s="67" t="str">
        <f t="shared" si="332"/>
        <v/>
      </c>
      <c r="AJ559" s="61">
        <v>-1</v>
      </c>
      <c r="AK559" s="66" t="str">
        <f t="shared" si="333"/>
        <v/>
      </c>
      <c r="AL559" s="66" t="str">
        <f t="shared" si="334"/>
        <v/>
      </c>
      <c r="AM559" s="67">
        <f t="shared" si="335"/>
        <v>-158.5</v>
      </c>
      <c r="AN559" s="61">
        <v>1</v>
      </c>
      <c r="AO559" s="66">
        <f t="shared" si="336"/>
        <v>158.5</v>
      </c>
      <c r="AP559" s="66" t="str">
        <f t="shared" si="337"/>
        <v/>
      </c>
      <c r="AQ559" s="67" t="str">
        <f t="shared" si="338"/>
        <v/>
      </c>
      <c r="AR559" s="61">
        <v>-1</v>
      </c>
      <c r="AS559" s="66" t="str">
        <f t="shared" si="339"/>
        <v/>
      </c>
      <c r="AT559" s="66" t="str">
        <f t="shared" si="340"/>
        <v/>
      </c>
      <c r="AU559" s="67">
        <f t="shared" si="341"/>
        <v>-158.5</v>
      </c>
      <c r="AV559" s="61">
        <v>1</v>
      </c>
      <c r="AW559" s="66">
        <f t="shared" si="324"/>
        <v>158.5</v>
      </c>
      <c r="AX559" s="66" t="str">
        <f t="shared" si="325"/>
        <v/>
      </c>
      <c r="AY559" s="67" t="str">
        <f t="shared" si="326"/>
        <v/>
      </c>
      <c r="AZ559" s="61">
        <v>-1</v>
      </c>
      <c r="BA559" s="66" t="str">
        <f t="shared" si="327"/>
        <v/>
      </c>
      <c r="BB559" s="66" t="str">
        <f t="shared" si="328"/>
        <v/>
      </c>
      <c r="BC559" s="67">
        <f t="shared" si="329"/>
        <v>-158.5</v>
      </c>
    </row>
    <row r="560" spans="30:55">
      <c r="AD560" s="68" t="str">
        <v>12</v>
      </c>
      <c r="AE560" s="61">
        <v>138.1</v>
      </c>
      <c r="AF560" s="61">
        <v>1</v>
      </c>
      <c r="AG560" s="66">
        <f t="shared" si="330"/>
        <v>138.1</v>
      </c>
      <c r="AH560" s="66" t="str">
        <f t="shared" si="331"/>
        <v/>
      </c>
      <c r="AI560" s="67" t="str">
        <f t="shared" si="332"/>
        <v/>
      </c>
      <c r="AJ560" s="61">
        <v>1</v>
      </c>
      <c r="AK560" s="66">
        <f t="shared" si="333"/>
        <v>138.1</v>
      </c>
      <c r="AL560" s="66" t="str">
        <f t="shared" si="334"/>
        <v/>
      </c>
      <c r="AM560" s="67" t="str">
        <f t="shared" si="335"/>
        <v/>
      </c>
      <c r="AN560" s="61">
        <v>1</v>
      </c>
      <c r="AO560" s="66">
        <f t="shared" si="336"/>
        <v>138.1</v>
      </c>
      <c r="AP560" s="66" t="str">
        <f t="shared" si="337"/>
        <v/>
      </c>
      <c r="AQ560" s="67" t="str">
        <f t="shared" si="338"/>
        <v/>
      </c>
      <c r="AR560" s="61">
        <v>1</v>
      </c>
      <c r="AS560" s="66">
        <f t="shared" si="339"/>
        <v>138.1</v>
      </c>
      <c r="AT560" s="66" t="str">
        <f t="shared" si="340"/>
        <v/>
      </c>
      <c r="AU560" s="67" t="str">
        <f t="shared" si="341"/>
        <v/>
      </c>
      <c r="AV560" s="61">
        <v>1</v>
      </c>
      <c r="AW560" s="66">
        <f t="shared" si="324"/>
        <v>138.1</v>
      </c>
      <c r="AX560" s="66" t="str">
        <f t="shared" si="325"/>
        <v/>
      </c>
      <c r="AY560" s="67" t="str">
        <f t="shared" si="326"/>
        <v/>
      </c>
      <c r="AZ560" s="61">
        <v>1</v>
      </c>
      <c r="BA560" s="66">
        <f t="shared" si="327"/>
        <v>138.1</v>
      </c>
      <c r="BB560" s="66" t="str">
        <f t="shared" si="328"/>
        <v/>
      </c>
      <c r="BC560" s="67" t="str">
        <f t="shared" si="329"/>
        <v/>
      </c>
    </row>
    <row r="561" spans="29:55">
      <c r="AD561" s="68" t="str">
        <v>13</v>
      </c>
      <c r="AE561" s="61">
        <v>128.1</v>
      </c>
      <c r="AF561" s="61">
        <v>1</v>
      </c>
      <c r="AG561" s="66">
        <f t="shared" si="330"/>
        <v>128.1</v>
      </c>
      <c r="AH561" s="66" t="str">
        <f t="shared" si="331"/>
        <v/>
      </c>
      <c r="AI561" s="67" t="str">
        <f t="shared" si="332"/>
        <v/>
      </c>
      <c r="AJ561" s="61">
        <v>1</v>
      </c>
      <c r="AK561" s="66">
        <f t="shared" si="333"/>
        <v>128.1</v>
      </c>
      <c r="AL561" s="66" t="str">
        <f t="shared" si="334"/>
        <v/>
      </c>
      <c r="AM561" s="67" t="str">
        <f t="shared" si="335"/>
        <v/>
      </c>
      <c r="AN561" s="61">
        <v>1</v>
      </c>
      <c r="AO561" s="66">
        <f t="shared" si="336"/>
        <v>128.1</v>
      </c>
      <c r="AP561" s="66" t="str">
        <f t="shared" si="337"/>
        <v/>
      </c>
      <c r="AQ561" s="67" t="str">
        <f t="shared" si="338"/>
        <v/>
      </c>
      <c r="AR561" s="61">
        <v>1</v>
      </c>
      <c r="AS561" s="66">
        <f t="shared" si="339"/>
        <v>128.1</v>
      </c>
      <c r="AT561" s="66" t="str">
        <f t="shared" si="340"/>
        <v/>
      </c>
      <c r="AU561" s="67" t="str">
        <f t="shared" si="341"/>
        <v/>
      </c>
      <c r="AV561" s="61">
        <v>0</v>
      </c>
      <c r="AW561" s="66" t="str">
        <f t="shared" si="324"/>
        <v/>
      </c>
      <c r="AX561" s="66">
        <f t="shared" si="325"/>
        <v>0</v>
      </c>
      <c r="AY561" s="67" t="str">
        <f t="shared" si="326"/>
        <v/>
      </c>
      <c r="AZ561" s="61">
        <v>1</v>
      </c>
      <c r="BA561" s="66">
        <f t="shared" si="327"/>
        <v>128.1</v>
      </c>
      <c r="BB561" s="66" t="str">
        <f t="shared" si="328"/>
        <v/>
      </c>
      <c r="BC561" s="67" t="str">
        <f t="shared" si="329"/>
        <v/>
      </c>
    </row>
    <row r="562" spans="29:55">
      <c r="AD562" s="68" t="str">
        <v>14</v>
      </c>
      <c r="AE562" s="61">
        <v>129.5</v>
      </c>
      <c r="AF562" s="61">
        <v>1</v>
      </c>
      <c r="AG562" s="66">
        <f t="shared" si="330"/>
        <v>129.5</v>
      </c>
      <c r="AH562" s="66" t="str">
        <f t="shared" si="331"/>
        <v/>
      </c>
      <c r="AI562" s="67" t="str">
        <f t="shared" si="332"/>
        <v/>
      </c>
      <c r="AJ562" s="61">
        <v>1</v>
      </c>
      <c r="AK562" s="66">
        <f t="shared" si="333"/>
        <v>129.5</v>
      </c>
      <c r="AL562" s="66" t="str">
        <f t="shared" si="334"/>
        <v/>
      </c>
      <c r="AM562" s="67" t="str">
        <f t="shared" si="335"/>
        <v/>
      </c>
      <c r="AN562" s="61">
        <v>1</v>
      </c>
      <c r="AO562" s="66">
        <f t="shared" si="336"/>
        <v>129.5</v>
      </c>
      <c r="AP562" s="66" t="str">
        <f t="shared" si="337"/>
        <v/>
      </c>
      <c r="AQ562" s="67" t="str">
        <f t="shared" si="338"/>
        <v/>
      </c>
      <c r="AR562" s="61">
        <v>1</v>
      </c>
      <c r="AS562" s="66">
        <f t="shared" si="339"/>
        <v>129.5</v>
      </c>
      <c r="AT562" s="66" t="str">
        <f t="shared" si="340"/>
        <v/>
      </c>
      <c r="AU562" s="67" t="str">
        <f t="shared" si="341"/>
        <v/>
      </c>
      <c r="AV562" s="61">
        <v>-1</v>
      </c>
      <c r="AW562" s="66" t="str">
        <f t="shared" si="324"/>
        <v/>
      </c>
      <c r="AX562" s="66" t="str">
        <f t="shared" si="325"/>
        <v/>
      </c>
      <c r="AY562" s="67">
        <f t="shared" si="326"/>
        <v>-129.5</v>
      </c>
      <c r="AZ562" s="61">
        <v>1</v>
      </c>
      <c r="BA562" s="66">
        <f t="shared" si="327"/>
        <v>129.5</v>
      </c>
      <c r="BB562" s="66" t="str">
        <f t="shared" si="328"/>
        <v/>
      </c>
      <c r="BC562" s="67" t="str">
        <f t="shared" si="329"/>
        <v/>
      </c>
    </row>
    <row r="563" spans="29:55">
      <c r="AD563" s="68" t="str">
        <v>15</v>
      </c>
      <c r="AE563" s="61">
        <v>142.5</v>
      </c>
      <c r="AF563" s="61">
        <v>1</v>
      </c>
      <c r="AG563" s="66">
        <f t="shared" si="330"/>
        <v>142.5</v>
      </c>
      <c r="AH563" s="66" t="str">
        <f t="shared" si="331"/>
        <v/>
      </c>
      <c r="AI563" s="67" t="str">
        <f t="shared" si="332"/>
        <v/>
      </c>
      <c r="AJ563" s="61">
        <v>1</v>
      </c>
      <c r="AK563" s="66">
        <f t="shared" si="333"/>
        <v>142.5</v>
      </c>
      <c r="AL563" s="66" t="str">
        <f t="shared" si="334"/>
        <v/>
      </c>
      <c r="AM563" s="67" t="str">
        <f t="shared" si="335"/>
        <v/>
      </c>
      <c r="AN563" s="61">
        <v>-1</v>
      </c>
      <c r="AO563" s="66" t="str">
        <f t="shared" si="336"/>
        <v/>
      </c>
      <c r="AP563" s="66" t="str">
        <f t="shared" si="337"/>
        <v/>
      </c>
      <c r="AQ563" s="67">
        <f t="shared" si="338"/>
        <v>-142.5</v>
      </c>
      <c r="AR563" s="61">
        <v>1</v>
      </c>
      <c r="AS563" s="66">
        <f t="shared" si="339"/>
        <v>142.5</v>
      </c>
      <c r="AT563" s="66" t="str">
        <f t="shared" si="340"/>
        <v/>
      </c>
      <c r="AU563" s="67" t="str">
        <f t="shared" si="341"/>
        <v/>
      </c>
      <c r="AV563" s="61">
        <v>-1</v>
      </c>
      <c r="AW563" s="66" t="str">
        <f t="shared" si="324"/>
        <v/>
      </c>
      <c r="AX563" s="66" t="str">
        <f t="shared" si="325"/>
        <v/>
      </c>
      <c r="AY563" s="67">
        <f t="shared" si="326"/>
        <v>-142.5</v>
      </c>
      <c r="AZ563" s="61">
        <v>-1</v>
      </c>
      <c r="BA563" s="66" t="str">
        <f t="shared" si="327"/>
        <v/>
      </c>
      <c r="BB563" s="66" t="str">
        <f t="shared" si="328"/>
        <v/>
      </c>
      <c r="BC563" s="67">
        <f t="shared" si="329"/>
        <v>-142.5</v>
      </c>
    </row>
    <row r="564" spans="29:55">
      <c r="AD564" s="68" t="str">
        <v>16</v>
      </c>
      <c r="AE564" s="61">
        <v>149.19999999999999</v>
      </c>
      <c r="AF564" s="61">
        <v>1</v>
      </c>
      <c r="AG564" s="66">
        <f t="shared" si="330"/>
        <v>149.19999999999999</v>
      </c>
      <c r="AH564" s="66" t="str">
        <f t="shared" si="331"/>
        <v/>
      </c>
      <c r="AI564" s="67" t="str">
        <f t="shared" si="332"/>
        <v/>
      </c>
      <c r="AJ564" s="61">
        <v>1</v>
      </c>
      <c r="AK564" s="66">
        <f t="shared" si="333"/>
        <v>149.19999999999999</v>
      </c>
      <c r="AL564" s="66" t="str">
        <f t="shared" si="334"/>
        <v/>
      </c>
      <c r="AM564" s="67" t="str">
        <f t="shared" si="335"/>
        <v/>
      </c>
      <c r="AN564" s="61">
        <v>-1</v>
      </c>
      <c r="AO564" s="66" t="str">
        <f t="shared" si="336"/>
        <v/>
      </c>
      <c r="AP564" s="66" t="str">
        <f t="shared" si="337"/>
        <v/>
      </c>
      <c r="AQ564" s="67">
        <f t="shared" si="338"/>
        <v>-149.19999999999999</v>
      </c>
      <c r="AR564" s="61">
        <v>1</v>
      </c>
      <c r="AS564" s="66">
        <f t="shared" si="339"/>
        <v>149.19999999999999</v>
      </c>
      <c r="AT564" s="66" t="str">
        <f t="shared" si="340"/>
        <v/>
      </c>
      <c r="AU564" s="67" t="str">
        <f t="shared" si="341"/>
        <v/>
      </c>
      <c r="AV564" s="61">
        <v>0</v>
      </c>
      <c r="AW564" s="66" t="str">
        <f t="shared" si="324"/>
        <v/>
      </c>
      <c r="AX564" s="66">
        <f t="shared" si="325"/>
        <v>0</v>
      </c>
      <c r="AY564" s="67" t="str">
        <f t="shared" si="326"/>
        <v/>
      </c>
      <c r="AZ564" s="61">
        <v>-1</v>
      </c>
      <c r="BA564" s="66" t="str">
        <f t="shared" si="327"/>
        <v/>
      </c>
      <c r="BB564" s="66" t="str">
        <f t="shared" si="328"/>
        <v/>
      </c>
      <c r="BC564" s="67">
        <f t="shared" si="329"/>
        <v>-149.19999999999999</v>
      </c>
    </row>
    <row r="565" spans="29:55">
      <c r="AD565" s="68" t="str">
        <v>17</v>
      </c>
      <c r="AE565" s="61">
        <v>155.9</v>
      </c>
      <c r="AF565" s="61">
        <v>1</v>
      </c>
      <c r="AG565" s="66">
        <f t="shared" si="330"/>
        <v>155.9</v>
      </c>
      <c r="AH565" s="66" t="str">
        <f t="shared" si="331"/>
        <v/>
      </c>
      <c r="AI565" s="67" t="str">
        <f t="shared" si="332"/>
        <v/>
      </c>
      <c r="AJ565" s="61">
        <v>1</v>
      </c>
      <c r="AK565" s="66">
        <f t="shared" si="333"/>
        <v>155.9</v>
      </c>
      <c r="AL565" s="66" t="str">
        <f t="shared" si="334"/>
        <v/>
      </c>
      <c r="AM565" s="67" t="str">
        <f t="shared" si="335"/>
        <v/>
      </c>
      <c r="AN565" s="61">
        <v>-1</v>
      </c>
      <c r="AO565" s="66" t="str">
        <f t="shared" si="336"/>
        <v/>
      </c>
      <c r="AP565" s="66" t="str">
        <f t="shared" si="337"/>
        <v/>
      </c>
      <c r="AQ565" s="67">
        <f t="shared" si="338"/>
        <v>-155.9</v>
      </c>
      <c r="AR565" s="61">
        <v>1</v>
      </c>
      <c r="AS565" s="66">
        <f t="shared" si="339"/>
        <v>155.9</v>
      </c>
      <c r="AT565" s="66" t="str">
        <f t="shared" si="340"/>
        <v/>
      </c>
      <c r="AU565" s="67" t="str">
        <f t="shared" si="341"/>
        <v/>
      </c>
      <c r="AV565" s="61">
        <v>1</v>
      </c>
      <c r="AW565" s="66">
        <f t="shared" si="324"/>
        <v>155.9</v>
      </c>
      <c r="AX565" s="66" t="str">
        <f t="shared" si="325"/>
        <v/>
      </c>
      <c r="AY565" s="67" t="str">
        <f t="shared" si="326"/>
        <v/>
      </c>
      <c r="AZ565" s="61">
        <v>-1</v>
      </c>
      <c r="BA565" s="66" t="str">
        <f t="shared" si="327"/>
        <v/>
      </c>
      <c r="BB565" s="66" t="str">
        <f t="shared" si="328"/>
        <v/>
      </c>
      <c r="BC565" s="67">
        <f t="shared" si="329"/>
        <v>-155.9</v>
      </c>
    </row>
    <row r="566" spans="29:55">
      <c r="AD566" s="68" t="str">
        <v>18</v>
      </c>
      <c r="AE566" s="61">
        <v>151.1</v>
      </c>
      <c r="AF566" s="61">
        <v>-1</v>
      </c>
      <c r="AG566" s="66" t="str">
        <f t="shared" si="330"/>
        <v/>
      </c>
      <c r="AH566" s="66" t="str">
        <f t="shared" si="331"/>
        <v/>
      </c>
      <c r="AI566" s="67">
        <f t="shared" si="332"/>
        <v>-151.1</v>
      </c>
      <c r="AJ566" s="61">
        <v>1</v>
      </c>
      <c r="AK566" s="66">
        <f t="shared" si="333"/>
        <v>151.1</v>
      </c>
      <c r="AL566" s="66" t="str">
        <f t="shared" si="334"/>
        <v/>
      </c>
      <c r="AM566" s="67" t="str">
        <f t="shared" si="335"/>
        <v/>
      </c>
      <c r="AN566" s="61">
        <v>-1</v>
      </c>
      <c r="AO566" s="66" t="str">
        <f t="shared" si="336"/>
        <v/>
      </c>
      <c r="AP566" s="66" t="str">
        <f t="shared" si="337"/>
        <v/>
      </c>
      <c r="AQ566" s="67">
        <f t="shared" si="338"/>
        <v>-151.1</v>
      </c>
      <c r="AR566" s="61">
        <v>-1</v>
      </c>
      <c r="AS566" s="66" t="str">
        <f t="shared" si="339"/>
        <v/>
      </c>
      <c r="AT566" s="66" t="str">
        <f t="shared" si="340"/>
        <v/>
      </c>
      <c r="AU566" s="67">
        <f t="shared" si="341"/>
        <v>-151.1</v>
      </c>
      <c r="AV566" s="61">
        <v>1</v>
      </c>
      <c r="AW566" s="66">
        <f t="shared" si="324"/>
        <v>151.1</v>
      </c>
      <c r="AX566" s="66" t="str">
        <f t="shared" si="325"/>
        <v/>
      </c>
      <c r="AY566" s="67" t="str">
        <f t="shared" si="326"/>
        <v/>
      </c>
      <c r="AZ566" s="61">
        <v>1</v>
      </c>
      <c r="BA566" s="66">
        <f t="shared" si="327"/>
        <v>151.1</v>
      </c>
      <c r="BB566" s="66" t="str">
        <f t="shared" si="328"/>
        <v/>
      </c>
      <c r="BC566" s="67" t="str">
        <f t="shared" si="329"/>
        <v/>
      </c>
    </row>
    <row r="567" spans="29:55">
      <c r="AD567" s="68" t="str">
        <v>19</v>
      </c>
      <c r="AE567" s="61">
        <v>136.80000000000001</v>
      </c>
      <c r="AF567" s="61">
        <v>-1</v>
      </c>
      <c r="AG567" s="66" t="str">
        <f t="shared" si="330"/>
        <v/>
      </c>
      <c r="AH567" s="66" t="str">
        <f t="shared" si="331"/>
        <v/>
      </c>
      <c r="AI567" s="67">
        <f t="shared" si="332"/>
        <v>-136.80000000000001</v>
      </c>
      <c r="AJ567" s="61">
        <v>1</v>
      </c>
      <c r="AK567" s="66">
        <f t="shared" si="333"/>
        <v>136.80000000000001</v>
      </c>
      <c r="AL567" s="66" t="str">
        <f t="shared" si="334"/>
        <v/>
      </c>
      <c r="AM567" s="67" t="str">
        <f t="shared" si="335"/>
        <v/>
      </c>
      <c r="AN567" s="61">
        <v>-1</v>
      </c>
      <c r="AO567" s="66" t="str">
        <f t="shared" si="336"/>
        <v/>
      </c>
      <c r="AP567" s="66" t="str">
        <f t="shared" si="337"/>
        <v/>
      </c>
      <c r="AQ567" s="67">
        <f t="shared" si="338"/>
        <v>-136.80000000000001</v>
      </c>
      <c r="AR567" s="61">
        <v>-1</v>
      </c>
      <c r="AS567" s="66" t="str">
        <f t="shared" si="339"/>
        <v/>
      </c>
      <c r="AT567" s="66" t="str">
        <f t="shared" si="340"/>
        <v/>
      </c>
      <c r="AU567" s="67">
        <f t="shared" si="341"/>
        <v>-136.80000000000001</v>
      </c>
      <c r="AV567" s="61">
        <v>0</v>
      </c>
      <c r="AW567" s="66" t="str">
        <f t="shared" si="324"/>
        <v/>
      </c>
      <c r="AX567" s="66">
        <f t="shared" si="325"/>
        <v>0</v>
      </c>
      <c r="AY567" s="67" t="str">
        <f t="shared" si="326"/>
        <v/>
      </c>
      <c r="AZ567" s="61">
        <v>1</v>
      </c>
      <c r="BA567" s="66">
        <f t="shared" si="327"/>
        <v>136.80000000000001</v>
      </c>
      <c r="BB567" s="66" t="str">
        <f t="shared" si="328"/>
        <v/>
      </c>
      <c r="BC567" s="67" t="str">
        <f t="shared" si="329"/>
        <v/>
      </c>
    </row>
    <row r="568" spans="29:55">
      <c r="AD568" s="68" t="str">
        <v>20</v>
      </c>
      <c r="AE568" s="61">
        <v>119</v>
      </c>
      <c r="AF568" s="61">
        <v>-1</v>
      </c>
      <c r="AG568" s="66" t="str">
        <f t="shared" si="330"/>
        <v/>
      </c>
      <c r="AH568" s="66" t="str">
        <f t="shared" si="331"/>
        <v/>
      </c>
      <c r="AI568" s="67">
        <f t="shared" si="332"/>
        <v>-119</v>
      </c>
      <c r="AJ568" s="61">
        <v>1</v>
      </c>
      <c r="AK568" s="66">
        <f t="shared" si="333"/>
        <v>119</v>
      </c>
      <c r="AL568" s="66" t="str">
        <f t="shared" si="334"/>
        <v/>
      </c>
      <c r="AM568" s="67" t="str">
        <f t="shared" si="335"/>
        <v/>
      </c>
      <c r="AN568" s="61">
        <v>-1</v>
      </c>
      <c r="AO568" s="66" t="str">
        <f t="shared" si="336"/>
        <v/>
      </c>
      <c r="AP568" s="66" t="str">
        <f t="shared" si="337"/>
        <v/>
      </c>
      <c r="AQ568" s="67">
        <f t="shared" si="338"/>
        <v>-119</v>
      </c>
      <c r="AR568" s="61">
        <v>-1</v>
      </c>
      <c r="AS568" s="66" t="str">
        <f t="shared" si="339"/>
        <v/>
      </c>
      <c r="AT568" s="66" t="str">
        <f t="shared" si="340"/>
        <v/>
      </c>
      <c r="AU568" s="67">
        <f t="shared" si="341"/>
        <v>-119</v>
      </c>
      <c r="AV568" s="61">
        <v>-1</v>
      </c>
      <c r="AW568" s="66" t="str">
        <f t="shared" si="324"/>
        <v/>
      </c>
      <c r="AX568" s="66" t="str">
        <f t="shared" si="325"/>
        <v/>
      </c>
      <c r="AY568" s="67">
        <f t="shared" si="326"/>
        <v>-119</v>
      </c>
      <c r="AZ568" s="61">
        <v>1</v>
      </c>
      <c r="BA568" s="66">
        <f t="shared" si="327"/>
        <v>119</v>
      </c>
      <c r="BB568" s="66" t="str">
        <f t="shared" si="328"/>
        <v/>
      </c>
      <c r="BC568" s="67" t="str">
        <f t="shared" si="329"/>
        <v/>
      </c>
    </row>
    <row r="569" spans="29:55">
      <c r="AD569" s="68" t="str">
        <v>21</v>
      </c>
      <c r="AE569" s="61">
        <v>100.1</v>
      </c>
      <c r="AF569" s="61">
        <v>-1</v>
      </c>
      <c r="AG569" s="66" t="str">
        <f t="shared" si="330"/>
        <v/>
      </c>
      <c r="AH569" s="66" t="str">
        <f t="shared" si="331"/>
        <v/>
      </c>
      <c r="AI569" s="67">
        <f t="shared" si="332"/>
        <v>-100.1</v>
      </c>
      <c r="AJ569" s="61">
        <v>1</v>
      </c>
      <c r="AK569" s="66">
        <f t="shared" si="333"/>
        <v>100.1</v>
      </c>
      <c r="AL569" s="66" t="str">
        <f t="shared" si="334"/>
        <v/>
      </c>
      <c r="AM569" s="67" t="str">
        <f t="shared" si="335"/>
        <v/>
      </c>
      <c r="AN569" s="61">
        <v>1</v>
      </c>
      <c r="AO569" s="66">
        <f t="shared" si="336"/>
        <v>100.1</v>
      </c>
      <c r="AP569" s="66" t="str">
        <f t="shared" si="337"/>
        <v/>
      </c>
      <c r="AQ569" s="67" t="str">
        <f t="shared" si="338"/>
        <v/>
      </c>
      <c r="AR569" s="61">
        <v>-1</v>
      </c>
      <c r="AS569" s="66" t="str">
        <f t="shared" si="339"/>
        <v/>
      </c>
      <c r="AT569" s="66" t="str">
        <f t="shared" si="340"/>
        <v/>
      </c>
      <c r="AU569" s="67">
        <f t="shared" si="341"/>
        <v>-100.1</v>
      </c>
      <c r="AV569" s="61">
        <v>-1</v>
      </c>
      <c r="AW569" s="66" t="str">
        <f t="shared" si="324"/>
        <v/>
      </c>
      <c r="AX569" s="66" t="str">
        <f t="shared" si="325"/>
        <v/>
      </c>
      <c r="AY569" s="67">
        <f t="shared" si="326"/>
        <v>-100.1</v>
      </c>
      <c r="AZ569" s="61">
        <v>-1</v>
      </c>
      <c r="BA569" s="66" t="str">
        <f t="shared" si="327"/>
        <v/>
      </c>
      <c r="BB569" s="66" t="str">
        <f t="shared" si="328"/>
        <v/>
      </c>
      <c r="BC569" s="67">
        <f t="shared" si="329"/>
        <v>-100.1</v>
      </c>
    </row>
    <row r="570" spans="29:55">
      <c r="AD570" s="68" t="str">
        <v>22</v>
      </c>
      <c r="AE570" s="61">
        <v>83</v>
      </c>
      <c r="AF570" s="61">
        <v>-1</v>
      </c>
      <c r="AG570" s="66" t="str">
        <f t="shared" si="330"/>
        <v/>
      </c>
      <c r="AH570" s="66" t="str">
        <f t="shared" si="331"/>
        <v/>
      </c>
      <c r="AI570" s="67">
        <f t="shared" si="332"/>
        <v>-83</v>
      </c>
      <c r="AJ570" s="61">
        <v>1</v>
      </c>
      <c r="AK570" s="66">
        <f t="shared" si="333"/>
        <v>83</v>
      </c>
      <c r="AL570" s="66" t="str">
        <f t="shared" si="334"/>
        <v/>
      </c>
      <c r="AM570" s="67" t="str">
        <f t="shared" si="335"/>
        <v/>
      </c>
      <c r="AN570" s="61">
        <v>1</v>
      </c>
      <c r="AO570" s="66">
        <f t="shared" si="336"/>
        <v>83</v>
      </c>
      <c r="AP570" s="66" t="str">
        <f t="shared" si="337"/>
        <v/>
      </c>
      <c r="AQ570" s="67" t="str">
        <f t="shared" si="338"/>
        <v/>
      </c>
      <c r="AR570" s="61">
        <v>-1</v>
      </c>
      <c r="AS570" s="66" t="str">
        <f t="shared" si="339"/>
        <v/>
      </c>
      <c r="AT570" s="66" t="str">
        <f t="shared" si="340"/>
        <v/>
      </c>
      <c r="AU570" s="67">
        <f t="shared" si="341"/>
        <v>-83</v>
      </c>
      <c r="AV570" s="61">
        <v>0</v>
      </c>
      <c r="AW570" s="66" t="str">
        <f t="shared" si="324"/>
        <v/>
      </c>
      <c r="AX570" s="66">
        <f t="shared" si="325"/>
        <v>0</v>
      </c>
      <c r="AY570" s="67" t="str">
        <f t="shared" si="326"/>
        <v/>
      </c>
      <c r="AZ570" s="61">
        <v>-1</v>
      </c>
      <c r="BA570" s="66" t="str">
        <f t="shared" si="327"/>
        <v/>
      </c>
      <c r="BB570" s="66" t="str">
        <f t="shared" si="328"/>
        <v/>
      </c>
      <c r="BC570" s="67">
        <f t="shared" si="329"/>
        <v>-83</v>
      </c>
    </row>
    <row r="571" spans="29:55">
      <c r="AD571" s="68" t="str">
        <v>23</v>
      </c>
      <c r="AE571" s="61">
        <v>65.3</v>
      </c>
      <c r="AF571" s="61">
        <v>-1</v>
      </c>
      <c r="AG571" s="66" t="str">
        <f t="shared" si="330"/>
        <v/>
      </c>
      <c r="AH571" s="66" t="str">
        <f t="shared" si="331"/>
        <v/>
      </c>
      <c r="AI571" s="67">
        <f t="shared" si="332"/>
        <v>-65.3</v>
      </c>
      <c r="AJ571" s="61">
        <v>1</v>
      </c>
      <c r="AK571" s="66">
        <f t="shared" si="333"/>
        <v>65.3</v>
      </c>
      <c r="AL571" s="66" t="str">
        <f t="shared" si="334"/>
        <v/>
      </c>
      <c r="AM571" s="67" t="str">
        <f t="shared" si="335"/>
        <v/>
      </c>
      <c r="AN571" s="61">
        <v>1</v>
      </c>
      <c r="AO571" s="66">
        <f t="shared" si="336"/>
        <v>65.3</v>
      </c>
      <c r="AP571" s="66" t="str">
        <f t="shared" si="337"/>
        <v/>
      </c>
      <c r="AQ571" s="67" t="str">
        <f t="shared" si="338"/>
        <v/>
      </c>
      <c r="AR571" s="61">
        <v>-1</v>
      </c>
      <c r="AS571" s="66" t="str">
        <f t="shared" si="339"/>
        <v/>
      </c>
      <c r="AT571" s="66" t="str">
        <f t="shared" si="340"/>
        <v/>
      </c>
      <c r="AU571" s="67">
        <f t="shared" si="341"/>
        <v>-65.3</v>
      </c>
      <c r="AV571" s="61">
        <v>1</v>
      </c>
      <c r="AW571" s="66">
        <f t="shared" si="324"/>
        <v>65.3</v>
      </c>
      <c r="AX571" s="66" t="str">
        <f t="shared" si="325"/>
        <v/>
      </c>
      <c r="AY571" s="67" t="str">
        <f t="shared" si="326"/>
        <v/>
      </c>
      <c r="AZ571" s="61">
        <v>-1</v>
      </c>
      <c r="BA571" s="66" t="str">
        <f t="shared" si="327"/>
        <v/>
      </c>
      <c r="BB571" s="66" t="str">
        <f t="shared" si="328"/>
        <v/>
      </c>
      <c r="BC571" s="67">
        <f t="shared" si="329"/>
        <v>-65.3</v>
      </c>
    </row>
    <row r="572" spans="29:55" ht="15.75" thickBot="1">
      <c r="AC572" s="476">
        <f>AD544</f>
        <v>44727</v>
      </c>
      <c r="AD572" s="69" t="s">
        <v>85</v>
      </c>
      <c r="AE572" s="70">
        <f>SUM(AE548:AE571)</f>
        <v>3998.9</v>
      </c>
      <c r="AF572" s="70"/>
      <c r="AG572" s="71">
        <f>ABS(SUM(AG548:AG571))</f>
        <v>2240.6999999999998</v>
      </c>
      <c r="AH572" s="70"/>
      <c r="AI572" s="72">
        <f>ABS(SUM(AI548:AI571))</f>
        <v>1758.1999999999998</v>
      </c>
      <c r="AJ572" s="70"/>
      <c r="AK572" s="71">
        <f>ABS(SUM(AK548:AK571))</f>
        <v>1498.6</v>
      </c>
      <c r="AL572" s="70"/>
      <c r="AM572" s="72">
        <f>ABS(SUM(AM548:AM571))</f>
        <v>2500.3000000000002</v>
      </c>
      <c r="AN572" s="70"/>
      <c r="AO572" s="71">
        <f>ABS(SUM(AO548:AO571))</f>
        <v>1585.1999999999998</v>
      </c>
      <c r="AP572" s="70"/>
      <c r="AQ572" s="72">
        <f>ABS(SUM(AQ548:AQ571))</f>
        <v>2413.7000000000003</v>
      </c>
      <c r="AR572" s="70"/>
      <c r="AS572" s="71">
        <f>ABS(SUM(AS548:AS571))</f>
        <v>1946.2</v>
      </c>
      <c r="AT572" s="70"/>
      <c r="AU572" s="72">
        <f>ABS(SUM(AU548:AU571))</f>
        <v>2052.6999999999998</v>
      </c>
      <c r="AV572" s="70"/>
      <c r="AW572" s="71">
        <f>ABS(SUM(AW548:AW571))</f>
        <v>1322.7</v>
      </c>
      <c r="AX572" s="70"/>
      <c r="AY572" s="72">
        <f>ABS(SUM(AY548:AY571))</f>
        <v>1340.6999999999998</v>
      </c>
      <c r="AZ572" s="70"/>
      <c r="BA572" s="71">
        <f>ABS(SUM(BA548:BA571))</f>
        <v>1998.2999999999997</v>
      </c>
      <c r="BB572" s="70"/>
      <c r="BC572" s="72">
        <f>ABS(SUM(BC548:BC571))</f>
        <v>2000.6</v>
      </c>
    </row>
    <row r="574" spans="29:55" ht="15" thickBot="1">
      <c r="AD574" s="476">
        <f>skemA1!B24</f>
        <v>44728</v>
      </c>
    </row>
    <row r="575" spans="29:55" ht="15" thickBot="1">
      <c r="AD575" s="677" t="s">
        <v>75</v>
      </c>
      <c r="AE575" s="60" t="s">
        <v>558</v>
      </c>
      <c r="AF575" s="672" t="s">
        <v>559</v>
      </c>
      <c r="AG575" s="672"/>
      <c r="AH575" s="672"/>
      <c r="AI575" s="673"/>
      <c r="AJ575" s="672" t="s">
        <v>562</v>
      </c>
      <c r="AK575" s="672"/>
      <c r="AL575" s="672"/>
      <c r="AM575" s="673"/>
      <c r="AN575" s="672" t="s">
        <v>563</v>
      </c>
      <c r="AO575" s="672"/>
      <c r="AP575" s="672"/>
      <c r="AQ575" s="673"/>
      <c r="AR575" s="672" t="s">
        <v>564</v>
      </c>
      <c r="AS575" s="672"/>
      <c r="AT575" s="672"/>
      <c r="AU575" s="673"/>
      <c r="AV575" s="672" t="s">
        <v>565</v>
      </c>
      <c r="AW575" s="672"/>
      <c r="AX575" s="672"/>
      <c r="AY575" s="673"/>
      <c r="AZ575" s="672" t="s">
        <v>566</v>
      </c>
      <c r="BA575" s="672"/>
      <c r="BB575" s="672"/>
      <c r="BC575" s="673"/>
    </row>
    <row r="576" spans="29:55" ht="15" thickBot="1">
      <c r="AD576" s="677"/>
      <c r="AE576" s="61"/>
      <c r="AF576" s="674" t="s">
        <v>561</v>
      </c>
      <c r="AG576" s="670" t="s">
        <v>560</v>
      </c>
      <c r="AH576" s="670"/>
      <c r="AI576" s="671"/>
      <c r="AJ576" s="674" t="s">
        <v>561</v>
      </c>
      <c r="AK576" s="670" t="s">
        <v>560</v>
      </c>
      <c r="AL576" s="670"/>
      <c r="AM576" s="671"/>
      <c r="AN576" s="674" t="s">
        <v>561</v>
      </c>
      <c r="AO576" s="670" t="s">
        <v>560</v>
      </c>
      <c r="AP576" s="670"/>
      <c r="AQ576" s="671"/>
      <c r="AR576" s="674" t="s">
        <v>561</v>
      </c>
      <c r="AS576" s="670" t="s">
        <v>560</v>
      </c>
      <c r="AT576" s="670"/>
      <c r="AU576" s="671"/>
      <c r="AV576" s="674" t="s">
        <v>561</v>
      </c>
      <c r="AW576" s="670" t="s">
        <v>560</v>
      </c>
      <c r="AX576" s="670"/>
      <c r="AY576" s="671"/>
      <c r="AZ576" s="674" t="s">
        <v>561</v>
      </c>
      <c r="BA576" s="670" t="s">
        <v>560</v>
      </c>
      <c r="BB576" s="670"/>
      <c r="BC576" s="671"/>
    </row>
    <row r="577" spans="30:55">
      <c r="AD577" s="677"/>
      <c r="AE577" s="62"/>
      <c r="AF577" s="674"/>
      <c r="AG577" s="63" t="s">
        <v>76</v>
      </c>
      <c r="AH577" s="63">
        <v>0</v>
      </c>
      <c r="AI577" s="64" t="s">
        <v>77</v>
      </c>
      <c r="AJ577" s="674"/>
      <c r="AK577" s="63" t="s">
        <v>76</v>
      </c>
      <c r="AL577" s="63">
        <v>0</v>
      </c>
      <c r="AM577" s="64" t="s">
        <v>77</v>
      </c>
      <c r="AN577" s="674"/>
      <c r="AO577" s="63" t="s">
        <v>76</v>
      </c>
      <c r="AP577" s="63">
        <v>0</v>
      </c>
      <c r="AQ577" s="64" t="s">
        <v>77</v>
      </c>
      <c r="AR577" s="674"/>
      <c r="AS577" s="63" t="s">
        <v>76</v>
      </c>
      <c r="AT577" s="63">
        <v>0</v>
      </c>
      <c r="AU577" s="64" t="s">
        <v>77</v>
      </c>
      <c r="AV577" s="674"/>
      <c r="AW577" s="63" t="s">
        <v>76</v>
      </c>
      <c r="AX577" s="63">
        <v>0</v>
      </c>
      <c r="AY577" s="64" t="s">
        <v>77</v>
      </c>
      <c r="AZ577" s="674"/>
      <c r="BA577" s="63" t="s">
        <v>76</v>
      </c>
      <c r="BB577" s="63">
        <v>0</v>
      </c>
      <c r="BC577" s="64" t="s">
        <v>77</v>
      </c>
    </row>
    <row r="578" spans="30:55">
      <c r="AD578" s="65" t="str">
        <f t="array" ref="AD578:AD601">TRANSPOSE($C$5:$Z$5)</f>
        <v>00</v>
      </c>
      <c r="AE578" s="66">
        <f t="array" ref="AE578:AE601">TRANSPOSE(skemA1!$C$24:$Z$24)</f>
        <v>65.2</v>
      </c>
      <c r="AF578" s="66">
        <f t="array" ref="AF578:AF601">TRANSPOSE($C$6:$Z$6)</f>
        <v>-1</v>
      </c>
      <c r="AG578" s="66" t="str">
        <f>IF(AF578&gt;0,AF578*$AE578,"")</f>
        <v/>
      </c>
      <c r="AH578" s="66" t="str">
        <f>IF(AF578=0,AF578*$AE578,"")</f>
        <v/>
      </c>
      <c r="AI578" s="67">
        <f>IF(AF578&lt;0,AF578*$AE578,"")</f>
        <v>-65.2</v>
      </c>
      <c r="AJ578" s="66">
        <f t="array" ref="AJ578:AJ601">TRANSPOSE($C$7:$Z$7)</f>
        <v>-1</v>
      </c>
      <c r="AK578" s="66" t="str">
        <f>IF(AJ578&gt;0,AJ578*$AE578,"")</f>
        <v/>
      </c>
      <c r="AL578" s="66" t="str">
        <f>IF(AJ578=0,AJ578*$AE578,"")</f>
        <v/>
      </c>
      <c r="AM578" s="67">
        <f>IF(AJ578&lt;0,AJ578*$AE578,"")</f>
        <v>-65.2</v>
      </c>
      <c r="AN578" s="66">
        <f t="array" ref="AN578:AN601">TRANSPOSE($C$8:$Z$8)</f>
        <v>1</v>
      </c>
      <c r="AO578" s="66">
        <f>IF(AN578&gt;0,AN578*$AE578,"")</f>
        <v>65.2</v>
      </c>
      <c r="AP578" s="66" t="str">
        <f>IF(AN578=0,AN578*$AE578,"")</f>
        <v/>
      </c>
      <c r="AQ578" s="67" t="str">
        <f>IF(AN578&lt;0,AN578*$AE578,"")</f>
        <v/>
      </c>
      <c r="AR578" s="66">
        <f t="array" ref="AR578:AR601">TRANSPOSE($C$9:$Z$9)</f>
        <v>1</v>
      </c>
      <c r="AS578" s="66">
        <f>IF(AR578&gt;0,AR578*$AE578,"")</f>
        <v>65.2</v>
      </c>
      <c r="AT578" s="66" t="str">
        <f>IF(AR578=0,AR578*$AE578,"")</f>
        <v/>
      </c>
      <c r="AU578" s="67" t="str">
        <f>IF(AR578&lt;0,AR578*$AE578,"")</f>
        <v/>
      </c>
      <c r="AV578" s="66">
        <f t="array" ref="AV578:AV601">TRANSPOSE($C$10:$Z$10)</f>
        <v>1</v>
      </c>
      <c r="AW578" s="66">
        <f t="shared" ref="AW578:AW601" si="342">IF(AV578&gt;0,AV578*$AE578,"")</f>
        <v>65.2</v>
      </c>
      <c r="AX578" s="66" t="str">
        <f t="shared" ref="AX578:AX601" si="343">IF(AV578=0,AV578*$AE578,"")</f>
        <v/>
      </c>
      <c r="AY578" s="67" t="str">
        <f t="shared" ref="AY578:AY601" si="344">IF(AV578&lt;0,AV578*$AE578,"")</f>
        <v/>
      </c>
      <c r="AZ578" s="66">
        <f t="array" ref="AZ578:AZ601">TRANSPOSE($C$11:$Z$11)</f>
        <v>1</v>
      </c>
      <c r="BA578" s="66">
        <f t="shared" ref="BA578:BA601" si="345">IF(AZ578&gt;0,AZ578*$AE578,"")</f>
        <v>65.2</v>
      </c>
      <c r="BB578" s="66" t="str">
        <f t="shared" ref="BB578:BB601" si="346">IF(AZ578=0,AZ578*$AE578,"")</f>
        <v/>
      </c>
      <c r="BC578" s="67" t="str">
        <f t="shared" ref="BC578:BC601" si="347">IF(AZ578&lt;0,AZ578*$AE578,"")</f>
        <v/>
      </c>
    </row>
    <row r="579" spans="30:55">
      <c r="AD579" s="68" t="str">
        <v>01</v>
      </c>
      <c r="AE579" s="61">
        <v>86.8</v>
      </c>
      <c r="AF579" s="61">
        <v>-1</v>
      </c>
      <c r="AG579" s="66" t="str">
        <f t="shared" ref="AG579:AG601" si="348">IF(AF579&gt;0,AF579*$AE579,"")</f>
        <v/>
      </c>
      <c r="AH579" s="66" t="str">
        <f t="shared" ref="AH579:AH601" si="349">IF(AF579=0,AF579*$AE579,"")</f>
        <v/>
      </c>
      <c r="AI579" s="67">
        <f t="shared" ref="AI579:AI601" si="350">IF(AF579&lt;0,AF579*$AE579,"")</f>
        <v>-86.8</v>
      </c>
      <c r="AJ579" s="61">
        <v>-1</v>
      </c>
      <c r="AK579" s="66" t="str">
        <f t="shared" ref="AK579:AK601" si="351">IF(AJ579&gt;0,AJ579*$AE579,"")</f>
        <v/>
      </c>
      <c r="AL579" s="66" t="str">
        <f t="shared" ref="AL579:AL601" si="352">IF(AJ579=0,AJ579*$AE579,"")</f>
        <v/>
      </c>
      <c r="AM579" s="67">
        <f t="shared" ref="AM579:AM601" si="353">IF(AJ579&lt;0,AJ579*$AE579,"")</f>
        <v>-86.8</v>
      </c>
      <c r="AN579" s="61">
        <v>1</v>
      </c>
      <c r="AO579" s="66">
        <f t="shared" ref="AO579:AO601" si="354">IF(AN579&gt;0,AN579*$AE579,"")</f>
        <v>86.8</v>
      </c>
      <c r="AP579" s="66" t="str">
        <f t="shared" ref="AP579:AP601" si="355">IF(AN579=0,AN579*$AE579,"")</f>
        <v/>
      </c>
      <c r="AQ579" s="67" t="str">
        <f t="shared" ref="AQ579:AQ601" si="356">IF(AN579&lt;0,AN579*$AE579,"")</f>
        <v/>
      </c>
      <c r="AR579" s="61">
        <v>1</v>
      </c>
      <c r="AS579" s="66">
        <f t="shared" ref="AS579:AS601" si="357">IF(AR579&gt;0,AR579*$AE579,"")</f>
        <v>86.8</v>
      </c>
      <c r="AT579" s="66" t="str">
        <f t="shared" ref="AT579:AT601" si="358">IF(AR579=0,AR579*$AE579,"")</f>
        <v/>
      </c>
      <c r="AU579" s="67" t="str">
        <f t="shared" ref="AU579:AU601" si="359">IF(AR579&lt;0,AR579*$AE579,"")</f>
        <v/>
      </c>
      <c r="AV579" s="61">
        <v>0</v>
      </c>
      <c r="AW579" s="66" t="str">
        <f t="shared" si="342"/>
        <v/>
      </c>
      <c r="AX579" s="66">
        <f t="shared" si="343"/>
        <v>0</v>
      </c>
      <c r="AY579" s="67" t="str">
        <f t="shared" si="344"/>
        <v/>
      </c>
      <c r="AZ579" s="61">
        <v>1</v>
      </c>
      <c r="BA579" s="66">
        <f t="shared" si="345"/>
        <v>86.8</v>
      </c>
      <c r="BB579" s="66" t="str">
        <f t="shared" si="346"/>
        <v/>
      </c>
      <c r="BC579" s="67" t="str">
        <f t="shared" si="347"/>
        <v/>
      </c>
    </row>
    <row r="580" spans="30:55">
      <c r="AD580" s="68" t="str">
        <v>02</v>
      </c>
      <c r="AE580" s="61">
        <v>125.2</v>
      </c>
      <c r="AF580" s="61">
        <v>-1</v>
      </c>
      <c r="AG580" s="66" t="str">
        <f t="shared" si="348"/>
        <v/>
      </c>
      <c r="AH580" s="66" t="str">
        <f t="shared" si="349"/>
        <v/>
      </c>
      <c r="AI580" s="67">
        <f t="shared" si="350"/>
        <v>-125.2</v>
      </c>
      <c r="AJ580" s="61">
        <v>-1</v>
      </c>
      <c r="AK580" s="66" t="str">
        <f t="shared" si="351"/>
        <v/>
      </c>
      <c r="AL580" s="66" t="str">
        <f t="shared" si="352"/>
        <v/>
      </c>
      <c r="AM580" s="67">
        <f t="shared" si="353"/>
        <v>-125.2</v>
      </c>
      <c r="AN580" s="61">
        <v>1</v>
      </c>
      <c r="AO580" s="66">
        <f t="shared" si="354"/>
        <v>125.2</v>
      </c>
      <c r="AP580" s="66" t="str">
        <f t="shared" si="355"/>
        <v/>
      </c>
      <c r="AQ580" s="67" t="str">
        <f t="shared" si="356"/>
        <v/>
      </c>
      <c r="AR580" s="61">
        <v>1</v>
      </c>
      <c r="AS580" s="66">
        <f t="shared" si="357"/>
        <v>125.2</v>
      </c>
      <c r="AT580" s="66" t="str">
        <f t="shared" si="358"/>
        <v/>
      </c>
      <c r="AU580" s="67" t="str">
        <f t="shared" si="359"/>
        <v/>
      </c>
      <c r="AV580" s="61">
        <v>-1</v>
      </c>
      <c r="AW580" s="66" t="str">
        <f t="shared" si="342"/>
        <v/>
      </c>
      <c r="AX580" s="66" t="str">
        <f t="shared" si="343"/>
        <v/>
      </c>
      <c r="AY580" s="67">
        <f t="shared" si="344"/>
        <v>-125.2</v>
      </c>
      <c r="AZ580" s="61">
        <v>1</v>
      </c>
      <c r="BA580" s="66">
        <f t="shared" si="345"/>
        <v>125.2</v>
      </c>
      <c r="BB580" s="66" t="str">
        <f t="shared" si="346"/>
        <v/>
      </c>
      <c r="BC580" s="67" t="str">
        <f t="shared" si="347"/>
        <v/>
      </c>
    </row>
    <row r="581" spans="30:55">
      <c r="AD581" s="68" t="str">
        <v>03</v>
      </c>
      <c r="AE581" s="61">
        <v>174.8</v>
      </c>
      <c r="AF581" s="61">
        <v>-1</v>
      </c>
      <c r="AG581" s="66" t="str">
        <f t="shared" si="348"/>
        <v/>
      </c>
      <c r="AH581" s="66" t="str">
        <f t="shared" si="349"/>
        <v/>
      </c>
      <c r="AI581" s="67">
        <f t="shared" si="350"/>
        <v>-174.8</v>
      </c>
      <c r="AJ581" s="61">
        <v>-1</v>
      </c>
      <c r="AK581" s="66" t="str">
        <f t="shared" si="351"/>
        <v/>
      </c>
      <c r="AL581" s="66" t="str">
        <f t="shared" si="352"/>
        <v/>
      </c>
      <c r="AM581" s="67">
        <f t="shared" si="353"/>
        <v>-174.8</v>
      </c>
      <c r="AN581" s="61">
        <v>-1</v>
      </c>
      <c r="AO581" s="66" t="str">
        <f t="shared" si="354"/>
        <v/>
      </c>
      <c r="AP581" s="66" t="str">
        <f t="shared" si="355"/>
        <v/>
      </c>
      <c r="AQ581" s="67">
        <f t="shared" si="356"/>
        <v>-174.8</v>
      </c>
      <c r="AR581" s="61">
        <v>1</v>
      </c>
      <c r="AS581" s="66">
        <f t="shared" si="357"/>
        <v>174.8</v>
      </c>
      <c r="AT581" s="66" t="str">
        <f t="shared" si="358"/>
        <v/>
      </c>
      <c r="AU581" s="67" t="str">
        <f t="shared" si="359"/>
        <v/>
      </c>
      <c r="AV581" s="61">
        <v>-1</v>
      </c>
      <c r="AW581" s="66" t="str">
        <f t="shared" si="342"/>
        <v/>
      </c>
      <c r="AX581" s="66" t="str">
        <f t="shared" si="343"/>
        <v/>
      </c>
      <c r="AY581" s="67">
        <f t="shared" si="344"/>
        <v>-174.8</v>
      </c>
      <c r="AZ581" s="61">
        <v>-1</v>
      </c>
      <c r="BA581" s="66" t="str">
        <f t="shared" si="345"/>
        <v/>
      </c>
      <c r="BB581" s="66" t="str">
        <f t="shared" si="346"/>
        <v/>
      </c>
      <c r="BC581" s="67">
        <f t="shared" si="347"/>
        <v>-174.8</v>
      </c>
    </row>
    <row r="582" spans="30:55">
      <c r="AD582" s="68" t="str">
        <v>04</v>
      </c>
      <c r="AE582" s="61">
        <v>225.89999999999998</v>
      </c>
      <c r="AF582" s="61">
        <v>-1</v>
      </c>
      <c r="AG582" s="66" t="str">
        <f t="shared" si="348"/>
        <v/>
      </c>
      <c r="AH582" s="66" t="str">
        <f t="shared" si="349"/>
        <v/>
      </c>
      <c r="AI582" s="67">
        <f t="shared" si="350"/>
        <v>-225.89999999999998</v>
      </c>
      <c r="AJ582" s="61">
        <v>-1</v>
      </c>
      <c r="AK582" s="66" t="str">
        <f t="shared" si="351"/>
        <v/>
      </c>
      <c r="AL582" s="66" t="str">
        <f t="shared" si="352"/>
        <v/>
      </c>
      <c r="AM582" s="67">
        <f t="shared" si="353"/>
        <v>-225.89999999999998</v>
      </c>
      <c r="AN582" s="61">
        <v>-1</v>
      </c>
      <c r="AO582" s="66" t="str">
        <f t="shared" si="354"/>
        <v/>
      </c>
      <c r="AP582" s="66" t="str">
        <f t="shared" si="355"/>
        <v/>
      </c>
      <c r="AQ582" s="67">
        <f t="shared" si="356"/>
        <v>-225.89999999999998</v>
      </c>
      <c r="AR582" s="61">
        <v>1</v>
      </c>
      <c r="AS582" s="66">
        <f t="shared" si="357"/>
        <v>225.89999999999998</v>
      </c>
      <c r="AT582" s="66" t="str">
        <f t="shared" si="358"/>
        <v/>
      </c>
      <c r="AU582" s="67" t="str">
        <f t="shared" si="359"/>
        <v/>
      </c>
      <c r="AV582" s="61">
        <v>0</v>
      </c>
      <c r="AW582" s="66" t="str">
        <f t="shared" si="342"/>
        <v/>
      </c>
      <c r="AX582" s="66">
        <f t="shared" si="343"/>
        <v>0</v>
      </c>
      <c r="AY582" s="67" t="str">
        <f t="shared" si="344"/>
        <v/>
      </c>
      <c r="AZ582" s="61">
        <v>-1</v>
      </c>
      <c r="BA582" s="66" t="str">
        <f t="shared" si="345"/>
        <v/>
      </c>
      <c r="BB582" s="66" t="str">
        <f t="shared" si="346"/>
        <v/>
      </c>
      <c r="BC582" s="67">
        <f t="shared" si="347"/>
        <v>-225.89999999999998</v>
      </c>
    </row>
    <row r="583" spans="30:55">
      <c r="AD583" s="68" t="str">
        <v>05</v>
      </c>
      <c r="AE583" s="61">
        <v>264.5</v>
      </c>
      <c r="AF583" s="61">
        <v>-1</v>
      </c>
      <c r="AG583" s="66" t="str">
        <f t="shared" si="348"/>
        <v/>
      </c>
      <c r="AH583" s="66" t="str">
        <f t="shared" si="349"/>
        <v/>
      </c>
      <c r="AI583" s="67">
        <f t="shared" si="350"/>
        <v>-264.5</v>
      </c>
      <c r="AJ583" s="61">
        <v>-1</v>
      </c>
      <c r="AK583" s="66" t="str">
        <f t="shared" si="351"/>
        <v/>
      </c>
      <c r="AL583" s="66" t="str">
        <f t="shared" si="352"/>
        <v/>
      </c>
      <c r="AM583" s="67">
        <f t="shared" si="353"/>
        <v>-264.5</v>
      </c>
      <c r="AN583" s="61">
        <v>-1</v>
      </c>
      <c r="AO583" s="66" t="str">
        <f t="shared" si="354"/>
        <v/>
      </c>
      <c r="AP583" s="66" t="str">
        <f t="shared" si="355"/>
        <v/>
      </c>
      <c r="AQ583" s="67">
        <f t="shared" si="356"/>
        <v>-264.5</v>
      </c>
      <c r="AR583" s="61">
        <v>1</v>
      </c>
      <c r="AS583" s="66">
        <f t="shared" si="357"/>
        <v>264.5</v>
      </c>
      <c r="AT583" s="66" t="str">
        <f t="shared" si="358"/>
        <v/>
      </c>
      <c r="AU583" s="67" t="str">
        <f t="shared" si="359"/>
        <v/>
      </c>
      <c r="AV583" s="61">
        <v>1</v>
      </c>
      <c r="AW583" s="66">
        <f t="shared" si="342"/>
        <v>264.5</v>
      </c>
      <c r="AX583" s="66" t="str">
        <f t="shared" si="343"/>
        <v/>
      </c>
      <c r="AY583" s="67" t="str">
        <f t="shared" si="344"/>
        <v/>
      </c>
      <c r="AZ583" s="61">
        <v>-1</v>
      </c>
      <c r="BA583" s="66" t="str">
        <f t="shared" si="345"/>
        <v/>
      </c>
      <c r="BB583" s="66" t="str">
        <f t="shared" si="346"/>
        <v/>
      </c>
      <c r="BC583" s="67">
        <f t="shared" si="347"/>
        <v>-264.5</v>
      </c>
    </row>
    <row r="584" spans="30:55">
      <c r="AD584" s="68" t="str">
        <v>06</v>
      </c>
      <c r="AE584" s="61">
        <v>287</v>
      </c>
      <c r="AF584" s="61">
        <v>1</v>
      </c>
      <c r="AG584" s="66">
        <f t="shared" si="348"/>
        <v>287</v>
      </c>
      <c r="AH584" s="66" t="str">
        <f t="shared" si="349"/>
        <v/>
      </c>
      <c r="AI584" s="67" t="str">
        <f t="shared" si="350"/>
        <v/>
      </c>
      <c r="AJ584" s="61">
        <v>-1</v>
      </c>
      <c r="AK584" s="66" t="str">
        <f t="shared" si="351"/>
        <v/>
      </c>
      <c r="AL584" s="66" t="str">
        <f t="shared" si="352"/>
        <v/>
      </c>
      <c r="AM584" s="67">
        <f t="shared" si="353"/>
        <v>-287</v>
      </c>
      <c r="AN584" s="61">
        <v>-1</v>
      </c>
      <c r="AO584" s="66" t="str">
        <f t="shared" si="354"/>
        <v/>
      </c>
      <c r="AP584" s="66" t="str">
        <f t="shared" si="355"/>
        <v/>
      </c>
      <c r="AQ584" s="67">
        <f t="shared" si="356"/>
        <v>-287</v>
      </c>
      <c r="AR584" s="61">
        <v>-1</v>
      </c>
      <c r="AS584" s="66" t="str">
        <f t="shared" si="357"/>
        <v/>
      </c>
      <c r="AT584" s="66" t="str">
        <f t="shared" si="358"/>
        <v/>
      </c>
      <c r="AU584" s="67">
        <f t="shared" si="359"/>
        <v>-287</v>
      </c>
      <c r="AV584" s="61">
        <v>1</v>
      </c>
      <c r="AW584" s="66">
        <f t="shared" si="342"/>
        <v>287</v>
      </c>
      <c r="AX584" s="66" t="str">
        <f t="shared" si="343"/>
        <v/>
      </c>
      <c r="AY584" s="67" t="str">
        <f t="shared" si="344"/>
        <v/>
      </c>
      <c r="AZ584" s="61">
        <v>1</v>
      </c>
      <c r="BA584" s="66">
        <f t="shared" si="345"/>
        <v>287</v>
      </c>
      <c r="BB584" s="66" t="str">
        <f t="shared" si="346"/>
        <v/>
      </c>
      <c r="BC584" s="67" t="str">
        <f t="shared" si="347"/>
        <v/>
      </c>
    </row>
    <row r="585" spans="30:55">
      <c r="AD585" s="68" t="str">
        <v>07</v>
      </c>
      <c r="AE585" s="61">
        <v>288.89999999999998</v>
      </c>
      <c r="AF585" s="61">
        <v>1</v>
      </c>
      <c r="AG585" s="66">
        <f t="shared" si="348"/>
        <v>288.89999999999998</v>
      </c>
      <c r="AH585" s="66" t="str">
        <f t="shared" si="349"/>
        <v/>
      </c>
      <c r="AI585" s="67" t="str">
        <f t="shared" si="350"/>
        <v/>
      </c>
      <c r="AJ585" s="61">
        <v>-1</v>
      </c>
      <c r="AK585" s="66" t="str">
        <f t="shared" si="351"/>
        <v/>
      </c>
      <c r="AL585" s="66" t="str">
        <f t="shared" si="352"/>
        <v/>
      </c>
      <c r="AM585" s="67">
        <f t="shared" si="353"/>
        <v>-288.89999999999998</v>
      </c>
      <c r="AN585" s="61">
        <v>-1</v>
      </c>
      <c r="AO585" s="66" t="str">
        <f t="shared" si="354"/>
        <v/>
      </c>
      <c r="AP585" s="66" t="str">
        <f t="shared" si="355"/>
        <v/>
      </c>
      <c r="AQ585" s="67">
        <f t="shared" si="356"/>
        <v>-288.89999999999998</v>
      </c>
      <c r="AR585" s="61">
        <v>-1</v>
      </c>
      <c r="AS585" s="66" t="str">
        <f t="shared" si="357"/>
        <v/>
      </c>
      <c r="AT585" s="66" t="str">
        <f t="shared" si="358"/>
        <v/>
      </c>
      <c r="AU585" s="67">
        <f t="shared" si="359"/>
        <v>-288.89999999999998</v>
      </c>
      <c r="AV585" s="61">
        <v>0</v>
      </c>
      <c r="AW585" s="66" t="str">
        <f t="shared" si="342"/>
        <v/>
      </c>
      <c r="AX585" s="66">
        <f t="shared" si="343"/>
        <v>0</v>
      </c>
      <c r="AY585" s="67" t="str">
        <f t="shared" si="344"/>
        <v/>
      </c>
      <c r="AZ585" s="61">
        <v>1</v>
      </c>
      <c r="BA585" s="66">
        <f t="shared" si="345"/>
        <v>288.89999999999998</v>
      </c>
      <c r="BB585" s="66" t="str">
        <f t="shared" si="346"/>
        <v/>
      </c>
      <c r="BC585" s="67" t="str">
        <f t="shared" si="347"/>
        <v/>
      </c>
    </row>
    <row r="586" spans="30:55">
      <c r="AD586" s="68" t="str">
        <v>08</v>
      </c>
      <c r="AE586" s="61">
        <v>271.09999999999997</v>
      </c>
      <c r="AF586" s="61">
        <v>1</v>
      </c>
      <c r="AG586" s="66">
        <f t="shared" si="348"/>
        <v>271.09999999999997</v>
      </c>
      <c r="AH586" s="66" t="str">
        <f t="shared" si="349"/>
        <v/>
      </c>
      <c r="AI586" s="67" t="str">
        <f t="shared" si="350"/>
        <v/>
      </c>
      <c r="AJ586" s="61">
        <v>-1</v>
      </c>
      <c r="AK586" s="66" t="str">
        <f t="shared" si="351"/>
        <v/>
      </c>
      <c r="AL586" s="66" t="str">
        <f t="shared" si="352"/>
        <v/>
      </c>
      <c r="AM586" s="67">
        <f t="shared" si="353"/>
        <v>-271.09999999999997</v>
      </c>
      <c r="AN586" s="61">
        <v>-1</v>
      </c>
      <c r="AO586" s="66" t="str">
        <f t="shared" si="354"/>
        <v/>
      </c>
      <c r="AP586" s="66" t="str">
        <f t="shared" si="355"/>
        <v/>
      </c>
      <c r="AQ586" s="67">
        <f t="shared" si="356"/>
        <v>-271.09999999999997</v>
      </c>
      <c r="AR586" s="61">
        <v>-1</v>
      </c>
      <c r="AS586" s="66" t="str">
        <f t="shared" si="357"/>
        <v/>
      </c>
      <c r="AT586" s="66" t="str">
        <f t="shared" si="358"/>
        <v/>
      </c>
      <c r="AU586" s="67">
        <f t="shared" si="359"/>
        <v>-271.09999999999997</v>
      </c>
      <c r="AV586" s="61">
        <v>-1</v>
      </c>
      <c r="AW586" s="66" t="str">
        <f t="shared" si="342"/>
        <v/>
      </c>
      <c r="AX586" s="66" t="str">
        <f t="shared" si="343"/>
        <v/>
      </c>
      <c r="AY586" s="67">
        <f t="shared" si="344"/>
        <v>-271.09999999999997</v>
      </c>
      <c r="AZ586" s="61">
        <v>1</v>
      </c>
      <c r="BA586" s="66">
        <f t="shared" si="345"/>
        <v>271.09999999999997</v>
      </c>
      <c r="BB586" s="66" t="str">
        <f t="shared" si="346"/>
        <v/>
      </c>
      <c r="BC586" s="67" t="str">
        <f t="shared" si="347"/>
        <v/>
      </c>
    </row>
    <row r="587" spans="30:55">
      <c r="AD587" s="68" t="str">
        <v>09</v>
      </c>
      <c r="AE587" s="61">
        <v>242.20000000000002</v>
      </c>
      <c r="AF587" s="61">
        <v>1</v>
      </c>
      <c r="AG587" s="66">
        <f t="shared" si="348"/>
        <v>242.20000000000002</v>
      </c>
      <c r="AH587" s="66" t="str">
        <f t="shared" si="349"/>
        <v/>
      </c>
      <c r="AI587" s="67" t="str">
        <f t="shared" si="350"/>
        <v/>
      </c>
      <c r="AJ587" s="61">
        <v>-1</v>
      </c>
      <c r="AK587" s="66" t="str">
        <f t="shared" si="351"/>
        <v/>
      </c>
      <c r="AL587" s="66" t="str">
        <f t="shared" si="352"/>
        <v/>
      </c>
      <c r="AM587" s="67">
        <f t="shared" si="353"/>
        <v>-242.20000000000002</v>
      </c>
      <c r="AN587" s="61">
        <v>1</v>
      </c>
      <c r="AO587" s="66">
        <f t="shared" si="354"/>
        <v>242.20000000000002</v>
      </c>
      <c r="AP587" s="66" t="str">
        <f t="shared" si="355"/>
        <v/>
      </c>
      <c r="AQ587" s="67" t="str">
        <f t="shared" si="356"/>
        <v/>
      </c>
      <c r="AR587" s="61">
        <v>-1</v>
      </c>
      <c r="AS587" s="66" t="str">
        <f t="shared" si="357"/>
        <v/>
      </c>
      <c r="AT587" s="66" t="str">
        <f t="shared" si="358"/>
        <v/>
      </c>
      <c r="AU587" s="67">
        <f t="shared" si="359"/>
        <v>-242.20000000000002</v>
      </c>
      <c r="AV587" s="61">
        <v>-1</v>
      </c>
      <c r="AW587" s="66" t="str">
        <f t="shared" si="342"/>
        <v/>
      </c>
      <c r="AX587" s="66" t="str">
        <f t="shared" si="343"/>
        <v/>
      </c>
      <c r="AY587" s="67">
        <f t="shared" si="344"/>
        <v>-242.20000000000002</v>
      </c>
      <c r="AZ587" s="61">
        <v>-1</v>
      </c>
      <c r="BA587" s="66" t="str">
        <f t="shared" si="345"/>
        <v/>
      </c>
      <c r="BB587" s="66" t="str">
        <f t="shared" si="346"/>
        <v/>
      </c>
      <c r="BC587" s="67">
        <f t="shared" si="347"/>
        <v>-242.20000000000002</v>
      </c>
    </row>
    <row r="588" spans="30:55">
      <c r="AD588" s="68" t="str">
        <v>10</v>
      </c>
      <c r="AE588" s="61">
        <v>210.8</v>
      </c>
      <c r="AF588" s="61">
        <v>1</v>
      </c>
      <c r="AG588" s="66">
        <f t="shared" si="348"/>
        <v>210.8</v>
      </c>
      <c r="AH588" s="66" t="str">
        <f t="shared" si="349"/>
        <v/>
      </c>
      <c r="AI588" s="67" t="str">
        <f t="shared" si="350"/>
        <v/>
      </c>
      <c r="AJ588" s="61">
        <v>-1</v>
      </c>
      <c r="AK588" s="66" t="str">
        <f t="shared" si="351"/>
        <v/>
      </c>
      <c r="AL588" s="66" t="str">
        <f t="shared" si="352"/>
        <v/>
      </c>
      <c r="AM588" s="67">
        <f t="shared" si="353"/>
        <v>-210.8</v>
      </c>
      <c r="AN588" s="61">
        <v>1</v>
      </c>
      <c r="AO588" s="66">
        <f t="shared" si="354"/>
        <v>210.8</v>
      </c>
      <c r="AP588" s="66" t="str">
        <f t="shared" si="355"/>
        <v/>
      </c>
      <c r="AQ588" s="67" t="str">
        <f t="shared" si="356"/>
        <v/>
      </c>
      <c r="AR588" s="61">
        <v>-1</v>
      </c>
      <c r="AS588" s="66" t="str">
        <f t="shared" si="357"/>
        <v/>
      </c>
      <c r="AT588" s="66" t="str">
        <f t="shared" si="358"/>
        <v/>
      </c>
      <c r="AU588" s="67">
        <f t="shared" si="359"/>
        <v>-210.8</v>
      </c>
      <c r="AV588" s="61">
        <v>0</v>
      </c>
      <c r="AW588" s="66" t="str">
        <f t="shared" si="342"/>
        <v/>
      </c>
      <c r="AX588" s="66">
        <f t="shared" si="343"/>
        <v>0</v>
      </c>
      <c r="AY588" s="67" t="str">
        <f t="shared" si="344"/>
        <v/>
      </c>
      <c r="AZ588" s="61">
        <v>-1</v>
      </c>
      <c r="BA588" s="66" t="str">
        <f t="shared" si="345"/>
        <v/>
      </c>
      <c r="BB588" s="66" t="str">
        <f t="shared" si="346"/>
        <v/>
      </c>
      <c r="BC588" s="67">
        <f t="shared" si="347"/>
        <v>-210.8</v>
      </c>
    </row>
    <row r="589" spans="30:55">
      <c r="AD589" s="68" t="str">
        <v>11</v>
      </c>
      <c r="AE589" s="61">
        <v>178.5</v>
      </c>
      <c r="AF589" s="61">
        <v>1</v>
      </c>
      <c r="AG589" s="66">
        <f t="shared" si="348"/>
        <v>178.5</v>
      </c>
      <c r="AH589" s="66" t="str">
        <f t="shared" si="349"/>
        <v/>
      </c>
      <c r="AI589" s="67" t="str">
        <f t="shared" si="350"/>
        <v/>
      </c>
      <c r="AJ589" s="61">
        <v>-1</v>
      </c>
      <c r="AK589" s="66" t="str">
        <f t="shared" si="351"/>
        <v/>
      </c>
      <c r="AL589" s="66" t="str">
        <f t="shared" si="352"/>
        <v/>
      </c>
      <c r="AM589" s="67">
        <f t="shared" si="353"/>
        <v>-178.5</v>
      </c>
      <c r="AN589" s="61">
        <v>1</v>
      </c>
      <c r="AO589" s="66">
        <f t="shared" si="354"/>
        <v>178.5</v>
      </c>
      <c r="AP589" s="66" t="str">
        <f t="shared" si="355"/>
        <v/>
      </c>
      <c r="AQ589" s="67" t="str">
        <f t="shared" si="356"/>
        <v/>
      </c>
      <c r="AR589" s="61">
        <v>-1</v>
      </c>
      <c r="AS589" s="66" t="str">
        <f t="shared" si="357"/>
        <v/>
      </c>
      <c r="AT589" s="66" t="str">
        <f t="shared" si="358"/>
        <v/>
      </c>
      <c r="AU589" s="67">
        <f t="shared" si="359"/>
        <v>-178.5</v>
      </c>
      <c r="AV589" s="61">
        <v>1</v>
      </c>
      <c r="AW589" s="66">
        <f t="shared" si="342"/>
        <v>178.5</v>
      </c>
      <c r="AX589" s="66" t="str">
        <f t="shared" si="343"/>
        <v/>
      </c>
      <c r="AY589" s="67" t="str">
        <f t="shared" si="344"/>
        <v/>
      </c>
      <c r="AZ589" s="61">
        <v>-1</v>
      </c>
      <c r="BA589" s="66" t="str">
        <f t="shared" si="345"/>
        <v/>
      </c>
      <c r="BB589" s="66" t="str">
        <f t="shared" si="346"/>
        <v/>
      </c>
      <c r="BC589" s="67">
        <f t="shared" si="347"/>
        <v>-178.5</v>
      </c>
    </row>
    <row r="590" spans="30:55">
      <c r="AD590" s="68" t="str">
        <v>12</v>
      </c>
      <c r="AE590" s="61">
        <v>155</v>
      </c>
      <c r="AF590" s="61">
        <v>1</v>
      </c>
      <c r="AG590" s="66">
        <f t="shared" si="348"/>
        <v>155</v>
      </c>
      <c r="AH590" s="66" t="str">
        <f t="shared" si="349"/>
        <v/>
      </c>
      <c r="AI590" s="67" t="str">
        <f t="shared" si="350"/>
        <v/>
      </c>
      <c r="AJ590" s="61">
        <v>1</v>
      </c>
      <c r="AK590" s="66">
        <f t="shared" si="351"/>
        <v>155</v>
      </c>
      <c r="AL590" s="66" t="str">
        <f t="shared" si="352"/>
        <v/>
      </c>
      <c r="AM590" s="67" t="str">
        <f t="shared" si="353"/>
        <v/>
      </c>
      <c r="AN590" s="61">
        <v>1</v>
      </c>
      <c r="AO590" s="66">
        <f t="shared" si="354"/>
        <v>155</v>
      </c>
      <c r="AP590" s="66" t="str">
        <f t="shared" si="355"/>
        <v/>
      </c>
      <c r="AQ590" s="67" t="str">
        <f t="shared" si="356"/>
        <v/>
      </c>
      <c r="AR590" s="61">
        <v>1</v>
      </c>
      <c r="AS590" s="66">
        <f t="shared" si="357"/>
        <v>155</v>
      </c>
      <c r="AT590" s="66" t="str">
        <f t="shared" si="358"/>
        <v/>
      </c>
      <c r="AU590" s="67" t="str">
        <f t="shared" si="359"/>
        <v/>
      </c>
      <c r="AV590" s="61">
        <v>1</v>
      </c>
      <c r="AW590" s="66">
        <f t="shared" si="342"/>
        <v>155</v>
      </c>
      <c r="AX590" s="66" t="str">
        <f t="shared" si="343"/>
        <v/>
      </c>
      <c r="AY590" s="67" t="str">
        <f t="shared" si="344"/>
        <v/>
      </c>
      <c r="AZ590" s="61">
        <v>1</v>
      </c>
      <c r="BA590" s="66">
        <f t="shared" si="345"/>
        <v>155</v>
      </c>
      <c r="BB590" s="66" t="str">
        <f t="shared" si="346"/>
        <v/>
      </c>
      <c r="BC590" s="67" t="str">
        <f t="shared" si="347"/>
        <v/>
      </c>
    </row>
    <row r="591" spans="30:55">
      <c r="AD591" s="68" t="str">
        <v>13</v>
      </c>
      <c r="AE591" s="61">
        <v>138.19999999999999</v>
      </c>
      <c r="AF591" s="61">
        <v>1</v>
      </c>
      <c r="AG591" s="66">
        <f t="shared" si="348"/>
        <v>138.19999999999999</v>
      </c>
      <c r="AH591" s="66" t="str">
        <f t="shared" si="349"/>
        <v/>
      </c>
      <c r="AI591" s="67" t="str">
        <f t="shared" si="350"/>
        <v/>
      </c>
      <c r="AJ591" s="61">
        <v>1</v>
      </c>
      <c r="AK591" s="66">
        <f t="shared" si="351"/>
        <v>138.19999999999999</v>
      </c>
      <c r="AL591" s="66" t="str">
        <f t="shared" si="352"/>
        <v/>
      </c>
      <c r="AM591" s="67" t="str">
        <f t="shared" si="353"/>
        <v/>
      </c>
      <c r="AN591" s="61">
        <v>1</v>
      </c>
      <c r="AO591" s="66">
        <f t="shared" si="354"/>
        <v>138.19999999999999</v>
      </c>
      <c r="AP591" s="66" t="str">
        <f t="shared" si="355"/>
        <v/>
      </c>
      <c r="AQ591" s="67" t="str">
        <f t="shared" si="356"/>
        <v/>
      </c>
      <c r="AR591" s="61">
        <v>1</v>
      </c>
      <c r="AS591" s="66">
        <f t="shared" si="357"/>
        <v>138.19999999999999</v>
      </c>
      <c r="AT591" s="66" t="str">
        <f t="shared" si="358"/>
        <v/>
      </c>
      <c r="AU591" s="67" t="str">
        <f t="shared" si="359"/>
        <v/>
      </c>
      <c r="AV591" s="61">
        <v>0</v>
      </c>
      <c r="AW591" s="66" t="str">
        <f t="shared" si="342"/>
        <v/>
      </c>
      <c r="AX591" s="66">
        <f t="shared" si="343"/>
        <v>0</v>
      </c>
      <c r="AY591" s="67" t="str">
        <f t="shared" si="344"/>
        <v/>
      </c>
      <c r="AZ591" s="61">
        <v>1</v>
      </c>
      <c r="BA591" s="66">
        <f t="shared" si="345"/>
        <v>138.19999999999999</v>
      </c>
      <c r="BB591" s="66" t="str">
        <f t="shared" si="346"/>
        <v/>
      </c>
      <c r="BC591" s="67" t="str">
        <f t="shared" si="347"/>
        <v/>
      </c>
    </row>
    <row r="592" spans="30:55">
      <c r="AD592" s="68" t="str">
        <v>14</v>
      </c>
      <c r="AE592" s="61">
        <v>132.5</v>
      </c>
      <c r="AF592" s="61">
        <v>1</v>
      </c>
      <c r="AG592" s="66">
        <f t="shared" si="348"/>
        <v>132.5</v>
      </c>
      <c r="AH592" s="66" t="str">
        <f t="shared" si="349"/>
        <v/>
      </c>
      <c r="AI592" s="67" t="str">
        <f t="shared" si="350"/>
        <v/>
      </c>
      <c r="AJ592" s="61">
        <v>1</v>
      </c>
      <c r="AK592" s="66">
        <f t="shared" si="351"/>
        <v>132.5</v>
      </c>
      <c r="AL592" s="66" t="str">
        <f t="shared" si="352"/>
        <v/>
      </c>
      <c r="AM592" s="67" t="str">
        <f t="shared" si="353"/>
        <v/>
      </c>
      <c r="AN592" s="61">
        <v>1</v>
      </c>
      <c r="AO592" s="66">
        <f t="shared" si="354"/>
        <v>132.5</v>
      </c>
      <c r="AP592" s="66" t="str">
        <f t="shared" si="355"/>
        <v/>
      </c>
      <c r="AQ592" s="67" t="str">
        <f t="shared" si="356"/>
        <v/>
      </c>
      <c r="AR592" s="61">
        <v>1</v>
      </c>
      <c r="AS592" s="66">
        <f t="shared" si="357"/>
        <v>132.5</v>
      </c>
      <c r="AT592" s="66" t="str">
        <f t="shared" si="358"/>
        <v/>
      </c>
      <c r="AU592" s="67" t="str">
        <f t="shared" si="359"/>
        <v/>
      </c>
      <c r="AV592" s="61">
        <v>-1</v>
      </c>
      <c r="AW592" s="66" t="str">
        <f t="shared" si="342"/>
        <v/>
      </c>
      <c r="AX592" s="66" t="str">
        <f t="shared" si="343"/>
        <v/>
      </c>
      <c r="AY592" s="67">
        <f t="shared" si="344"/>
        <v>-132.5</v>
      </c>
      <c r="AZ592" s="61">
        <v>1</v>
      </c>
      <c r="BA592" s="66">
        <f t="shared" si="345"/>
        <v>132.5</v>
      </c>
      <c r="BB592" s="66" t="str">
        <f t="shared" si="346"/>
        <v/>
      </c>
      <c r="BC592" s="67" t="str">
        <f t="shared" si="347"/>
        <v/>
      </c>
    </row>
    <row r="593" spans="29:55">
      <c r="AD593" s="68" t="str">
        <v>15</v>
      </c>
      <c r="AE593" s="61">
        <v>138.5</v>
      </c>
      <c r="AF593" s="61">
        <v>1</v>
      </c>
      <c r="AG593" s="66">
        <f t="shared" si="348"/>
        <v>138.5</v>
      </c>
      <c r="AH593" s="66" t="str">
        <f t="shared" si="349"/>
        <v/>
      </c>
      <c r="AI593" s="67" t="str">
        <f t="shared" si="350"/>
        <v/>
      </c>
      <c r="AJ593" s="61">
        <v>1</v>
      </c>
      <c r="AK593" s="66">
        <f t="shared" si="351"/>
        <v>138.5</v>
      </c>
      <c r="AL593" s="66" t="str">
        <f t="shared" si="352"/>
        <v/>
      </c>
      <c r="AM593" s="67" t="str">
        <f t="shared" si="353"/>
        <v/>
      </c>
      <c r="AN593" s="61">
        <v>-1</v>
      </c>
      <c r="AO593" s="66" t="str">
        <f t="shared" si="354"/>
        <v/>
      </c>
      <c r="AP593" s="66" t="str">
        <f t="shared" si="355"/>
        <v/>
      </c>
      <c r="AQ593" s="67">
        <f t="shared" si="356"/>
        <v>-138.5</v>
      </c>
      <c r="AR593" s="61">
        <v>1</v>
      </c>
      <c r="AS593" s="66">
        <f t="shared" si="357"/>
        <v>138.5</v>
      </c>
      <c r="AT593" s="66" t="str">
        <f t="shared" si="358"/>
        <v/>
      </c>
      <c r="AU593" s="67" t="str">
        <f t="shared" si="359"/>
        <v/>
      </c>
      <c r="AV593" s="61">
        <v>-1</v>
      </c>
      <c r="AW593" s="66" t="str">
        <f t="shared" si="342"/>
        <v/>
      </c>
      <c r="AX593" s="66" t="str">
        <f t="shared" si="343"/>
        <v/>
      </c>
      <c r="AY593" s="67">
        <f t="shared" si="344"/>
        <v>-138.5</v>
      </c>
      <c r="AZ593" s="61">
        <v>-1</v>
      </c>
      <c r="BA593" s="66" t="str">
        <f t="shared" si="345"/>
        <v/>
      </c>
      <c r="BB593" s="66" t="str">
        <f t="shared" si="346"/>
        <v/>
      </c>
      <c r="BC593" s="67">
        <f t="shared" si="347"/>
        <v>-138.5</v>
      </c>
    </row>
    <row r="594" spans="29:55">
      <c r="AD594" s="68" t="str">
        <v>16</v>
      </c>
      <c r="AE594" s="61">
        <v>149.80000000000001</v>
      </c>
      <c r="AF594" s="61">
        <v>1</v>
      </c>
      <c r="AG594" s="66">
        <f t="shared" si="348"/>
        <v>149.80000000000001</v>
      </c>
      <c r="AH594" s="66" t="str">
        <f t="shared" si="349"/>
        <v/>
      </c>
      <c r="AI594" s="67" t="str">
        <f t="shared" si="350"/>
        <v/>
      </c>
      <c r="AJ594" s="61">
        <v>1</v>
      </c>
      <c r="AK594" s="66">
        <f t="shared" si="351"/>
        <v>149.80000000000001</v>
      </c>
      <c r="AL594" s="66" t="str">
        <f t="shared" si="352"/>
        <v/>
      </c>
      <c r="AM594" s="67" t="str">
        <f t="shared" si="353"/>
        <v/>
      </c>
      <c r="AN594" s="61">
        <v>-1</v>
      </c>
      <c r="AO594" s="66" t="str">
        <f t="shared" si="354"/>
        <v/>
      </c>
      <c r="AP594" s="66" t="str">
        <f t="shared" si="355"/>
        <v/>
      </c>
      <c r="AQ594" s="67">
        <f t="shared" si="356"/>
        <v>-149.80000000000001</v>
      </c>
      <c r="AR594" s="61">
        <v>1</v>
      </c>
      <c r="AS594" s="66">
        <f t="shared" si="357"/>
        <v>149.80000000000001</v>
      </c>
      <c r="AT594" s="66" t="str">
        <f t="shared" si="358"/>
        <v/>
      </c>
      <c r="AU594" s="67" t="str">
        <f t="shared" si="359"/>
        <v/>
      </c>
      <c r="AV594" s="61">
        <v>0</v>
      </c>
      <c r="AW594" s="66" t="str">
        <f t="shared" si="342"/>
        <v/>
      </c>
      <c r="AX594" s="66">
        <f t="shared" si="343"/>
        <v>0</v>
      </c>
      <c r="AY594" s="67" t="str">
        <f t="shared" si="344"/>
        <v/>
      </c>
      <c r="AZ594" s="61">
        <v>-1</v>
      </c>
      <c r="BA594" s="66" t="str">
        <f t="shared" si="345"/>
        <v/>
      </c>
      <c r="BB594" s="66" t="str">
        <f t="shared" si="346"/>
        <v/>
      </c>
      <c r="BC594" s="67">
        <f t="shared" si="347"/>
        <v>-149.80000000000001</v>
      </c>
    </row>
    <row r="595" spans="29:55">
      <c r="AD595" s="68" t="str">
        <v>17</v>
      </c>
      <c r="AE595" s="61">
        <v>157.69999999999999</v>
      </c>
      <c r="AF595" s="61">
        <v>1</v>
      </c>
      <c r="AG595" s="66">
        <f t="shared" si="348"/>
        <v>157.69999999999999</v>
      </c>
      <c r="AH595" s="66" t="str">
        <f t="shared" si="349"/>
        <v/>
      </c>
      <c r="AI595" s="67" t="str">
        <f t="shared" si="350"/>
        <v/>
      </c>
      <c r="AJ595" s="61">
        <v>1</v>
      </c>
      <c r="AK595" s="66">
        <f t="shared" si="351"/>
        <v>157.69999999999999</v>
      </c>
      <c r="AL595" s="66" t="str">
        <f t="shared" si="352"/>
        <v/>
      </c>
      <c r="AM595" s="67" t="str">
        <f t="shared" si="353"/>
        <v/>
      </c>
      <c r="AN595" s="61">
        <v>-1</v>
      </c>
      <c r="AO595" s="66" t="str">
        <f t="shared" si="354"/>
        <v/>
      </c>
      <c r="AP595" s="66" t="str">
        <f t="shared" si="355"/>
        <v/>
      </c>
      <c r="AQ595" s="67">
        <f t="shared" si="356"/>
        <v>-157.69999999999999</v>
      </c>
      <c r="AR595" s="61">
        <v>1</v>
      </c>
      <c r="AS595" s="66">
        <f t="shared" si="357"/>
        <v>157.69999999999999</v>
      </c>
      <c r="AT595" s="66" t="str">
        <f t="shared" si="358"/>
        <v/>
      </c>
      <c r="AU595" s="67" t="str">
        <f t="shared" si="359"/>
        <v/>
      </c>
      <c r="AV595" s="61">
        <v>1</v>
      </c>
      <c r="AW595" s="66">
        <f t="shared" si="342"/>
        <v>157.69999999999999</v>
      </c>
      <c r="AX595" s="66" t="str">
        <f t="shared" si="343"/>
        <v/>
      </c>
      <c r="AY595" s="67" t="str">
        <f t="shared" si="344"/>
        <v/>
      </c>
      <c r="AZ595" s="61">
        <v>-1</v>
      </c>
      <c r="BA595" s="66" t="str">
        <f t="shared" si="345"/>
        <v/>
      </c>
      <c r="BB595" s="66" t="str">
        <f t="shared" si="346"/>
        <v/>
      </c>
      <c r="BC595" s="67">
        <f t="shared" si="347"/>
        <v>-157.69999999999999</v>
      </c>
    </row>
    <row r="596" spans="29:55">
      <c r="AD596" s="68" t="str">
        <v>18</v>
      </c>
      <c r="AE596" s="61">
        <v>158.4</v>
      </c>
      <c r="AF596" s="61">
        <v>-1</v>
      </c>
      <c r="AG596" s="66" t="str">
        <f t="shared" si="348"/>
        <v/>
      </c>
      <c r="AH596" s="66" t="str">
        <f t="shared" si="349"/>
        <v/>
      </c>
      <c r="AI596" s="67">
        <f t="shared" si="350"/>
        <v>-158.4</v>
      </c>
      <c r="AJ596" s="61">
        <v>1</v>
      </c>
      <c r="AK596" s="66">
        <f t="shared" si="351"/>
        <v>158.4</v>
      </c>
      <c r="AL596" s="66" t="str">
        <f t="shared" si="352"/>
        <v/>
      </c>
      <c r="AM596" s="67" t="str">
        <f t="shared" si="353"/>
        <v/>
      </c>
      <c r="AN596" s="61">
        <v>-1</v>
      </c>
      <c r="AO596" s="66" t="str">
        <f t="shared" si="354"/>
        <v/>
      </c>
      <c r="AP596" s="66" t="str">
        <f t="shared" si="355"/>
        <v/>
      </c>
      <c r="AQ596" s="67">
        <f t="shared" si="356"/>
        <v>-158.4</v>
      </c>
      <c r="AR596" s="61">
        <v>-1</v>
      </c>
      <c r="AS596" s="66" t="str">
        <f t="shared" si="357"/>
        <v/>
      </c>
      <c r="AT596" s="66" t="str">
        <f t="shared" si="358"/>
        <v/>
      </c>
      <c r="AU596" s="67">
        <f t="shared" si="359"/>
        <v>-158.4</v>
      </c>
      <c r="AV596" s="61">
        <v>1</v>
      </c>
      <c r="AW596" s="66">
        <f t="shared" si="342"/>
        <v>158.4</v>
      </c>
      <c r="AX596" s="66" t="str">
        <f t="shared" si="343"/>
        <v/>
      </c>
      <c r="AY596" s="67" t="str">
        <f t="shared" si="344"/>
        <v/>
      </c>
      <c r="AZ596" s="61">
        <v>1</v>
      </c>
      <c r="BA596" s="66">
        <f t="shared" si="345"/>
        <v>158.4</v>
      </c>
      <c r="BB596" s="66" t="str">
        <f t="shared" si="346"/>
        <v/>
      </c>
      <c r="BC596" s="67" t="str">
        <f t="shared" si="347"/>
        <v/>
      </c>
    </row>
    <row r="597" spans="29:55">
      <c r="AD597" s="68" t="str">
        <v>19</v>
      </c>
      <c r="AE597" s="61">
        <v>147.5</v>
      </c>
      <c r="AF597" s="61">
        <v>-1</v>
      </c>
      <c r="AG597" s="66" t="str">
        <f t="shared" si="348"/>
        <v/>
      </c>
      <c r="AH597" s="66" t="str">
        <f t="shared" si="349"/>
        <v/>
      </c>
      <c r="AI597" s="67">
        <f t="shared" si="350"/>
        <v>-147.5</v>
      </c>
      <c r="AJ597" s="61">
        <v>1</v>
      </c>
      <c r="AK597" s="66">
        <f t="shared" si="351"/>
        <v>147.5</v>
      </c>
      <c r="AL597" s="66" t="str">
        <f t="shared" si="352"/>
        <v/>
      </c>
      <c r="AM597" s="67" t="str">
        <f t="shared" si="353"/>
        <v/>
      </c>
      <c r="AN597" s="61">
        <v>-1</v>
      </c>
      <c r="AO597" s="66" t="str">
        <f t="shared" si="354"/>
        <v/>
      </c>
      <c r="AP597" s="66" t="str">
        <f t="shared" si="355"/>
        <v/>
      </c>
      <c r="AQ597" s="67">
        <f t="shared" si="356"/>
        <v>-147.5</v>
      </c>
      <c r="AR597" s="61">
        <v>-1</v>
      </c>
      <c r="AS597" s="66" t="str">
        <f t="shared" si="357"/>
        <v/>
      </c>
      <c r="AT597" s="66" t="str">
        <f t="shared" si="358"/>
        <v/>
      </c>
      <c r="AU597" s="67">
        <f t="shared" si="359"/>
        <v>-147.5</v>
      </c>
      <c r="AV597" s="61">
        <v>0</v>
      </c>
      <c r="AW597" s="66" t="str">
        <f t="shared" si="342"/>
        <v/>
      </c>
      <c r="AX597" s="66">
        <f t="shared" si="343"/>
        <v>0</v>
      </c>
      <c r="AY597" s="67" t="str">
        <f t="shared" si="344"/>
        <v/>
      </c>
      <c r="AZ597" s="61">
        <v>1</v>
      </c>
      <c r="BA597" s="66">
        <f t="shared" si="345"/>
        <v>147.5</v>
      </c>
      <c r="BB597" s="66" t="str">
        <f t="shared" si="346"/>
        <v/>
      </c>
      <c r="BC597" s="67" t="str">
        <f t="shared" si="347"/>
        <v/>
      </c>
    </row>
    <row r="598" spans="29:55">
      <c r="AD598" s="68" t="str">
        <v>20</v>
      </c>
      <c r="AE598" s="61">
        <v>129.5</v>
      </c>
      <c r="AF598" s="61">
        <v>-1</v>
      </c>
      <c r="AG598" s="66" t="str">
        <f t="shared" si="348"/>
        <v/>
      </c>
      <c r="AH598" s="66" t="str">
        <f t="shared" si="349"/>
        <v/>
      </c>
      <c r="AI598" s="67">
        <f t="shared" si="350"/>
        <v>-129.5</v>
      </c>
      <c r="AJ598" s="61">
        <v>1</v>
      </c>
      <c r="AK598" s="66">
        <f t="shared" si="351"/>
        <v>129.5</v>
      </c>
      <c r="AL598" s="66" t="str">
        <f t="shared" si="352"/>
        <v/>
      </c>
      <c r="AM598" s="67" t="str">
        <f t="shared" si="353"/>
        <v/>
      </c>
      <c r="AN598" s="61">
        <v>-1</v>
      </c>
      <c r="AO598" s="66" t="str">
        <f t="shared" si="354"/>
        <v/>
      </c>
      <c r="AP598" s="66" t="str">
        <f t="shared" si="355"/>
        <v/>
      </c>
      <c r="AQ598" s="67">
        <f t="shared" si="356"/>
        <v>-129.5</v>
      </c>
      <c r="AR598" s="61">
        <v>-1</v>
      </c>
      <c r="AS598" s="66" t="str">
        <f t="shared" si="357"/>
        <v/>
      </c>
      <c r="AT598" s="66" t="str">
        <f t="shared" si="358"/>
        <v/>
      </c>
      <c r="AU598" s="67">
        <f t="shared" si="359"/>
        <v>-129.5</v>
      </c>
      <c r="AV598" s="61">
        <v>-1</v>
      </c>
      <c r="AW598" s="66" t="str">
        <f t="shared" si="342"/>
        <v/>
      </c>
      <c r="AX598" s="66" t="str">
        <f t="shared" si="343"/>
        <v/>
      </c>
      <c r="AY598" s="67">
        <f t="shared" si="344"/>
        <v>-129.5</v>
      </c>
      <c r="AZ598" s="61">
        <v>1</v>
      </c>
      <c r="BA598" s="66">
        <f t="shared" si="345"/>
        <v>129.5</v>
      </c>
      <c r="BB598" s="66" t="str">
        <f t="shared" si="346"/>
        <v/>
      </c>
      <c r="BC598" s="67" t="str">
        <f t="shared" si="347"/>
        <v/>
      </c>
    </row>
    <row r="599" spans="29:55">
      <c r="AD599" s="68" t="str">
        <v>21</v>
      </c>
      <c r="AE599" s="61">
        <v>105.4</v>
      </c>
      <c r="AF599" s="61">
        <v>-1</v>
      </c>
      <c r="AG599" s="66" t="str">
        <f t="shared" si="348"/>
        <v/>
      </c>
      <c r="AH599" s="66" t="str">
        <f t="shared" si="349"/>
        <v/>
      </c>
      <c r="AI599" s="67">
        <f t="shared" si="350"/>
        <v>-105.4</v>
      </c>
      <c r="AJ599" s="61">
        <v>1</v>
      </c>
      <c r="AK599" s="66">
        <f t="shared" si="351"/>
        <v>105.4</v>
      </c>
      <c r="AL599" s="66" t="str">
        <f t="shared" si="352"/>
        <v/>
      </c>
      <c r="AM599" s="67" t="str">
        <f t="shared" si="353"/>
        <v/>
      </c>
      <c r="AN599" s="61">
        <v>1</v>
      </c>
      <c r="AO599" s="66">
        <f t="shared" si="354"/>
        <v>105.4</v>
      </c>
      <c r="AP599" s="66" t="str">
        <f t="shared" si="355"/>
        <v/>
      </c>
      <c r="AQ599" s="67" t="str">
        <f t="shared" si="356"/>
        <v/>
      </c>
      <c r="AR599" s="61">
        <v>-1</v>
      </c>
      <c r="AS599" s="66" t="str">
        <f t="shared" si="357"/>
        <v/>
      </c>
      <c r="AT599" s="66" t="str">
        <f t="shared" si="358"/>
        <v/>
      </c>
      <c r="AU599" s="67">
        <f t="shared" si="359"/>
        <v>-105.4</v>
      </c>
      <c r="AV599" s="61">
        <v>-1</v>
      </c>
      <c r="AW599" s="66" t="str">
        <f t="shared" si="342"/>
        <v/>
      </c>
      <c r="AX599" s="66" t="str">
        <f t="shared" si="343"/>
        <v/>
      </c>
      <c r="AY599" s="67">
        <f t="shared" si="344"/>
        <v>-105.4</v>
      </c>
      <c r="AZ599" s="61">
        <v>-1</v>
      </c>
      <c r="BA599" s="66" t="str">
        <f t="shared" si="345"/>
        <v/>
      </c>
      <c r="BB599" s="66" t="str">
        <f t="shared" si="346"/>
        <v/>
      </c>
      <c r="BC599" s="67">
        <f t="shared" si="347"/>
        <v>-105.4</v>
      </c>
    </row>
    <row r="600" spans="29:55">
      <c r="AD600" s="68" t="str">
        <v>22</v>
      </c>
      <c r="AE600" s="61">
        <v>80.800000000000011</v>
      </c>
      <c r="AF600" s="61">
        <v>-1</v>
      </c>
      <c r="AG600" s="66" t="str">
        <f t="shared" si="348"/>
        <v/>
      </c>
      <c r="AH600" s="66" t="str">
        <f t="shared" si="349"/>
        <v/>
      </c>
      <c r="AI600" s="67">
        <f t="shared" si="350"/>
        <v>-80.800000000000011</v>
      </c>
      <c r="AJ600" s="61">
        <v>1</v>
      </c>
      <c r="AK600" s="66">
        <f t="shared" si="351"/>
        <v>80.800000000000011</v>
      </c>
      <c r="AL600" s="66" t="str">
        <f t="shared" si="352"/>
        <v/>
      </c>
      <c r="AM600" s="67" t="str">
        <f t="shared" si="353"/>
        <v/>
      </c>
      <c r="AN600" s="61">
        <v>1</v>
      </c>
      <c r="AO600" s="66">
        <f t="shared" si="354"/>
        <v>80.800000000000011</v>
      </c>
      <c r="AP600" s="66" t="str">
        <f t="shared" si="355"/>
        <v/>
      </c>
      <c r="AQ600" s="67" t="str">
        <f t="shared" si="356"/>
        <v/>
      </c>
      <c r="AR600" s="61">
        <v>-1</v>
      </c>
      <c r="AS600" s="66" t="str">
        <f t="shared" si="357"/>
        <v/>
      </c>
      <c r="AT600" s="66" t="str">
        <f t="shared" si="358"/>
        <v/>
      </c>
      <c r="AU600" s="67">
        <f t="shared" si="359"/>
        <v>-80.800000000000011</v>
      </c>
      <c r="AV600" s="61">
        <v>0</v>
      </c>
      <c r="AW600" s="66" t="str">
        <f t="shared" si="342"/>
        <v/>
      </c>
      <c r="AX600" s="66">
        <f t="shared" si="343"/>
        <v>0</v>
      </c>
      <c r="AY600" s="67" t="str">
        <f t="shared" si="344"/>
        <v/>
      </c>
      <c r="AZ600" s="61">
        <v>-1</v>
      </c>
      <c r="BA600" s="66" t="str">
        <f t="shared" si="345"/>
        <v/>
      </c>
      <c r="BB600" s="66" t="str">
        <f t="shared" si="346"/>
        <v/>
      </c>
      <c r="BC600" s="67">
        <f t="shared" si="347"/>
        <v>-80.800000000000011</v>
      </c>
    </row>
    <row r="601" spans="29:55">
      <c r="AD601" s="68" t="str">
        <v>23</v>
      </c>
      <c r="AE601" s="61">
        <v>62.6</v>
      </c>
      <c r="AF601" s="61">
        <v>-1</v>
      </c>
      <c r="AG601" s="66" t="str">
        <f t="shared" si="348"/>
        <v/>
      </c>
      <c r="AH601" s="66" t="str">
        <f t="shared" si="349"/>
        <v/>
      </c>
      <c r="AI601" s="67">
        <f t="shared" si="350"/>
        <v>-62.6</v>
      </c>
      <c r="AJ601" s="61">
        <v>1</v>
      </c>
      <c r="AK601" s="66">
        <f t="shared" si="351"/>
        <v>62.6</v>
      </c>
      <c r="AL601" s="66" t="str">
        <f t="shared" si="352"/>
        <v/>
      </c>
      <c r="AM601" s="67" t="str">
        <f t="shared" si="353"/>
        <v/>
      </c>
      <c r="AN601" s="61">
        <v>1</v>
      </c>
      <c r="AO601" s="66">
        <f t="shared" si="354"/>
        <v>62.6</v>
      </c>
      <c r="AP601" s="66" t="str">
        <f t="shared" si="355"/>
        <v/>
      </c>
      <c r="AQ601" s="67" t="str">
        <f t="shared" si="356"/>
        <v/>
      </c>
      <c r="AR601" s="61">
        <v>-1</v>
      </c>
      <c r="AS601" s="66" t="str">
        <f t="shared" si="357"/>
        <v/>
      </c>
      <c r="AT601" s="66" t="str">
        <f t="shared" si="358"/>
        <v/>
      </c>
      <c r="AU601" s="67">
        <f t="shared" si="359"/>
        <v>-62.6</v>
      </c>
      <c r="AV601" s="61">
        <v>1</v>
      </c>
      <c r="AW601" s="66">
        <f t="shared" si="342"/>
        <v>62.6</v>
      </c>
      <c r="AX601" s="66" t="str">
        <f t="shared" si="343"/>
        <v/>
      </c>
      <c r="AY601" s="67" t="str">
        <f t="shared" si="344"/>
        <v/>
      </c>
      <c r="AZ601" s="61">
        <v>-1</v>
      </c>
      <c r="BA601" s="66" t="str">
        <f t="shared" si="345"/>
        <v/>
      </c>
      <c r="BB601" s="66" t="str">
        <f t="shared" si="346"/>
        <v/>
      </c>
      <c r="BC601" s="67">
        <f t="shared" si="347"/>
        <v>-62.6</v>
      </c>
    </row>
    <row r="602" spans="29:55" ht="15.75" thickBot="1">
      <c r="AC602" s="476">
        <f>AD574</f>
        <v>44728</v>
      </c>
      <c r="AD602" s="69" t="s">
        <v>85</v>
      </c>
      <c r="AE602" s="70">
        <f>SUM(AE578:AE601)</f>
        <v>3976.8</v>
      </c>
      <c r="AF602" s="70"/>
      <c r="AG602" s="71">
        <f>ABS(SUM(AG578:AG601))</f>
        <v>2350.1999999999998</v>
      </c>
      <c r="AH602" s="70"/>
      <c r="AI602" s="72">
        <f>ABS(SUM(AI578:AI601))</f>
        <v>1626.6</v>
      </c>
      <c r="AJ602" s="70"/>
      <c r="AK602" s="71">
        <f>ABS(SUM(AK578:AK601))</f>
        <v>1555.9</v>
      </c>
      <c r="AL602" s="70"/>
      <c r="AM602" s="72">
        <f>ABS(SUM(AM578:AM601))</f>
        <v>2420.9</v>
      </c>
      <c r="AN602" s="70"/>
      <c r="AO602" s="71">
        <f>ABS(SUM(AO578:AO601))</f>
        <v>1583.2</v>
      </c>
      <c r="AP602" s="70"/>
      <c r="AQ602" s="72">
        <f>ABS(SUM(AQ578:AQ601))</f>
        <v>2393.6</v>
      </c>
      <c r="AR602" s="70"/>
      <c r="AS602" s="71">
        <f>ABS(SUM(AS578:AS601))</f>
        <v>1814.1000000000001</v>
      </c>
      <c r="AT602" s="70"/>
      <c r="AU602" s="72">
        <f>ABS(SUM(AU578:AU601))</f>
        <v>2162.7000000000003</v>
      </c>
      <c r="AV602" s="70"/>
      <c r="AW602" s="71">
        <f>ABS(SUM(AW578:AW601))</f>
        <v>1328.9</v>
      </c>
      <c r="AX602" s="70"/>
      <c r="AY602" s="72">
        <f>ABS(SUM(AY578:AY601))</f>
        <v>1319.2</v>
      </c>
      <c r="AZ602" s="70"/>
      <c r="BA602" s="71">
        <f>ABS(SUM(BA578:BA601))</f>
        <v>1985.3000000000002</v>
      </c>
      <c r="BB602" s="70"/>
      <c r="BC602" s="72">
        <f>ABS(SUM(BC578:BC601))</f>
        <v>1991.5</v>
      </c>
    </row>
    <row r="604" spans="29:55" ht="15" thickBot="1">
      <c r="AD604" s="476">
        <f>skemA1!B25</f>
        <v>44729</v>
      </c>
    </row>
    <row r="605" spans="29:55" ht="15" thickBot="1">
      <c r="AD605" s="677" t="s">
        <v>75</v>
      </c>
      <c r="AE605" s="60" t="s">
        <v>558</v>
      </c>
      <c r="AF605" s="672" t="s">
        <v>559</v>
      </c>
      <c r="AG605" s="672"/>
      <c r="AH605" s="672"/>
      <c r="AI605" s="673"/>
      <c r="AJ605" s="672" t="s">
        <v>562</v>
      </c>
      <c r="AK605" s="672"/>
      <c r="AL605" s="672"/>
      <c r="AM605" s="673"/>
      <c r="AN605" s="672" t="s">
        <v>563</v>
      </c>
      <c r="AO605" s="672"/>
      <c r="AP605" s="672"/>
      <c r="AQ605" s="673"/>
      <c r="AR605" s="672" t="s">
        <v>564</v>
      </c>
      <c r="AS605" s="672"/>
      <c r="AT605" s="672"/>
      <c r="AU605" s="673"/>
      <c r="AV605" s="672" t="s">
        <v>565</v>
      </c>
      <c r="AW605" s="672"/>
      <c r="AX605" s="672"/>
      <c r="AY605" s="673"/>
      <c r="AZ605" s="672" t="s">
        <v>566</v>
      </c>
      <c r="BA605" s="672"/>
      <c r="BB605" s="672"/>
      <c r="BC605" s="673"/>
    </row>
    <row r="606" spans="29:55" ht="15" thickBot="1">
      <c r="AD606" s="677"/>
      <c r="AE606" s="61"/>
      <c r="AF606" s="674" t="s">
        <v>561</v>
      </c>
      <c r="AG606" s="670" t="s">
        <v>560</v>
      </c>
      <c r="AH606" s="670"/>
      <c r="AI606" s="671"/>
      <c r="AJ606" s="674" t="s">
        <v>561</v>
      </c>
      <c r="AK606" s="670" t="s">
        <v>560</v>
      </c>
      <c r="AL606" s="670"/>
      <c r="AM606" s="671"/>
      <c r="AN606" s="674" t="s">
        <v>561</v>
      </c>
      <c r="AO606" s="670" t="s">
        <v>560</v>
      </c>
      <c r="AP606" s="670"/>
      <c r="AQ606" s="671"/>
      <c r="AR606" s="674" t="s">
        <v>561</v>
      </c>
      <c r="AS606" s="670" t="s">
        <v>560</v>
      </c>
      <c r="AT606" s="670"/>
      <c r="AU606" s="671"/>
      <c r="AV606" s="674" t="s">
        <v>561</v>
      </c>
      <c r="AW606" s="670" t="s">
        <v>560</v>
      </c>
      <c r="AX606" s="670"/>
      <c r="AY606" s="671"/>
      <c r="AZ606" s="674" t="s">
        <v>561</v>
      </c>
      <c r="BA606" s="670" t="s">
        <v>560</v>
      </c>
      <c r="BB606" s="670"/>
      <c r="BC606" s="671"/>
    </row>
    <row r="607" spans="29:55">
      <c r="AD607" s="677"/>
      <c r="AE607" s="62"/>
      <c r="AF607" s="674"/>
      <c r="AG607" s="63" t="s">
        <v>76</v>
      </c>
      <c r="AH607" s="63">
        <v>0</v>
      </c>
      <c r="AI607" s="64" t="s">
        <v>77</v>
      </c>
      <c r="AJ607" s="674"/>
      <c r="AK607" s="63" t="s">
        <v>76</v>
      </c>
      <c r="AL607" s="63">
        <v>0</v>
      </c>
      <c r="AM607" s="64" t="s">
        <v>77</v>
      </c>
      <c r="AN607" s="674"/>
      <c r="AO607" s="63" t="s">
        <v>76</v>
      </c>
      <c r="AP607" s="63">
        <v>0</v>
      </c>
      <c r="AQ607" s="64" t="s">
        <v>77</v>
      </c>
      <c r="AR607" s="674"/>
      <c r="AS607" s="63" t="s">
        <v>76</v>
      </c>
      <c r="AT607" s="63">
        <v>0</v>
      </c>
      <c r="AU607" s="64" t="s">
        <v>77</v>
      </c>
      <c r="AV607" s="674"/>
      <c r="AW607" s="63" t="s">
        <v>76</v>
      </c>
      <c r="AX607" s="63">
        <v>0</v>
      </c>
      <c r="AY607" s="64" t="s">
        <v>77</v>
      </c>
      <c r="AZ607" s="674"/>
      <c r="BA607" s="63" t="s">
        <v>76</v>
      </c>
      <c r="BB607" s="63">
        <v>0</v>
      </c>
      <c r="BC607" s="64" t="s">
        <v>77</v>
      </c>
    </row>
    <row r="608" spans="29:55">
      <c r="AD608" s="65" t="str">
        <f t="array" ref="AD608:AD631">TRANSPOSE($C$5:$Z$5)</f>
        <v>00</v>
      </c>
      <c r="AE608" s="66">
        <f t="array" ref="AE608:AE631">TRANSPOSE(skemA1!$C$25:$Z$25)</f>
        <v>56.000000000000007</v>
      </c>
      <c r="AF608" s="66">
        <f t="array" ref="AF608:AF631">TRANSPOSE($C$6:$Z$6)</f>
        <v>-1</v>
      </c>
      <c r="AG608" s="66" t="str">
        <f>IF(AF608&gt;0,AF608*$AE608,"")</f>
        <v/>
      </c>
      <c r="AH608" s="66" t="str">
        <f>IF(AF608=0,AF608*$AE608,"")</f>
        <v/>
      </c>
      <c r="AI608" s="67">
        <f>IF(AF608&lt;0,AF608*$AE608,"")</f>
        <v>-56.000000000000007</v>
      </c>
      <c r="AJ608" s="66">
        <f t="array" ref="AJ608:AJ631">TRANSPOSE($C$7:$Z$7)</f>
        <v>-1</v>
      </c>
      <c r="AK608" s="66" t="str">
        <f>IF(AJ608&gt;0,AJ608*$AE608,"")</f>
        <v/>
      </c>
      <c r="AL608" s="66" t="str">
        <f>IF(AJ608=0,AJ608*$AE608,"")</f>
        <v/>
      </c>
      <c r="AM608" s="67">
        <f>IF(AJ608&lt;0,AJ608*$AE608,"")</f>
        <v>-56.000000000000007</v>
      </c>
      <c r="AN608" s="66">
        <f t="array" ref="AN608:AN631">TRANSPOSE($C$8:$Z$8)</f>
        <v>1</v>
      </c>
      <c r="AO608" s="66">
        <f>IF(AN608&gt;0,AN608*$AE608,"")</f>
        <v>56.000000000000007</v>
      </c>
      <c r="AP608" s="66" t="str">
        <f>IF(AN608=0,AN608*$AE608,"")</f>
        <v/>
      </c>
      <c r="AQ608" s="67" t="str">
        <f>IF(AN608&lt;0,AN608*$AE608,"")</f>
        <v/>
      </c>
      <c r="AR608" s="66">
        <f t="array" ref="AR608:AR631">TRANSPOSE($C$9:$Z$9)</f>
        <v>1</v>
      </c>
      <c r="AS608" s="66">
        <f>IF(AR608&gt;0,AR608*$AE608,"")</f>
        <v>56.000000000000007</v>
      </c>
      <c r="AT608" s="66" t="str">
        <f>IF(AR608=0,AR608*$AE608,"")</f>
        <v/>
      </c>
      <c r="AU608" s="67" t="str">
        <f>IF(AR608&lt;0,AR608*$AE608,"")</f>
        <v/>
      </c>
      <c r="AV608" s="66">
        <f t="array" ref="AV608:AV631">TRANSPOSE($C$10:$Z$10)</f>
        <v>1</v>
      </c>
      <c r="AW608" s="66">
        <f t="shared" ref="AW608:AW631" si="360">IF(AV608&gt;0,AV608*$AE608,"")</f>
        <v>56.000000000000007</v>
      </c>
      <c r="AX608" s="66" t="str">
        <f t="shared" ref="AX608:AX631" si="361">IF(AV608=0,AV608*$AE608,"")</f>
        <v/>
      </c>
      <c r="AY608" s="67" t="str">
        <f t="shared" ref="AY608:AY631" si="362">IF(AV608&lt;0,AV608*$AE608,"")</f>
        <v/>
      </c>
      <c r="AZ608" s="66">
        <f t="array" ref="AZ608:AZ631">TRANSPOSE($C$11:$Z$11)</f>
        <v>1</v>
      </c>
      <c r="BA608" s="66">
        <f t="shared" ref="BA608:BA631" si="363">IF(AZ608&gt;0,AZ608*$AE608,"")</f>
        <v>56.000000000000007</v>
      </c>
      <c r="BB608" s="66" t="str">
        <f t="shared" ref="BB608:BB631" si="364">IF(AZ608=0,AZ608*$AE608,"")</f>
        <v/>
      </c>
      <c r="BC608" s="67" t="str">
        <f t="shared" ref="BC608:BC631" si="365">IF(AZ608&lt;0,AZ608*$AE608,"")</f>
        <v/>
      </c>
    </row>
    <row r="609" spans="30:55">
      <c r="AD609" s="68" t="str">
        <v>01</v>
      </c>
      <c r="AE609" s="61">
        <v>68.5</v>
      </c>
      <c r="AF609" s="61">
        <v>-1</v>
      </c>
      <c r="AG609" s="66" t="str">
        <f t="shared" ref="AG609:AG631" si="366">IF(AF609&gt;0,AF609*$AE609,"")</f>
        <v/>
      </c>
      <c r="AH609" s="66" t="str">
        <f t="shared" ref="AH609:AH631" si="367">IF(AF609=0,AF609*$AE609,"")</f>
        <v/>
      </c>
      <c r="AI609" s="67">
        <f t="shared" ref="AI609:AI631" si="368">IF(AF609&lt;0,AF609*$AE609,"")</f>
        <v>-68.5</v>
      </c>
      <c r="AJ609" s="61">
        <v>-1</v>
      </c>
      <c r="AK609" s="66" t="str">
        <f t="shared" ref="AK609:AK631" si="369">IF(AJ609&gt;0,AJ609*$AE609,"")</f>
        <v/>
      </c>
      <c r="AL609" s="66" t="str">
        <f t="shared" ref="AL609:AL631" si="370">IF(AJ609=0,AJ609*$AE609,"")</f>
        <v/>
      </c>
      <c r="AM609" s="67">
        <f t="shared" ref="AM609:AM631" si="371">IF(AJ609&lt;0,AJ609*$AE609,"")</f>
        <v>-68.5</v>
      </c>
      <c r="AN609" s="61">
        <v>1</v>
      </c>
      <c r="AO609" s="66">
        <f t="shared" ref="AO609:AO631" si="372">IF(AN609&gt;0,AN609*$AE609,"")</f>
        <v>68.5</v>
      </c>
      <c r="AP609" s="66" t="str">
        <f t="shared" ref="AP609:AP631" si="373">IF(AN609=0,AN609*$AE609,"")</f>
        <v/>
      </c>
      <c r="AQ609" s="67" t="str">
        <f t="shared" ref="AQ609:AQ631" si="374">IF(AN609&lt;0,AN609*$AE609,"")</f>
        <v/>
      </c>
      <c r="AR609" s="61">
        <v>1</v>
      </c>
      <c r="AS609" s="66">
        <f t="shared" ref="AS609:AS631" si="375">IF(AR609&gt;0,AR609*$AE609,"")</f>
        <v>68.5</v>
      </c>
      <c r="AT609" s="66" t="str">
        <f t="shared" ref="AT609:AT631" si="376">IF(AR609=0,AR609*$AE609,"")</f>
        <v/>
      </c>
      <c r="AU609" s="67" t="str">
        <f t="shared" ref="AU609:AU631" si="377">IF(AR609&lt;0,AR609*$AE609,"")</f>
        <v/>
      </c>
      <c r="AV609" s="61">
        <v>0</v>
      </c>
      <c r="AW609" s="66" t="str">
        <f t="shared" si="360"/>
        <v/>
      </c>
      <c r="AX609" s="66">
        <f t="shared" si="361"/>
        <v>0</v>
      </c>
      <c r="AY609" s="67" t="str">
        <f t="shared" si="362"/>
        <v/>
      </c>
      <c r="AZ609" s="61">
        <v>1</v>
      </c>
      <c r="BA609" s="66">
        <f t="shared" si="363"/>
        <v>68.5</v>
      </c>
      <c r="BB609" s="66" t="str">
        <f t="shared" si="364"/>
        <v/>
      </c>
      <c r="BC609" s="67" t="str">
        <f t="shared" si="365"/>
        <v/>
      </c>
    </row>
    <row r="610" spans="30:55">
      <c r="AD610" s="68" t="str">
        <v>02</v>
      </c>
      <c r="AE610" s="61">
        <v>95.8</v>
      </c>
      <c r="AF610" s="61">
        <v>-1</v>
      </c>
      <c r="AG610" s="66" t="str">
        <f t="shared" si="366"/>
        <v/>
      </c>
      <c r="AH610" s="66" t="str">
        <f t="shared" si="367"/>
        <v/>
      </c>
      <c r="AI610" s="67">
        <f t="shared" si="368"/>
        <v>-95.8</v>
      </c>
      <c r="AJ610" s="61">
        <v>-1</v>
      </c>
      <c r="AK610" s="66" t="str">
        <f t="shared" si="369"/>
        <v/>
      </c>
      <c r="AL610" s="66" t="str">
        <f t="shared" si="370"/>
        <v/>
      </c>
      <c r="AM610" s="67">
        <f t="shared" si="371"/>
        <v>-95.8</v>
      </c>
      <c r="AN610" s="61">
        <v>1</v>
      </c>
      <c r="AO610" s="66">
        <f t="shared" si="372"/>
        <v>95.8</v>
      </c>
      <c r="AP610" s="66" t="str">
        <f t="shared" si="373"/>
        <v/>
      </c>
      <c r="AQ610" s="67" t="str">
        <f t="shared" si="374"/>
        <v/>
      </c>
      <c r="AR610" s="61">
        <v>1</v>
      </c>
      <c r="AS610" s="66">
        <f t="shared" si="375"/>
        <v>95.8</v>
      </c>
      <c r="AT610" s="66" t="str">
        <f t="shared" si="376"/>
        <v/>
      </c>
      <c r="AU610" s="67" t="str">
        <f t="shared" si="377"/>
        <v/>
      </c>
      <c r="AV610" s="61">
        <v>-1</v>
      </c>
      <c r="AW610" s="66" t="str">
        <f t="shared" si="360"/>
        <v/>
      </c>
      <c r="AX610" s="66" t="str">
        <f t="shared" si="361"/>
        <v/>
      </c>
      <c r="AY610" s="67">
        <f t="shared" si="362"/>
        <v>-95.8</v>
      </c>
      <c r="AZ610" s="61">
        <v>1</v>
      </c>
      <c r="BA610" s="66">
        <f t="shared" si="363"/>
        <v>95.8</v>
      </c>
      <c r="BB610" s="66" t="str">
        <f t="shared" si="364"/>
        <v/>
      </c>
      <c r="BC610" s="67" t="str">
        <f t="shared" si="365"/>
        <v/>
      </c>
    </row>
    <row r="611" spans="30:55">
      <c r="AD611" s="68" t="str">
        <v>03</v>
      </c>
      <c r="AE611" s="61">
        <v>142.6</v>
      </c>
      <c r="AF611" s="61">
        <v>-1</v>
      </c>
      <c r="AG611" s="66" t="str">
        <f t="shared" si="366"/>
        <v/>
      </c>
      <c r="AH611" s="66" t="str">
        <f t="shared" si="367"/>
        <v/>
      </c>
      <c r="AI611" s="67">
        <f t="shared" si="368"/>
        <v>-142.6</v>
      </c>
      <c r="AJ611" s="61">
        <v>-1</v>
      </c>
      <c r="AK611" s="66" t="str">
        <f t="shared" si="369"/>
        <v/>
      </c>
      <c r="AL611" s="66" t="str">
        <f t="shared" si="370"/>
        <v/>
      </c>
      <c r="AM611" s="67">
        <f t="shared" si="371"/>
        <v>-142.6</v>
      </c>
      <c r="AN611" s="61">
        <v>-1</v>
      </c>
      <c r="AO611" s="66" t="str">
        <f t="shared" si="372"/>
        <v/>
      </c>
      <c r="AP611" s="66" t="str">
        <f t="shared" si="373"/>
        <v/>
      </c>
      <c r="AQ611" s="67">
        <f t="shared" si="374"/>
        <v>-142.6</v>
      </c>
      <c r="AR611" s="61">
        <v>1</v>
      </c>
      <c r="AS611" s="66">
        <f t="shared" si="375"/>
        <v>142.6</v>
      </c>
      <c r="AT611" s="66" t="str">
        <f t="shared" si="376"/>
        <v/>
      </c>
      <c r="AU611" s="67" t="str">
        <f t="shared" si="377"/>
        <v/>
      </c>
      <c r="AV611" s="61">
        <v>-1</v>
      </c>
      <c r="AW611" s="66" t="str">
        <f t="shared" si="360"/>
        <v/>
      </c>
      <c r="AX611" s="66" t="str">
        <f t="shared" si="361"/>
        <v/>
      </c>
      <c r="AY611" s="67">
        <f t="shared" si="362"/>
        <v>-142.6</v>
      </c>
      <c r="AZ611" s="61">
        <v>-1</v>
      </c>
      <c r="BA611" s="66" t="str">
        <f t="shared" si="363"/>
        <v/>
      </c>
      <c r="BB611" s="66" t="str">
        <f t="shared" si="364"/>
        <v/>
      </c>
      <c r="BC611" s="67">
        <f t="shared" si="365"/>
        <v>-142.6</v>
      </c>
    </row>
    <row r="612" spans="30:55">
      <c r="AD612" s="68" t="str">
        <v>04</v>
      </c>
      <c r="AE612" s="61">
        <v>192.1</v>
      </c>
      <c r="AF612" s="61">
        <v>-1</v>
      </c>
      <c r="AG612" s="66" t="str">
        <f t="shared" si="366"/>
        <v/>
      </c>
      <c r="AH612" s="66" t="str">
        <f t="shared" si="367"/>
        <v/>
      </c>
      <c r="AI612" s="67">
        <f t="shared" si="368"/>
        <v>-192.1</v>
      </c>
      <c r="AJ612" s="61">
        <v>-1</v>
      </c>
      <c r="AK612" s="66" t="str">
        <f t="shared" si="369"/>
        <v/>
      </c>
      <c r="AL612" s="66" t="str">
        <f t="shared" si="370"/>
        <v/>
      </c>
      <c r="AM612" s="67">
        <f t="shared" si="371"/>
        <v>-192.1</v>
      </c>
      <c r="AN612" s="61">
        <v>-1</v>
      </c>
      <c r="AO612" s="66" t="str">
        <f t="shared" si="372"/>
        <v/>
      </c>
      <c r="AP612" s="66" t="str">
        <f t="shared" si="373"/>
        <v/>
      </c>
      <c r="AQ612" s="67">
        <f t="shared" si="374"/>
        <v>-192.1</v>
      </c>
      <c r="AR612" s="61">
        <v>1</v>
      </c>
      <c r="AS612" s="66">
        <f t="shared" si="375"/>
        <v>192.1</v>
      </c>
      <c r="AT612" s="66" t="str">
        <f t="shared" si="376"/>
        <v/>
      </c>
      <c r="AU612" s="67" t="str">
        <f t="shared" si="377"/>
        <v/>
      </c>
      <c r="AV612" s="61">
        <v>0</v>
      </c>
      <c r="AW612" s="66" t="str">
        <f t="shared" si="360"/>
        <v/>
      </c>
      <c r="AX612" s="66">
        <f t="shared" si="361"/>
        <v>0</v>
      </c>
      <c r="AY612" s="67" t="str">
        <f t="shared" si="362"/>
        <v/>
      </c>
      <c r="AZ612" s="61">
        <v>-1</v>
      </c>
      <c r="BA612" s="66" t="str">
        <f t="shared" si="363"/>
        <v/>
      </c>
      <c r="BB612" s="66" t="str">
        <f t="shared" si="364"/>
        <v/>
      </c>
      <c r="BC612" s="67">
        <f t="shared" si="365"/>
        <v>-192.1</v>
      </c>
    </row>
    <row r="613" spans="30:55">
      <c r="AD613" s="68" t="str">
        <v>05</v>
      </c>
      <c r="AE613" s="61">
        <v>237.5</v>
      </c>
      <c r="AF613" s="61">
        <v>-1</v>
      </c>
      <c r="AG613" s="66" t="str">
        <f t="shared" si="366"/>
        <v/>
      </c>
      <c r="AH613" s="66" t="str">
        <f t="shared" si="367"/>
        <v/>
      </c>
      <c r="AI613" s="67">
        <f t="shared" si="368"/>
        <v>-237.5</v>
      </c>
      <c r="AJ613" s="61">
        <v>-1</v>
      </c>
      <c r="AK613" s="66" t="str">
        <f t="shared" si="369"/>
        <v/>
      </c>
      <c r="AL613" s="66" t="str">
        <f t="shared" si="370"/>
        <v/>
      </c>
      <c r="AM613" s="67">
        <f t="shared" si="371"/>
        <v>-237.5</v>
      </c>
      <c r="AN613" s="61">
        <v>-1</v>
      </c>
      <c r="AO613" s="66" t="str">
        <f t="shared" si="372"/>
        <v/>
      </c>
      <c r="AP613" s="66" t="str">
        <f t="shared" si="373"/>
        <v/>
      </c>
      <c r="AQ613" s="67">
        <f t="shared" si="374"/>
        <v>-237.5</v>
      </c>
      <c r="AR613" s="61">
        <v>1</v>
      </c>
      <c r="AS613" s="66">
        <f t="shared" si="375"/>
        <v>237.5</v>
      </c>
      <c r="AT613" s="66" t="str">
        <f t="shared" si="376"/>
        <v/>
      </c>
      <c r="AU613" s="67" t="str">
        <f t="shared" si="377"/>
        <v/>
      </c>
      <c r="AV613" s="61">
        <v>1</v>
      </c>
      <c r="AW613" s="66">
        <f t="shared" si="360"/>
        <v>237.5</v>
      </c>
      <c r="AX613" s="66" t="str">
        <f t="shared" si="361"/>
        <v/>
      </c>
      <c r="AY613" s="67" t="str">
        <f t="shared" si="362"/>
        <v/>
      </c>
      <c r="AZ613" s="61">
        <v>-1</v>
      </c>
      <c r="BA613" s="66" t="str">
        <f t="shared" si="363"/>
        <v/>
      </c>
      <c r="BB613" s="66" t="str">
        <f t="shared" si="364"/>
        <v/>
      </c>
      <c r="BC613" s="67">
        <f t="shared" si="365"/>
        <v>-237.5</v>
      </c>
    </row>
    <row r="614" spans="30:55">
      <c r="AD614" s="68" t="str">
        <v>06</v>
      </c>
      <c r="AE614" s="61">
        <v>272.5</v>
      </c>
      <c r="AF614" s="61">
        <v>1</v>
      </c>
      <c r="AG614" s="66">
        <f t="shared" si="366"/>
        <v>272.5</v>
      </c>
      <c r="AH614" s="66" t="str">
        <f t="shared" si="367"/>
        <v/>
      </c>
      <c r="AI614" s="67" t="str">
        <f t="shared" si="368"/>
        <v/>
      </c>
      <c r="AJ614" s="61">
        <v>-1</v>
      </c>
      <c r="AK614" s="66" t="str">
        <f t="shared" si="369"/>
        <v/>
      </c>
      <c r="AL614" s="66" t="str">
        <f t="shared" si="370"/>
        <v/>
      </c>
      <c r="AM614" s="67">
        <f t="shared" si="371"/>
        <v>-272.5</v>
      </c>
      <c r="AN614" s="61">
        <v>-1</v>
      </c>
      <c r="AO614" s="66" t="str">
        <f t="shared" si="372"/>
        <v/>
      </c>
      <c r="AP614" s="66" t="str">
        <f t="shared" si="373"/>
        <v/>
      </c>
      <c r="AQ614" s="67">
        <f t="shared" si="374"/>
        <v>-272.5</v>
      </c>
      <c r="AR614" s="61">
        <v>-1</v>
      </c>
      <c r="AS614" s="66" t="str">
        <f t="shared" si="375"/>
        <v/>
      </c>
      <c r="AT614" s="66" t="str">
        <f t="shared" si="376"/>
        <v/>
      </c>
      <c r="AU614" s="67">
        <f t="shared" si="377"/>
        <v>-272.5</v>
      </c>
      <c r="AV614" s="61">
        <v>1</v>
      </c>
      <c r="AW614" s="66">
        <f t="shared" si="360"/>
        <v>272.5</v>
      </c>
      <c r="AX614" s="66" t="str">
        <f t="shared" si="361"/>
        <v/>
      </c>
      <c r="AY614" s="67" t="str">
        <f t="shared" si="362"/>
        <v/>
      </c>
      <c r="AZ614" s="61">
        <v>1</v>
      </c>
      <c r="BA614" s="66">
        <f t="shared" si="363"/>
        <v>272.5</v>
      </c>
      <c r="BB614" s="66" t="str">
        <f t="shared" si="364"/>
        <v/>
      </c>
      <c r="BC614" s="67" t="str">
        <f t="shared" si="365"/>
        <v/>
      </c>
    </row>
    <row r="615" spans="30:55">
      <c r="AD615" s="68" t="str">
        <v>07</v>
      </c>
      <c r="AE615" s="61">
        <v>286.2</v>
      </c>
      <c r="AF615" s="61">
        <v>1</v>
      </c>
      <c r="AG615" s="66">
        <f t="shared" si="366"/>
        <v>286.2</v>
      </c>
      <c r="AH615" s="66" t="str">
        <f t="shared" si="367"/>
        <v/>
      </c>
      <c r="AI615" s="67" t="str">
        <f t="shared" si="368"/>
        <v/>
      </c>
      <c r="AJ615" s="61">
        <v>-1</v>
      </c>
      <c r="AK615" s="66" t="str">
        <f t="shared" si="369"/>
        <v/>
      </c>
      <c r="AL615" s="66" t="str">
        <f t="shared" si="370"/>
        <v/>
      </c>
      <c r="AM615" s="67">
        <f t="shared" si="371"/>
        <v>-286.2</v>
      </c>
      <c r="AN615" s="61">
        <v>-1</v>
      </c>
      <c r="AO615" s="66" t="str">
        <f t="shared" si="372"/>
        <v/>
      </c>
      <c r="AP615" s="66" t="str">
        <f t="shared" si="373"/>
        <v/>
      </c>
      <c r="AQ615" s="67">
        <f t="shared" si="374"/>
        <v>-286.2</v>
      </c>
      <c r="AR615" s="61">
        <v>-1</v>
      </c>
      <c r="AS615" s="66" t="str">
        <f t="shared" si="375"/>
        <v/>
      </c>
      <c r="AT615" s="66" t="str">
        <f t="shared" si="376"/>
        <v/>
      </c>
      <c r="AU615" s="67">
        <f t="shared" si="377"/>
        <v>-286.2</v>
      </c>
      <c r="AV615" s="61">
        <v>0</v>
      </c>
      <c r="AW615" s="66" t="str">
        <f t="shared" si="360"/>
        <v/>
      </c>
      <c r="AX615" s="66">
        <f t="shared" si="361"/>
        <v>0</v>
      </c>
      <c r="AY615" s="67" t="str">
        <f t="shared" si="362"/>
        <v/>
      </c>
      <c r="AZ615" s="61">
        <v>1</v>
      </c>
      <c r="BA615" s="66">
        <f t="shared" si="363"/>
        <v>286.2</v>
      </c>
      <c r="BB615" s="66" t="str">
        <f t="shared" si="364"/>
        <v/>
      </c>
      <c r="BC615" s="67" t="str">
        <f t="shared" si="365"/>
        <v/>
      </c>
    </row>
    <row r="616" spans="30:55">
      <c r="AD616" s="68" t="str">
        <v>08</v>
      </c>
      <c r="AE616" s="61">
        <v>281.5</v>
      </c>
      <c r="AF616" s="61">
        <v>1</v>
      </c>
      <c r="AG616" s="66">
        <f t="shared" si="366"/>
        <v>281.5</v>
      </c>
      <c r="AH616" s="66" t="str">
        <f t="shared" si="367"/>
        <v/>
      </c>
      <c r="AI616" s="67" t="str">
        <f t="shared" si="368"/>
        <v/>
      </c>
      <c r="AJ616" s="61">
        <v>-1</v>
      </c>
      <c r="AK616" s="66" t="str">
        <f t="shared" si="369"/>
        <v/>
      </c>
      <c r="AL616" s="66" t="str">
        <f t="shared" si="370"/>
        <v/>
      </c>
      <c r="AM616" s="67">
        <f t="shared" si="371"/>
        <v>-281.5</v>
      </c>
      <c r="AN616" s="61">
        <v>-1</v>
      </c>
      <c r="AO616" s="66" t="str">
        <f t="shared" si="372"/>
        <v/>
      </c>
      <c r="AP616" s="66" t="str">
        <f t="shared" si="373"/>
        <v/>
      </c>
      <c r="AQ616" s="67">
        <f t="shared" si="374"/>
        <v>-281.5</v>
      </c>
      <c r="AR616" s="61">
        <v>-1</v>
      </c>
      <c r="AS616" s="66" t="str">
        <f t="shared" si="375"/>
        <v/>
      </c>
      <c r="AT616" s="66" t="str">
        <f t="shared" si="376"/>
        <v/>
      </c>
      <c r="AU616" s="67">
        <f t="shared" si="377"/>
        <v>-281.5</v>
      </c>
      <c r="AV616" s="61">
        <v>-1</v>
      </c>
      <c r="AW616" s="66" t="str">
        <f t="shared" si="360"/>
        <v/>
      </c>
      <c r="AX616" s="66" t="str">
        <f t="shared" si="361"/>
        <v/>
      </c>
      <c r="AY616" s="67">
        <f t="shared" si="362"/>
        <v>-281.5</v>
      </c>
      <c r="AZ616" s="61">
        <v>1</v>
      </c>
      <c r="BA616" s="66">
        <f t="shared" si="363"/>
        <v>281.5</v>
      </c>
      <c r="BB616" s="66" t="str">
        <f t="shared" si="364"/>
        <v/>
      </c>
      <c r="BC616" s="67" t="str">
        <f t="shared" si="365"/>
        <v/>
      </c>
    </row>
    <row r="617" spans="30:55">
      <c r="AD617" s="68" t="str">
        <v>09</v>
      </c>
      <c r="AE617" s="61">
        <v>261</v>
      </c>
      <c r="AF617" s="61">
        <v>1</v>
      </c>
      <c r="AG617" s="66">
        <f t="shared" si="366"/>
        <v>261</v>
      </c>
      <c r="AH617" s="66" t="str">
        <f t="shared" si="367"/>
        <v/>
      </c>
      <c r="AI617" s="67" t="str">
        <f t="shared" si="368"/>
        <v/>
      </c>
      <c r="AJ617" s="61">
        <v>-1</v>
      </c>
      <c r="AK617" s="66" t="str">
        <f t="shared" si="369"/>
        <v/>
      </c>
      <c r="AL617" s="66" t="str">
        <f t="shared" si="370"/>
        <v/>
      </c>
      <c r="AM617" s="67">
        <f t="shared" si="371"/>
        <v>-261</v>
      </c>
      <c r="AN617" s="61">
        <v>1</v>
      </c>
      <c r="AO617" s="66">
        <f t="shared" si="372"/>
        <v>261</v>
      </c>
      <c r="AP617" s="66" t="str">
        <f t="shared" si="373"/>
        <v/>
      </c>
      <c r="AQ617" s="67" t="str">
        <f t="shared" si="374"/>
        <v/>
      </c>
      <c r="AR617" s="61">
        <v>-1</v>
      </c>
      <c r="AS617" s="66" t="str">
        <f t="shared" si="375"/>
        <v/>
      </c>
      <c r="AT617" s="66" t="str">
        <f t="shared" si="376"/>
        <v/>
      </c>
      <c r="AU617" s="67">
        <f t="shared" si="377"/>
        <v>-261</v>
      </c>
      <c r="AV617" s="61">
        <v>-1</v>
      </c>
      <c r="AW617" s="66" t="str">
        <f t="shared" si="360"/>
        <v/>
      </c>
      <c r="AX617" s="66" t="str">
        <f t="shared" si="361"/>
        <v/>
      </c>
      <c r="AY617" s="67">
        <f t="shared" si="362"/>
        <v>-261</v>
      </c>
      <c r="AZ617" s="61">
        <v>-1</v>
      </c>
      <c r="BA617" s="66" t="str">
        <f t="shared" si="363"/>
        <v/>
      </c>
      <c r="BB617" s="66" t="str">
        <f t="shared" si="364"/>
        <v/>
      </c>
      <c r="BC617" s="67">
        <f t="shared" si="365"/>
        <v>-261</v>
      </c>
    </row>
    <row r="618" spans="30:55">
      <c r="AD618" s="68" t="str">
        <v>10</v>
      </c>
      <c r="AE618" s="61">
        <v>227.3</v>
      </c>
      <c r="AF618" s="61">
        <v>1</v>
      </c>
      <c r="AG618" s="66">
        <f t="shared" si="366"/>
        <v>227.3</v>
      </c>
      <c r="AH618" s="66" t="str">
        <f t="shared" si="367"/>
        <v/>
      </c>
      <c r="AI618" s="67" t="str">
        <f t="shared" si="368"/>
        <v/>
      </c>
      <c r="AJ618" s="61">
        <v>-1</v>
      </c>
      <c r="AK618" s="66" t="str">
        <f t="shared" si="369"/>
        <v/>
      </c>
      <c r="AL618" s="66" t="str">
        <f t="shared" si="370"/>
        <v/>
      </c>
      <c r="AM618" s="67">
        <f t="shared" si="371"/>
        <v>-227.3</v>
      </c>
      <c r="AN618" s="61">
        <v>1</v>
      </c>
      <c r="AO618" s="66">
        <f t="shared" si="372"/>
        <v>227.3</v>
      </c>
      <c r="AP618" s="66" t="str">
        <f t="shared" si="373"/>
        <v/>
      </c>
      <c r="AQ618" s="67" t="str">
        <f t="shared" si="374"/>
        <v/>
      </c>
      <c r="AR618" s="61">
        <v>-1</v>
      </c>
      <c r="AS618" s="66" t="str">
        <f t="shared" si="375"/>
        <v/>
      </c>
      <c r="AT618" s="66" t="str">
        <f t="shared" si="376"/>
        <v/>
      </c>
      <c r="AU618" s="67">
        <f t="shared" si="377"/>
        <v>-227.3</v>
      </c>
      <c r="AV618" s="61">
        <v>0</v>
      </c>
      <c r="AW618" s="66" t="str">
        <f t="shared" si="360"/>
        <v/>
      </c>
      <c r="AX618" s="66">
        <f t="shared" si="361"/>
        <v>0</v>
      </c>
      <c r="AY618" s="67" t="str">
        <f t="shared" si="362"/>
        <v/>
      </c>
      <c r="AZ618" s="61">
        <v>-1</v>
      </c>
      <c r="BA618" s="66" t="str">
        <f t="shared" si="363"/>
        <v/>
      </c>
      <c r="BB618" s="66" t="str">
        <f t="shared" si="364"/>
        <v/>
      </c>
      <c r="BC618" s="67">
        <f t="shared" si="365"/>
        <v>-227.3</v>
      </c>
    </row>
    <row r="619" spans="30:55">
      <c r="AD619" s="68" t="str">
        <v>11</v>
      </c>
      <c r="AE619" s="61">
        <v>195.79999999999998</v>
      </c>
      <c r="AF619" s="61">
        <v>1</v>
      </c>
      <c r="AG619" s="66">
        <f t="shared" si="366"/>
        <v>195.79999999999998</v>
      </c>
      <c r="AH619" s="66" t="str">
        <f t="shared" si="367"/>
        <v/>
      </c>
      <c r="AI619" s="67" t="str">
        <f t="shared" si="368"/>
        <v/>
      </c>
      <c r="AJ619" s="61">
        <v>-1</v>
      </c>
      <c r="AK619" s="66" t="str">
        <f t="shared" si="369"/>
        <v/>
      </c>
      <c r="AL619" s="66" t="str">
        <f t="shared" si="370"/>
        <v/>
      </c>
      <c r="AM619" s="67">
        <f t="shared" si="371"/>
        <v>-195.79999999999998</v>
      </c>
      <c r="AN619" s="61">
        <v>1</v>
      </c>
      <c r="AO619" s="66">
        <f t="shared" si="372"/>
        <v>195.79999999999998</v>
      </c>
      <c r="AP619" s="66" t="str">
        <f t="shared" si="373"/>
        <v/>
      </c>
      <c r="AQ619" s="67" t="str">
        <f t="shared" si="374"/>
        <v/>
      </c>
      <c r="AR619" s="61">
        <v>-1</v>
      </c>
      <c r="AS619" s="66" t="str">
        <f t="shared" si="375"/>
        <v/>
      </c>
      <c r="AT619" s="66" t="str">
        <f t="shared" si="376"/>
        <v/>
      </c>
      <c r="AU619" s="67">
        <f t="shared" si="377"/>
        <v>-195.79999999999998</v>
      </c>
      <c r="AV619" s="61">
        <v>1</v>
      </c>
      <c r="AW619" s="66">
        <f t="shared" si="360"/>
        <v>195.79999999999998</v>
      </c>
      <c r="AX619" s="66" t="str">
        <f t="shared" si="361"/>
        <v/>
      </c>
      <c r="AY619" s="67" t="str">
        <f t="shared" si="362"/>
        <v/>
      </c>
      <c r="AZ619" s="61">
        <v>-1</v>
      </c>
      <c r="BA619" s="66" t="str">
        <f t="shared" si="363"/>
        <v/>
      </c>
      <c r="BB619" s="66" t="str">
        <f t="shared" si="364"/>
        <v/>
      </c>
      <c r="BC619" s="67">
        <f t="shared" si="365"/>
        <v>-195.79999999999998</v>
      </c>
    </row>
    <row r="620" spans="30:55">
      <c r="AD620" s="68" t="str">
        <v>12</v>
      </c>
      <c r="AE620" s="61">
        <v>171</v>
      </c>
      <c r="AF620" s="61">
        <v>1</v>
      </c>
      <c r="AG620" s="66">
        <f t="shared" si="366"/>
        <v>171</v>
      </c>
      <c r="AH620" s="66" t="str">
        <f t="shared" si="367"/>
        <v/>
      </c>
      <c r="AI620" s="67" t="str">
        <f t="shared" si="368"/>
        <v/>
      </c>
      <c r="AJ620" s="61">
        <v>1</v>
      </c>
      <c r="AK620" s="66">
        <f t="shared" si="369"/>
        <v>171</v>
      </c>
      <c r="AL620" s="66" t="str">
        <f t="shared" si="370"/>
        <v/>
      </c>
      <c r="AM620" s="67" t="str">
        <f t="shared" si="371"/>
        <v/>
      </c>
      <c r="AN620" s="61">
        <v>1</v>
      </c>
      <c r="AO620" s="66">
        <f t="shared" si="372"/>
        <v>171</v>
      </c>
      <c r="AP620" s="66" t="str">
        <f t="shared" si="373"/>
        <v/>
      </c>
      <c r="AQ620" s="67" t="str">
        <f t="shared" si="374"/>
        <v/>
      </c>
      <c r="AR620" s="61">
        <v>1</v>
      </c>
      <c r="AS620" s="66">
        <f t="shared" si="375"/>
        <v>171</v>
      </c>
      <c r="AT620" s="66" t="str">
        <f t="shared" si="376"/>
        <v/>
      </c>
      <c r="AU620" s="67" t="str">
        <f t="shared" si="377"/>
        <v/>
      </c>
      <c r="AV620" s="61">
        <v>1</v>
      </c>
      <c r="AW620" s="66">
        <f t="shared" si="360"/>
        <v>171</v>
      </c>
      <c r="AX620" s="66" t="str">
        <f t="shared" si="361"/>
        <v/>
      </c>
      <c r="AY620" s="67" t="str">
        <f t="shared" si="362"/>
        <v/>
      </c>
      <c r="AZ620" s="61">
        <v>1</v>
      </c>
      <c r="BA620" s="66">
        <f t="shared" si="363"/>
        <v>171</v>
      </c>
      <c r="BB620" s="66" t="str">
        <f t="shared" si="364"/>
        <v/>
      </c>
      <c r="BC620" s="67" t="str">
        <f t="shared" si="365"/>
        <v/>
      </c>
    </row>
    <row r="621" spans="30:55">
      <c r="AD621" s="68" t="str">
        <v>13</v>
      </c>
      <c r="AE621" s="61">
        <v>152.4</v>
      </c>
      <c r="AF621" s="61">
        <v>1</v>
      </c>
      <c r="AG621" s="66">
        <f t="shared" si="366"/>
        <v>152.4</v>
      </c>
      <c r="AH621" s="66" t="str">
        <f t="shared" si="367"/>
        <v/>
      </c>
      <c r="AI621" s="67" t="str">
        <f t="shared" si="368"/>
        <v/>
      </c>
      <c r="AJ621" s="61">
        <v>1</v>
      </c>
      <c r="AK621" s="66">
        <f t="shared" si="369"/>
        <v>152.4</v>
      </c>
      <c r="AL621" s="66" t="str">
        <f t="shared" si="370"/>
        <v/>
      </c>
      <c r="AM621" s="67" t="str">
        <f t="shared" si="371"/>
        <v/>
      </c>
      <c r="AN621" s="61">
        <v>1</v>
      </c>
      <c r="AO621" s="66">
        <f t="shared" si="372"/>
        <v>152.4</v>
      </c>
      <c r="AP621" s="66" t="str">
        <f t="shared" si="373"/>
        <v/>
      </c>
      <c r="AQ621" s="67" t="str">
        <f t="shared" si="374"/>
        <v/>
      </c>
      <c r="AR621" s="61">
        <v>1</v>
      </c>
      <c r="AS621" s="66">
        <f t="shared" si="375"/>
        <v>152.4</v>
      </c>
      <c r="AT621" s="66" t="str">
        <f t="shared" si="376"/>
        <v/>
      </c>
      <c r="AU621" s="67" t="str">
        <f t="shared" si="377"/>
        <v/>
      </c>
      <c r="AV621" s="61">
        <v>0</v>
      </c>
      <c r="AW621" s="66" t="str">
        <f t="shared" si="360"/>
        <v/>
      </c>
      <c r="AX621" s="66">
        <f t="shared" si="361"/>
        <v>0</v>
      </c>
      <c r="AY621" s="67" t="str">
        <f t="shared" si="362"/>
        <v/>
      </c>
      <c r="AZ621" s="61">
        <v>1</v>
      </c>
      <c r="BA621" s="66">
        <f t="shared" si="363"/>
        <v>152.4</v>
      </c>
      <c r="BB621" s="66" t="str">
        <f t="shared" si="364"/>
        <v/>
      </c>
      <c r="BC621" s="67" t="str">
        <f t="shared" si="365"/>
        <v/>
      </c>
    </row>
    <row r="622" spans="30:55">
      <c r="AD622" s="68" t="str">
        <v>14</v>
      </c>
      <c r="AE622" s="61">
        <v>141.9</v>
      </c>
      <c r="AF622" s="61">
        <v>1</v>
      </c>
      <c r="AG622" s="66">
        <f t="shared" si="366"/>
        <v>141.9</v>
      </c>
      <c r="AH622" s="66" t="str">
        <f t="shared" si="367"/>
        <v/>
      </c>
      <c r="AI622" s="67" t="str">
        <f t="shared" si="368"/>
        <v/>
      </c>
      <c r="AJ622" s="61">
        <v>1</v>
      </c>
      <c r="AK622" s="66">
        <f t="shared" si="369"/>
        <v>141.9</v>
      </c>
      <c r="AL622" s="66" t="str">
        <f t="shared" si="370"/>
        <v/>
      </c>
      <c r="AM622" s="67" t="str">
        <f t="shared" si="371"/>
        <v/>
      </c>
      <c r="AN622" s="61">
        <v>1</v>
      </c>
      <c r="AO622" s="66">
        <f t="shared" si="372"/>
        <v>141.9</v>
      </c>
      <c r="AP622" s="66" t="str">
        <f t="shared" si="373"/>
        <v/>
      </c>
      <c r="AQ622" s="67" t="str">
        <f t="shared" si="374"/>
        <v/>
      </c>
      <c r="AR622" s="61">
        <v>1</v>
      </c>
      <c r="AS622" s="66">
        <f t="shared" si="375"/>
        <v>141.9</v>
      </c>
      <c r="AT622" s="66" t="str">
        <f t="shared" si="376"/>
        <v/>
      </c>
      <c r="AU622" s="67" t="str">
        <f t="shared" si="377"/>
        <v/>
      </c>
      <c r="AV622" s="61">
        <v>-1</v>
      </c>
      <c r="AW622" s="66" t="str">
        <f t="shared" si="360"/>
        <v/>
      </c>
      <c r="AX622" s="66" t="str">
        <f t="shared" si="361"/>
        <v/>
      </c>
      <c r="AY622" s="67">
        <f t="shared" si="362"/>
        <v>-141.9</v>
      </c>
      <c r="AZ622" s="61">
        <v>1</v>
      </c>
      <c r="BA622" s="66">
        <f t="shared" si="363"/>
        <v>141.9</v>
      </c>
      <c r="BB622" s="66" t="str">
        <f t="shared" si="364"/>
        <v/>
      </c>
      <c r="BC622" s="67" t="str">
        <f t="shared" si="365"/>
        <v/>
      </c>
    </row>
    <row r="623" spans="30:55">
      <c r="AD623" s="68" t="str">
        <v>15</v>
      </c>
      <c r="AE623" s="61">
        <v>139</v>
      </c>
      <c r="AF623" s="61">
        <v>1</v>
      </c>
      <c r="AG623" s="66">
        <f t="shared" si="366"/>
        <v>139</v>
      </c>
      <c r="AH623" s="66" t="str">
        <f t="shared" si="367"/>
        <v/>
      </c>
      <c r="AI623" s="67" t="str">
        <f t="shared" si="368"/>
        <v/>
      </c>
      <c r="AJ623" s="61">
        <v>1</v>
      </c>
      <c r="AK623" s="66">
        <f t="shared" si="369"/>
        <v>139</v>
      </c>
      <c r="AL623" s="66" t="str">
        <f t="shared" si="370"/>
        <v/>
      </c>
      <c r="AM623" s="67" t="str">
        <f t="shared" si="371"/>
        <v/>
      </c>
      <c r="AN623" s="61">
        <v>-1</v>
      </c>
      <c r="AO623" s="66" t="str">
        <f t="shared" si="372"/>
        <v/>
      </c>
      <c r="AP623" s="66" t="str">
        <f t="shared" si="373"/>
        <v/>
      </c>
      <c r="AQ623" s="67">
        <f t="shared" si="374"/>
        <v>-139</v>
      </c>
      <c r="AR623" s="61">
        <v>1</v>
      </c>
      <c r="AS623" s="66">
        <f t="shared" si="375"/>
        <v>139</v>
      </c>
      <c r="AT623" s="66" t="str">
        <f t="shared" si="376"/>
        <v/>
      </c>
      <c r="AU623" s="67" t="str">
        <f t="shared" si="377"/>
        <v/>
      </c>
      <c r="AV623" s="61">
        <v>-1</v>
      </c>
      <c r="AW623" s="66" t="str">
        <f t="shared" si="360"/>
        <v/>
      </c>
      <c r="AX623" s="66" t="str">
        <f t="shared" si="361"/>
        <v/>
      </c>
      <c r="AY623" s="67">
        <f t="shared" si="362"/>
        <v>-139</v>
      </c>
      <c r="AZ623" s="61">
        <v>-1</v>
      </c>
      <c r="BA623" s="66" t="str">
        <f t="shared" si="363"/>
        <v/>
      </c>
      <c r="BB623" s="66" t="str">
        <f t="shared" si="364"/>
        <v/>
      </c>
      <c r="BC623" s="67">
        <f t="shared" si="365"/>
        <v>-139</v>
      </c>
    </row>
    <row r="624" spans="30:55">
      <c r="AD624" s="68" t="str">
        <v>16</v>
      </c>
      <c r="AE624" s="61">
        <v>150.5</v>
      </c>
      <c r="AF624" s="61">
        <v>1</v>
      </c>
      <c r="AG624" s="66">
        <f t="shared" si="366"/>
        <v>150.5</v>
      </c>
      <c r="AH624" s="66" t="str">
        <f t="shared" si="367"/>
        <v/>
      </c>
      <c r="AI624" s="67" t="str">
        <f t="shared" si="368"/>
        <v/>
      </c>
      <c r="AJ624" s="61">
        <v>1</v>
      </c>
      <c r="AK624" s="66">
        <f t="shared" si="369"/>
        <v>150.5</v>
      </c>
      <c r="AL624" s="66" t="str">
        <f t="shared" si="370"/>
        <v/>
      </c>
      <c r="AM624" s="67" t="str">
        <f t="shared" si="371"/>
        <v/>
      </c>
      <c r="AN624" s="61">
        <v>-1</v>
      </c>
      <c r="AO624" s="66" t="str">
        <f t="shared" si="372"/>
        <v/>
      </c>
      <c r="AP624" s="66" t="str">
        <f t="shared" si="373"/>
        <v/>
      </c>
      <c r="AQ624" s="67">
        <f t="shared" si="374"/>
        <v>-150.5</v>
      </c>
      <c r="AR624" s="61">
        <v>1</v>
      </c>
      <c r="AS624" s="66">
        <f t="shared" si="375"/>
        <v>150.5</v>
      </c>
      <c r="AT624" s="66" t="str">
        <f t="shared" si="376"/>
        <v/>
      </c>
      <c r="AU624" s="67" t="str">
        <f t="shared" si="377"/>
        <v/>
      </c>
      <c r="AV624" s="61">
        <v>0</v>
      </c>
      <c r="AW624" s="66" t="str">
        <f t="shared" si="360"/>
        <v/>
      </c>
      <c r="AX624" s="66">
        <f t="shared" si="361"/>
        <v>0</v>
      </c>
      <c r="AY624" s="67" t="str">
        <f t="shared" si="362"/>
        <v/>
      </c>
      <c r="AZ624" s="61">
        <v>-1</v>
      </c>
      <c r="BA624" s="66" t="str">
        <f t="shared" si="363"/>
        <v/>
      </c>
      <c r="BB624" s="66" t="str">
        <f t="shared" si="364"/>
        <v/>
      </c>
      <c r="BC624" s="67">
        <f t="shared" si="365"/>
        <v>-150.5</v>
      </c>
    </row>
    <row r="625" spans="29:55">
      <c r="AD625" s="68" t="str">
        <v>17</v>
      </c>
      <c r="AE625" s="61">
        <v>161.4</v>
      </c>
      <c r="AF625" s="61">
        <v>1</v>
      </c>
      <c r="AG625" s="66">
        <f t="shared" si="366"/>
        <v>161.4</v>
      </c>
      <c r="AH625" s="66" t="str">
        <f t="shared" si="367"/>
        <v/>
      </c>
      <c r="AI625" s="67" t="str">
        <f t="shared" si="368"/>
        <v/>
      </c>
      <c r="AJ625" s="61">
        <v>1</v>
      </c>
      <c r="AK625" s="66">
        <f t="shared" si="369"/>
        <v>161.4</v>
      </c>
      <c r="AL625" s="66" t="str">
        <f t="shared" si="370"/>
        <v/>
      </c>
      <c r="AM625" s="67" t="str">
        <f t="shared" si="371"/>
        <v/>
      </c>
      <c r="AN625" s="61">
        <v>-1</v>
      </c>
      <c r="AO625" s="66" t="str">
        <f t="shared" si="372"/>
        <v/>
      </c>
      <c r="AP625" s="66" t="str">
        <f t="shared" si="373"/>
        <v/>
      </c>
      <c r="AQ625" s="67">
        <f t="shared" si="374"/>
        <v>-161.4</v>
      </c>
      <c r="AR625" s="61">
        <v>1</v>
      </c>
      <c r="AS625" s="66">
        <f t="shared" si="375"/>
        <v>161.4</v>
      </c>
      <c r="AT625" s="66" t="str">
        <f t="shared" si="376"/>
        <v/>
      </c>
      <c r="AU625" s="67" t="str">
        <f t="shared" si="377"/>
        <v/>
      </c>
      <c r="AV625" s="61">
        <v>1</v>
      </c>
      <c r="AW625" s="66">
        <f t="shared" si="360"/>
        <v>161.4</v>
      </c>
      <c r="AX625" s="66" t="str">
        <f t="shared" si="361"/>
        <v/>
      </c>
      <c r="AY625" s="67" t="str">
        <f t="shared" si="362"/>
        <v/>
      </c>
      <c r="AZ625" s="61">
        <v>-1</v>
      </c>
      <c r="BA625" s="66" t="str">
        <f t="shared" si="363"/>
        <v/>
      </c>
      <c r="BB625" s="66" t="str">
        <f t="shared" si="364"/>
        <v/>
      </c>
      <c r="BC625" s="67">
        <f t="shared" si="365"/>
        <v>-161.4</v>
      </c>
    </row>
    <row r="626" spans="29:55">
      <c r="AD626" s="68" t="str">
        <v>18</v>
      </c>
      <c r="AE626" s="61">
        <v>168.70000000000002</v>
      </c>
      <c r="AF626" s="61">
        <v>-1</v>
      </c>
      <c r="AG626" s="66" t="str">
        <f t="shared" si="366"/>
        <v/>
      </c>
      <c r="AH626" s="66" t="str">
        <f t="shared" si="367"/>
        <v/>
      </c>
      <c r="AI626" s="67">
        <f t="shared" si="368"/>
        <v>-168.70000000000002</v>
      </c>
      <c r="AJ626" s="61">
        <v>1</v>
      </c>
      <c r="AK626" s="66">
        <f t="shared" si="369"/>
        <v>168.70000000000002</v>
      </c>
      <c r="AL626" s="66" t="str">
        <f t="shared" si="370"/>
        <v/>
      </c>
      <c r="AM626" s="67" t="str">
        <f t="shared" si="371"/>
        <v/>
      </c>
      <c r="AN626" s="61">
        <v>-1</v>
      </c>
      <c r="AO626" s="66" t="str">
        <f t="shared" si="372"/>
        <v/>
      </c>
      <c r="AP626" s="66" t="str">
        <f t="shared" si="373"/>
        <v/>
      </c>
      <c r="AQ626" s="67">
        <f t="shared" si="374"/>
        <v>-168.70000000000002</v>
      </c>
      <c r="AR626" s="61">
        <v>-1</v>
      </c>
      <c r="AS626" s="66" t="str">
        <f t="shared" si="375"/>
        <v/>
      </c>
      <c r="AT626" s="66" t="str">
        <f t="shared" si="376"/>
        <v/>
      </c>
      <c r="AU626" s="67">
        <f t="shared" si="377"/>
        <v>-168.70000000000002</v>
      </c>
      <c r="AV626" s="61">
        <v>1</v>
      </c>
      <c r="AW626" s="66">
        <f t="shared" si="360"/>
        <v>168.70000000000002</v>
      </c>
      <c r="AX626" s="66" t="str">
        <f t="shared" si="361"/>
        <v/>
      </c>
      <c r="AY626" s="67" t="str">
        <f t="shared" si="362"/>
        <v/>
      </c>
      <c r="AZ626" s="61">
        <v>1</v>
      </c>
      <c r="BA626" s="66">
        <f t="shared" si="363"/>
        <v>168.70000000000002</v>
      </c>
      <c r="BB626" s="66" t="str">
        <f t="shared" si="364"/>
        <v/>
      </c>
      <c r="BC626" s="67" t="str">
        <f t="shared" si="365"/>
        <v/>
      </c>
    </row>
    <row r="627" spans="29:55">
      <c r="AD627" s="68" t="str">
        <v>19</v>
      </c>
      <c r="AE627" s="61">
        <v>162.1</v>
      </c>
      <c r="AF627" s="61">
        <v>-1</v>
      </c>
      <c r="AG627" s="66" t="str">
        <f t="shared" si="366"/>
        <v/>
      </c>
      <c r="AH627" s="66" t="str">
        <f t="shared" si="367"/>
        <v/>
      </c>
      <c r="AI627" s="67">
        <f t="shared" si="368"/>
        <v>-162.1</v>
      </c>
      <c r="AJ627" s="61">
        <v>1</v>
      </c>
      <c r="AK627" s="66">
        <f t="shared" si="369"/>
        <v>162.1</v>
      </c>
      <c r="AL627" s="66" t="str">
        <f t="shared" si="370"/>
        <v/>
      </c>
      <c r="AM627" s="67" t="str">
        <f t="shared" si="371"/>
        <v/>
      </c>
      <c r="AN627" s="61">
        <v>-1</v>
      </c>
      <c r="AO627" s="66" t="str">
        <f t="shared" si="372"/>
        <v/>
      </c>
      <c r="AP627" s="66" t="str">
        <f t="shared" si="373"/>
        <v/>
      </c>
      <c r="AQ627" s="67">
        <f t="shared" si="374"/>
        <v>-162.1</v>
      </c>
      <c r="AR627" s="61">
        <v>-1</v>
      </c>
      <c r="AS627" s="66" t="str">
        <f t="shared" si="375"/>
        <v/>
      </c>
      <c r="AT627" s="66" t="str">
        <f t="shared" si="376"/>
        <v/>
      </c>
      <c r="AU627" s="67">
        <f t="shared" si="377"/>
        <v>-162.1</v>
      </c>
      <c r="AV627" s="61">
        <v>0</v>
      </c>
      <c r="AW627" s="66" t="str">
        <f t="shared" si="360"/>
        <v/>
      </c>
      <c r="AX627" s="66">
        <f t="shared" si="361"/>
        <v>0</v>
      </c>
      <c r="AY627" s="67" t="str">
        <f t="shared" si="362"/>
        <v/>
      </c>
      <c r="AZ627" s="61">
        <v>1</v>
      </c>
      <c r="BA627" s="66">
        <f t="shared" si="363"/>
        <v>162.1</v>
      </c>
      <c r="BB627" s="66" t="str">
        <f t="shared" si="364"/>
        <v/>
      </c>
      <c r="BC627" s="67" t="str">
        <f t="shared" si="365"/>
        <v/>
      </c>
    </row>
    <row r="628" spans="29:55">
      <c r="AD628" s="68" t="str">
        <v>20</v>
      </c>
      <c r="AE628" s="61">
        <v>150.5</v>
      </c>
      <c r="AF628" s="61">
        <v>-1</v>
      </c>
      <c r="AG628" s="66" t="str">
        <f t="shared" si="366"/>
        <v/>
      </c>
      <c r="AH628" s="66" t="str">
        <f t="shared" si="367"/>
        <v/>
      </c>
      <c r="AI628" s="67">
        <f t="shared" si="368"/>
        <v>-150.5</v>
      </c>
      <c r="AJ628" s="61">
        <v>1</v>
      </c>
      <c r="AK628" s="66">
        <f t="shared" si="369"/>
        <v>150.5</v>
      </c>
      <c r="AL628" s="66" t="str">
        <f t="shared" si="370"/>
        <v/>
      </c>
      <c r="AM628" s="67" t="str">
        <f t="shared" si="371"/>
        <v/>
      </c>
      <c r="AN628" s="61">
        <v>-1</v>
      </c>
      <c r="AO628" s="66" t="str">
        <f t="shared" si="372"/>
        <v/>
      </c>
      <c r="AP628" s="66" t="str">
        <f t="shared" si="373"/>
        <v/>
      </c>
      <c r="AQ628" s="67">
        <f t="shared" si="374"/>
        <v>-150.5</v>
      </c>
      <c r="AR628" s="61">
        <v>-1</v>
      </c>
      <c r="AS628" s="66" t="str">
        <f t="shared" si="375"/>
        <v/>
      </c>
      <c r="AT628" s="66" t="str">
        <f t="shared" si="376"/>
        <v/>
      </c>
      <c r="AU628" s="67">
        <f t="shared" si="377"/>
        <v>-150.5</v>
      </c>
      <c r="AV628" s="61">
        <v>-1</v>
      </c>
      <c r="AW628" s="66" t="str">
        <f t="shared" si="360"/>
        <v/>
      </c>
      <c r="AX628" s="66" t="str">
        <f t="shared" si="361"/>
        <v/>
      </c>
      <c r="AY628" s="67">
        <f t="shared" si="362"/>
        <v>-150.5</v>
      </c>
      <c r="AZ628" s="61">
        <v>1</v>
      </c>
      <c r="BA628" s="66">
        <f t="shared" si="363"/>
        <v>150.5</v>
      </c>
      <c r="BB628" s="66" t="str">
        <f t="shared" si="364"/>
        <v/>
      </c>
      <c r="BC628" s="67" t="str">
        <f t="shared" si="365"/>
        <v/>
      </c>
    </row>
    <row r="629" spans="29:55">
      <c r="AD629" s="68" t="str">
        <v>21</v>
      </c>
      <c r="AE629" s="61">
        <v>125.4</v>
      </c>
      <c r="AF629" s="61">
        <v>-1</v>
      </c>
      <c r="AG629" s="66" t="str">
        <f t="shared" si="366"/>
        <v/>
      </c>
      <c r="AH629" s="66" t="str">
        <f t="shared" si="367"/>
        <v/>
      </c>
      <c r="AI629" s="67">
        <f t="shared" si="368"/>
        <v>-125.4</v>
      </c>
      <c r="AJ629" s="61">
        <v>1</v>
      </c>
      <c r="AK629" s="66">
        <f t="shared" si="369"/>
        <v>125.4</v>
      </c>
      <c r="AL629" s="66" t="str">
        <f t="shared" si="370"/>
        <v/>
      </c>
      <c r="AM629" s="67" t="str">
        <f t="shared" si="371"/>
        <v/>
      </c>
      <c r="AN629" s="61">
        <v>1</v>
      </c>
      <c r="AO629" s="66">
        <f t="shared" si="372"/>
        <v>125.4</v>
      </c>
      <c r="AP629" s="66" t="str">
        <f t="shared" si="373"/>
        <v/>
      </c>
      <c r="AQ629" s="67" t="str">
        <f t="shared" si="374"/>
        <v/>
      </c>
      <c r="AR629" s="61">
        <v>-1</v>
      </c>
      <c r="AS629" s="66" t="str">
        <f t="shared" si="375"/>
        <v/>
      </c>
      <c r="AT629" s="66" t="str">
        <f t="shared" si="376"/>
        <v/>
      </c>
      <c r="AU629" s="67">
        <f t="shared" si="377"/>
        <v>-125.4</v>
      </c>
      <c r="AV629" s="61">
        <v>-1</v>
      </c>
      <c r="AW629" s="66" t="str">
        <f t="shared" si="360"/>
        <v/>
      </c>
      <c r="AX629" s="66" t="str">
        <f t="shared" si="361"/>
        <v/>
      </c>
      <c r="AY629" s="67">
        <f t="shared" si="362"/>
        <v>-125.4</v>
      </c>
      <c r="AZ629" s="61">
        <v>-1</v>
      </c>
      <c r="BA629" s="66" t="str">
        <f t="shared" si="363"/>
        <v/>
      </c>
      <c r="BB629" s="66" t="str">
        <f t="shared" si="364"/>
        <v/>
      </c>
      <c r="BC629" s="67">
        <f t="shared" si="365"/>
        <v>-125.4</v>
      </c>
    </row>
    <row r="630" spans="29:55">
      <c r="AD630" s="68" t="str">
        <v>22</v>
      </c>
      <c r="AE630" s="61">
        <v>101.2</v>
      </c>
      <c r="AF630" s="61">
        <v>-1</v>
      </c>
      <c r="AG630" s="66" t="str">
        <f t="shared" si="366"/>
        <v/>
      </c>
      <c r="AH630" s="66" t="str">
        <f t="shared" si="367"/>
        <v/>
      </c>
      <c r="AI630" s="67">
        <f t="shared" si="368"/>
        <v>-101.2</v>
      </c>
      <c r="AJ630" s="61">
        <v>1</v>
      </c>
      <c r="AK630" s="66">
        <f t="shared" si="369"/>
        <v>101.2</v>
      </c>
      <c r="AL630" s="66" t="str">
        <f t="shared" si="370"/>
        <v/>
      </c>
      <c r="AM630" s="67" t="str">
        <f t="shared" si="371"/>
        <v/>
      </c>
      <c r="AN630" s="61">
        <v>1</v>
      </c>
      <c r="AO630" s="66">
        <f t="shared" si="372"/>
        <v>101.2</v>
      </c>
      <c r="AP630" s="66" t="str">
        <f t="shared" si="373"/>
        <v/>
      </c>
      <c r="AQ630" s="67" t="str">
        <f t="shared" si="374"/>
        <v/>
      </c>
      <c r="AR630" s="61">
        <v>-1</v>
      </c>
      <c r="AS630" s="66" t="str">
        <f t="shared" si="375"/>
        <v/>
      </c>
      <c r="AT630" s="66" t="str">
        <f t="shared" si="376"/>
        <v/>
      </c>
      <c r="AU630" s="67">
        <f t="shared" si="377"/>
        <v>-101.2</v>
      </c>
      <c r="AV630" s="61">
        <v>0</v>
      </c>
      <c r="AW630" s="66" t="str">
        <f t="shared" si="360"/>
        <v/>
      </c>
      <c r="AX630" s="66">
        <f t="shared" si="361"/>
        <v>0</v>
      </c>
      <c r="AY630" s="67" t="str">
        <f t="shared" si="362"/>
        <v/>
      </c>
      <c r="AZ630" s="61">
        <v>-1</v>
      </c>
      <c r="BA630" s="66" t="str">
        <f t="shared" si="363"/>
        <v/>
      </c>
      <c r="BB630" s="66" t="str">
        <f t="shared" si="364"/>
        <v/>
      </c>
      <c r="BC630" s="67">
        <f t="shared" si="365"/>
        <v>-101.2</v>
      </c>
    </row>
    <row r="631" spans="29:55">
      <c r="AD631" s="68" t="str">
        <v>23</v>
      </c>
      <c r="AE631" s="61">
        <v>81.5</v>
      </c>
      <c r="AF631" s="61">
        <v>-1</v>
      </c>
      <c r="AG631" s="66" t="str">
        <f t="shared" si="366"/>
        <v/>
      </c>
      <c r="AH631" s="66" t="str">
        <f t="shared" si="367"/>
        <v/>
      </c>
      <c r="AI631" s="67">
        <f t="shared" si="368"/>
        <v>-81.5</v>
      </c>
      <c r="AJ631" s="61">
        <v>1</v>
      </c>
      <c r="AK631" s="66">
        <f t="shared" si="369"/>
        <v>81.5</v>
      </c>
      <c r="AL631" s="66" t="str">
        <f t="shared" si="370"/>
        <v/>
      </c>
      <c r="AM631" s="67" t="str">
        <f t="shared" si="371"/>
        <v/>
      </c>
      <c r="AN631" s="61">
        <v>1</v>
      </c>
      <c r="AO631" s="66">
        <f t="shared" si="372"/>
        <v>81.5</v>
      </c>
      <c r="AP631" s="66" t="str">
        <f t="shared" si="373"/>
        <v/>
      </c>
      <c r="AQ631" s="67" t="str">
        <f t="shared" si="374"/>
        <v/>
      </c>
      <c r="AR631" s="61">
        <v>-1</v>
      </c>
      <c r="AS631" s="66" t="str">
        <f t="shared" si="375"/>
        <v/>
      </c>
      <c r="AT631" s="66" t="str">
        <f t="shared" si="376"/>
        <v/>
      </c>
      <c r="AU631" s="67">
        <f t="shared" si="377"/>
        <v>-81.5</v>
      </c>
      <c r="AV631" s="61">
        <v>1</v>
      </c>
      <c r="AW631" s="66">
        <f t="shared" si="360"/>
        <v>81.5</v>
      </c>
      <c r="AX631" s="66" t="str">
        <f t="shared" si="361"/>
        <v/>
      </c>
      <c r="AY631" s="67" t="str">
        <f t="shared" si="362"/>
        <v/>
      </c>
      <c r="AZ631" s="61">
        <v>-1</v>
      </c>
      <c r="BA631" s="66" t="str">
        <f t="shared" si="363"/>
        <v/>
      </c>
      <c r="BB631" s="66" t="str">
        <f t="shared" si="364"/>
        <v/>
      </c>
      <c r="BC631" s="67">
        <f t="shared" si="365"/>
        <v>-81.5</v>
      </c>
    </row>
    <row r="632" spans="29:55" ht="15.75" thickBot="1">
      <c r="AC632" s="476">
        <f>AD604</f>
        <v>44729</v>
      </c>
      <c r="AD632" s="69" t="s">
        <v>85</v>
      </c>
      <c r="AE632" s="70">
        <f>SUM(AE608:AE631)</f>
        <v>4022.4</v>
      </c>
      <c r="AF632" s="70"/>
      <c r="AG632" s="71">
        <f>ABS(SUM(AG608:AG631))</f>
        <v>2440.5000000000005</v>
      </c>
      <c r="AH632" s="70"/>
      <c r="AI632" s="72">
        <f>ABS(SUM(AI608:AI631))</f>
        <v>1581.9</v>
      </c>
      <c r="AJ632" s="70"/>
      <c r="AK632" s="71">
        <f>ABS(SUM(AK608:AK631))</f>
        <v>1705.6</v>
      </c>
      <c r="AL632" s="70"/>
      <c r="AM632" s="72">
        <f>ABS(SUM(AM608:AM631))</f>
        <v>2316.8000000000002</v>
      </c>
      <c r="AN632" s="70"/>
      <c r="AO632" s="71">
        <f>ABS(SUM(AO608:AO631))</f>
        <v>1677.8000000000004</v>
      </c>
      <c r="AP632" s="70"/>
      <c r="AQ632" s="72">
        <f>ABS(SUM(AQ608:AQ631))</f>
        <v>2344.6000000000004</v>
      </c>
      <c r="AR632" s="70"/>
      <c r="AS632" s="71">
        <f>ABS(SUM(AS608:AS631))</f>
        <v>1708.7000000000003</v>
      </c>
      <c r="AT632" s="70"/>
      <c r="AU632" s="72">
        <f>ABS(SUM(AU608:AU631))</f>
        <v>2313.6999999999998</v>
      </c>
      <c r="AV632" s="70"/>
      <c r="AW632" s="71">
        <f>ABS(SUM(AW608:AW631))</f>
        <v>1344.4</v>
      </c>
      <c r="AX632" s="70"/>
      <c r="AY632" s="72">
        <f>ABS(SUM(AY608:AY631))</f>
        <v>1337.7</v>
      </c>
      <c r="AZ632" s="70"/>
      <c r="BA632" s="71">
        <f>ABS(SUM(BA608:BA631))</f>
        <v>2007.1000000000001</v>
      </c>
      <c r="BB632" s="70"/>
      <c r="BC632" s="72">
        <f>ABS(SUM(BC608:BC631))</f>
        <v>2015.3000000000002</v>
      </c>
    </row>
    <row r="634" spans="29:55" ht="15" thickBot="1">
      <c r="AD634" s="476">
        <f>skemA1!B26</f>
        <v>44730</v>
      </c>
    </row>
    <row r="635" spans="29:55" ht="15" thickBot="1">
      <c r="AD635" s="677" t="s">
        <v>75</v>
      </c>
      <c r="AE635" s="60" t="s">
        <v>558</v>
      </c>
      <c r="AF635" s="672" t="s">
        <v>559</v>
      </c>
      <c r="AG635" s="672"/>
      <c r="AH635" s="672"/>
      <c r="AI635" s="673"/>
      <c r="AJ635" s="672" t="s">
        <v>562</v>
      </c>
      <c r="AK635" s="672"/>
      <c r="AL635" s="672"/>
      <c r="AM635" s="673"/>
      <c r="AN635" s="672" t="s">
        <v>563</v>
      </c>
      <c r="AO635" s="672"/>
      <c r="AP635" s="672"/>
      <c r="AQ635" s="673"/>
      <c r="AR635" s="672" t="s">
        <v>564</v>
      </c>
      <c r="AS635" s="672"/>
      <c r="AT635" s="672"/>
      <c r="AU635" s="673"/>
      <c r="AV635" s="672" t="s">
        <v>565</v>
      </c>
      <c r="AW635" s="672"/>
      <c r="AX635" s="672"/>
      <c r="AY635" s="673"/>
      <c r="AZ635" s="672" t="s">
        <v>566</v>
      </c>
      <c r="BA635" s="672"/>
      <c r="BB635" s="672"/>
      <c r="BC635" s="673"/>
    </row>
    <row r="636" spans="29:55" ht="15" thickBot="1">
      <c r="AD636" s="677"/>
      <c r="AE636" s="61"/>
      <c r="AF636" s="674" t="s">
        <v>561</v>
      </c>
      <c r="AG636" s="670" t="s">
        <v>560</v>
      </c>
      <c r="AH636" s="670"/>
      <c r="AI636" s="671"/>
      <c r="AJ636" s="674" t="s">
        <v>561</v>
      </c>
      <c r="AK636" s="670" t="s">
        <v>560</v>
      </c>
      <c r="AL636" s="670"/>
      <c r="AM636" s="671"/>
      <c r="AN636" s="674" t="s">
        <v>561</v>
      </c>
      <c r="AO636" s="670" t="s">
        <v>560</v>
      </c>
      <c r="AP636" s="670"/>
      <c r="AQ636" s="671"/>
      <c r="AR636" s="674" t="s">
        <v>561</v>
      </c>
      <c r="AS636" s="670" t="s">
        <v>560</v>
      </c>
      <c r="AT636" s="670"/>
      <c r="AU636" s="671"/>
      <c r="AV636" s="674" t="s">
        <v>561</v>
      </c>
      <c r="AW636" s="670" t="s">
        <v>560</v>
      </c>
      <c r="AX636" s="670"/>
      <c r="AY636" s="671"/>
      <c r="AZ636" s="674" t="s">
        <v>561</v>
      </c>
      <c r="BA636" s="670" t="s">
        <v>560</v>
      </c>
      <c r="BB636" s="670"/>
      <c r="BC636" s="671"/>
    </row>
    <row r="637" spans="29:55">
      <c r="AD637" s="677"/>
      <c r="AE637" s="62"/>
      <c r="AF637" s="674"/>
      <c r="AG637" s="63" t="s">
        <v>76</v>
      </c>
      <c r="AH637" s="63">
        <v>0</v>
      </c>
      <c r="AI637" s="64" t="s">
        <v>77</v>
      </c>
      <c r="AJ637" s="674"/>
      <c r="AK637" s="63" t="s">
        <v>76</v>
      </c>
      <c r="AL637" s="63">
        <v>0</v>
      </c>
      <c r="AM637" s="64" t="s">
        <v>77</v>
      </c>
      <c r="AN637" s="674"/>
      <c r="AO637" s="63" t="s">
        <v>76</v>
      </c>
      <c r="AP637" s="63">
        <v>0</v>
      </c>
      <c r="AQ637" s="64" t="s">
        <v>77</v>
      </c>
      <c r="AR637" s="674"/>
      <c r="AS637" s="63" t="s">
        <v>76</v>
      </c>
      <c r="AT637" s="63">
        <v>0</v>
      </c>
      <c r="AU637" s="64" t="s">
        <v>77</v>
      </c>
      <c r="AV637" s="674"/>
      <c r="AW637" s="63" t="s">
        <v>76</v>
      </c>
      <c r="AX637" s="63">
        <v>0</v>
      </c>
      <c r="AY637" s="64" t="s">
        <v>77</v>
      </c>
      <c r="AZ637" s="674"/>
      <c r="BA637" s="63" t="s">
        <v>76</v>
      </c>
      <c r="BB637" s="63">
        <v>0</v>
      </c>
      <c r="BC637" s="64" t="s">
        <v>77</v>
      </c>
    </row>
    <row r="638" spans="29:55">
      <c r="AD638" s="65" t="str">
        <f t="array" ref="AD638:AD661">TRANSPOSE($C$5:$Z$5)</f>
        <v>00</v>
      </c>
      <c r="AE638" s="66">
        <f t="array" ref="AE638:AE661">TRANSPOSE(skemA1!$C$26:$Z$26)</f>
        <v>68.8</v>
      </c>
      <c r="AF638" s="66">
        <f t="array" ref="AF638:AF661">TRANSPOSE($C$6:$Z$6)</f>
        <v>-1</v>
      </c>
      <c r="AG638" s="66" t="str">
        <f>IF(AF638&gt;0,AF638*$AE638,"")</f>
        <v/>
      </c>
      <c r="AH638" s="66" t="str">
        <f>IF(AF638=0,AF638*$AE638,"")</f>
        <v/>
      </c>
      <c r="AI638" s="67">
        <f>IF(AF638&lt;0,AF638*$AE638,"")</f>
        <v>-68.8</v>
      </c>
      <c r="AJ638" s="66">
        <f t="array" ref="AJ638:AJ661">TRANSPOSE($C$7:$Z$7)</f>
        <v>-1</v>
      </c>
      <c r="AK638" s="66" t="str">
        <f>IF(AJ638&gt;0,AJ638*$AE638,"")</f>
        <v/>
      </c>
      <c r="AL638" s="66" t="str">
        <f>IF(AJ638=0,AJ638*$AE638,"")</f>
        <v/>
      </c>
      <c r="AM638" s="67">
        <f>IF(AJ638&lt;0,AJ638*$AE638,"")</f>
        <v>-68.8</v>
      </c>
      <c r="AN638" s="66">
        <f t="array" ref="AN638:AN661">TRANSPOSE($C$8:$Z$8)</f>
        <v>1</v>
      </c>
      <c r="AO638" s="66">
        <f>IF(AN638&gt;0,AN638*$AE638,"")</f>
        <v>68.8</v>
      </c>
      <c r="AP638" s="66" t="str">
        <f>IF(AN638=0,AN638*$AE638,"")</f>
        <v/>
      </c>
      <c r="AQ638" s="67" t="str">
        <f>IF(AN638&lt;0,AN638*$AE638,"")</f>
        <v/>
      </c>
      <c r="AR638" s="66">
        <f t="array" ref="AR638:AR661">TRANSPOSE($C$9:$Z$9)</f>
        <v>1</v>
      </c>
      <c r="AS638" s="66">
        <f>IF(AR638&gt;0,AR638*$AE638,"")</f>
        <v>68.8</v>
      </c>
      <c r="AT638" s="66" t="str">
        <f>IF(AR638=0,AR638*$AE638,"")</f>
        <v/>
      </c>
      <c r="AU638" s="67" t="str">
        <f>IF(AR638&lt;0,AR638*$AE638,"")</f>
        <v/>
      </c>
      <c r="AV638" s="66">
        <f t="array" ref="AV638:AV661">TRANSPOSE($C$10:$Z$10)</f>
        <v>1</v>
      </c>
      <c r="AW638" s="66">
        <f t="shared" ref="AW638:AW661" si="378">IF(AV638&gt;0,AV638*$AE638,"")</f>
        <v>68.8</v>
      </c>
      <c r="AX638" s="66" t="str">
        <f t="shared" ref="AX638:AX661" si="379">IF(AV638=0,AV638*$AE638,"")</f>
        <v/>
      </c>
      <c r="AY638" s="67" t="str">
        <f t="shared" ref="AY638:AY661" si="380">IF(AV638&lt;0,AV638*$AE638,"")</f>
        <v/>
      </c>
      <c r="AZ638" s="66">
        <f t="array" ref="AZ638:AZ661">TRANSPOSE($C$11:$Z$11)</f>
        <v>1</v>
      </c>
      <c r="BA638" s="66">
        <f t="shared" ref="BA638:BA661" si="381">IF(AZ638&gt;0,AZ638*$AE638,"")</f>
        <v>68.8</v>
      </c>
      <c r="BB638" s="66" t="str">
        <f t="shared" ref="BB638:BB661" si="382">IF(AZ638=0,AZ638*$AE638,"")</f>
        <v/>
      </c>
      <c r="BC638" s="67" t="str">
        <f t="shared" ref="BC638:BC661" si="383">IF(AZ638&lt;0,AZ638*$AE638,"")</f>
        <v/>
      </c>
    </row>
    <row r="639" spans="29:55">
      <c r="AD639" s="68" t="str">
        <v>01</v>
      </c>
      <c r="AE639" s="61">
        <v>61.5</v>
      </c>
      <c r="AF639" s="61">
        <v>-1</v>
      </c>
      <c r="AG639" s="66" t="str">
        <f t="shared" ref="AG639:AG661" si="384">IF(AF639&gt;0,AF639*$AE639,"")</f>
        <v/>
      </c>
      <c r="AH639" s="66" t="str">
        <f t="shared" ref="AH639:AH661" si="385">IF(AF639=0,AF639*$AE639,"")</f>
        <v/>
      </c>
      <c r="AI639" s="67">
        <f t="shared" ref="AI639:AI661" si="386">IF(AF639&lt;0,AF639*$AE639,"")</f>
        <v>-61.5</v>
      </c>
      <c r="AJ639" s="61">
        <v>-1</v>
      </c>
      <c r="AK639" s="66" t="str">
        <f t="shared" ref="AK639:AK661" si="387">IF(AJ639&gt;0,AJ639*$AE639,"")</f>
        <v/>
      </c>
      <c r="AL639" s="66" t="str">
        <f t="shared" ref="AL639:AL661" si="388">IF(AJ639=0,AJ639*$AE639,"")</f>
        <v/>
      </c>
      <c r="AM639" s="67">
        <f t="shared" ref="AM639:AM661" si="389">IF(AJ639&lt;0,AJ639*$AE639,"")</f>
        <v>-61.5</v>
      </c>
      <c r="AN639" s="61">
        <v>1</v>
      </c>
      <c r="AO639" s="66">
        <f t="shared" ref="AO639:AO661" si="390">IF(AN639&gt;0,AN639*$AE639,"")</f>
        <v>61.5</v>
      </c>
      <c r="AP639" s="66" t="str">
        <f t="shared" ref="AP639:AP661" si="391">IF(AN639=0,AN639*$AE639,"")</f>
        <v/>
      </c>
      <c r="AQ639" s="67" t="str">
        <f t="shared" ref="AQ639:AQ661" si="392">IF(AN639&lt;0,AN639*$AE639,"")</f>
        <v/>
      </c>
      <c r="AR639" s="61">
        <v>1</v>
      </c>
      <c r="AS639" s="66">
        <f t="shared" ref="AS639:AS661" si="393">IF(AR639&gt;0,AR639*$AE639,"")</f>
        <v>61.5</v>
      </c>
      <c r="AT639" s="66" t="str">
        <f t="shared" ref="AT639:AT661" si="394">IF(AR639=0,AR639*$AE639,"")</f>
        <v/>
      </c>
      <c r="AU639" s="67" t="str">
        <f t="shared" ref="AU639:AU661" si="395">IF(AR639&lt;0,AR639*$AE639,"")</f>
        <v/>
      </c>
      <c r="AV639" s="61">
        <v>0</v>
      </c>
      <c r="AW639" s="66" t="str">
        <f t="shared" si="378"/>
        <v/>
      </c>
      <c r="AX639" s="66">
        <f t="shared" si="379"/>
        <v>0</v>
      </c>
      <c r="AY639" s="67" t="str">
        <f t="shared" si="380"/>
        <v/>
      </c>
      <c r="AZ639" s="61">
        <v>1</v>
      </c>
      <c r="BA639" s="66">
        <f t="shared" si="381"/>
        <v>61.5</v>
      </c>
      <c r="BB639" s="66" t="str">
        <f t="shared" si="382"/>
        <v/>
      </c>
      <c r="BC639" s="67" t="str">
        <f t="shared" si="383"/>
        <v/>
      </c>
    </row>
    <row r="640" spans="29:55">
      <c r="AD640" s="68" t="str">
        <v>02</v>
      </c>
      <c r="AE640" s="61">
        <v>77.8</v>
      </c>
      <c r="AF640" s="61">
        <v>-1</v>
      </c>
      <c r="AG640" s="66" t="str">
        <f t="shared" si="384"/>
        <v/>
      </c>
      <c r="AH640" s="66" t="str">
        <f t="shared" si="385"/>
        <v/>
      </c>
      <c r="AI640" s="67">
        <f t="shared" si="386"/>
        <v>-77.8</v>
      </c>
      <c r="AJ640" s="61">
        <v>-1</v>
      </c>
      <c r="AK640" s="66" t="str">
        <f t="shared" si="387"/>
        <v/>
      </c>
      <c r="AL640" s="66" t="str">
        <f t="shared" si="388"/>
        <v/>
      </c>
      <c r="AM640" s="67">
        <f t="shared" si="389"/>
        <v>-77.8</v>
      </c>
      <c r="AN640" s="61">
        <v>1</v>
      </c>
      <c r="AO640" s="66">
        <f t="shared" si="390"/>
        <v>77.8</v>
      </c>
      <c r="AP640" s="66" t="str">
        <f t="shared" si="391"/>
        <v/>
      </c>
      <c r="AQ640" s="67" t="str">
        <f t="shared" si="392"/>
        <v/>
      </c>
      <c r="AR640" s="61">
        <v>1</v>
      </c>
      <c r="AS640" s="66">
        <f t="shared" si="393"/>
        <v>77.8</v>
      </c>
      <c r="AT640" s="66" t="str">
        <f t="shared" si="394"/>
        <v/>
      </c>
      <c r="AU640" s="67" t="str">
        <f t="shared" si="395"/>
        <v/>
      </c>
      <c r="AV640" s="61">
        <v>-1</v>
      </c>
      <c r="AW640" s="66" t="str">
        <f t="shared" si="378"/>
        <v/>
      </c>
      <c r="AX640" s="66" t="str">
        <f t="shared" si="379"/>
        <v/>
      </c>
      <c r="AY640" s="67">
        <f t="shared" si="380"/>
        <v>-77.8</v>
      </c>
      <c r="AZ640" s="61">
        <v>1</v>
      </c>
      <c r="BA640" s="66">
        <f t="shared" si="381"/>
        <v>77.8</v>
      </c>
      <c r="BB640" s="66" t="str">
        <f t="shared" si="382"/>
        <v/>
      </c>
      <c r="BC640" s="67" t="str">
        <f t="shared" si="383"/>
        <v/>
      </c>
    </row>
    <row r="641" spans="30:55">
      <c r="AD641" s="68" t="str">
        <v>03</v>
      </c>
      <c r="AE641" s="61">
        <v>111.00000000000001</v>
      </c>
      <c r="AF641" s="61">
        <v>-1</v>
      </c>
      <c r="AG641" s="66" t="str">
        <f t="shared" si="384"/>
        <v/>
      </c>
      <c r="AH641" s="66" t="str">
        <f t="shared" si="385"/>
        <v/>
      </c>
      <c r="AI641" s="67">
        <f t="shared" si="386"/>
        <v>-111.00000000000001</v>
      </c>
      <c r="AJ641" s="61">
        <v>-1</v>
      </c>
      <c r="AK641" s="66" t="str">
        <f t="shared" si="387"/>
        <v/>
      </c>
      <c r="AL641" s="66" t="str">
        <f t="shared" si="388"/>
        <v/>
      </c>
      <c r="AM641" s="67">
        <f t="shared" si="389"/>
        <v>-111.00000000000001</v>
      </c>
      <c r="AN641" s="61">
        <v>-1</v>
      </c>
      <c r="AO641" s="66" t="str">
        <f t="shared" si="390"/>
        <v/>
      </c>
      <c r="AP641" s="66" t="str">
        <f t="shared" si="391"/>
        <v/>
      </c>
      <c r="AQ641" s="67">
        <f t="shared" si="392"/>
        <v>-111.00000000000001</v>
      </c>
      <c r="AR641" s="61">
        <v>1</v>
      </c>
      <c r="AS641" s="66">
        <f t="shared" si="393"/>
        <v>111.00000000000001</v>
      </c>
      <c r="AT641" s="66" t="str">
        <f t="shared" si="394"/>
        <v/>
      </c>
      <c r="AU641" s="67" t="str">
        <f t="shared" si="395"/>
        <v/>
      </c>
      <c r="AV641" s="61">
        <v>-1</v>
      </c>
      <c r="AW641" s="66" t="str">
        <f t="shared" si="378"/>
        <v/>
      </c>
      <c r="AX641" s="66" t="str">
        <f t="shared" si="379"/>
        <v/>
      </c>
      <c r="AY641" s="67">
        <f t="shared" si="380"/>
        <v>-111.00000000000001</v>
      </c>
      <c r="AZ641" s="61">
        <v>-1</v>
      </c>
      <c r="BA641" s="66" t="str">
        <f t="shared" si="381"/>
        <v/>
      </c>
      <c r="BB641" s="66" t="str">
        <f t="shared" si="382"/>
        <v/>
      </c>
      <c r="BC641" s="67">
        <f t="shared" si="383"/>
        <v>-111.00000000000001</v>
      </c>
    </row>
    <row r="642" spans="30:55">
      <c r="AD642" s="68" t="str">
        <v>04</v>
      </c>
      <c r="AE642" s="61">
        <v>159.69999999999999</v>
      </c>
      <c r="AF642" s="61">
        <v>-1</v>
      </c>
      <c r="AG642" s="66" t="str">
        <f t="shared" si="384"/>
        <v/>
      </c>
      <c r="AH642" s="66" t="str">
        <f t="shared" si="385"/>
        <v/>
      </c>
      <c r="AI642" s="67">
        <f t="shared" si="386"/>
        <v>-159.69999999999999</v>
      </c>
      <c r="AJ642" s="61">
        <v>-1</v>
      </c>
      <c r="AK642" s="66" t="str">
        <f t="shared" si="387"/>
        <v/>
      </c>
      <c r="AL642" s="66" t="str">
        <f t="shared" si="388"/>
        <v/>
      </c>
      <c r="AM642" s="67">
        <f t="shared" si="389"/>
        <v>-159.69999999999999</v>
      </c>
      <c r="AN642" s="61">
        <v>-1</v>
      </c>
      <c r="AO642" s="66" t="str">
        <f t="shared" si="390"/>
        <v/>
      </c>
      <c r="AP642" s="66" t="str">
        <f t="shared" si="391"/>
        <v/>
      </c>
      <c r="AQ642" s="67">
        <f t="shared" si="392"/>
        <v>-159.69999999999999</v>
      </c>
      <c r="AR642" s="61">
        <v>1</v>
      </c>
      <c r="AS642" s="66">
        <f t="shared" si="393"/>
        <v>159.69999999999999</v>
      </c>
      <c r="AT642" s="66" t="str">
        <f t="shared" si="394"/>
        <v/>
      </c>
      <c r="AU642" s="67" t="str">
        <f t="shared" si="395"/>
        <v/>
      </c>
      <c r="AV642" s="61">
        <v>0</v>
      </c>
      <c r="AW642" s="66" t="str">
        <f t="shared" si="378"/>
        <v/>
      </c>
      <c r="AX642" s="66">
        <f t="shared" si="379"/>
        <v>0</v>
      </c>
      <c r="AY642" s="67" t="str">
        <f t="shared" si="380"/>
        <v/>
      </c>
      <c r="AZ642" s="61">
        <v>-1</v>
      </c>
      <c r="BA642" s="66" t="str">
        <f t="shared" si="381"/>
        <v/>
      </c>
      <c r="BB642" s="66" t="str">
        <f t="shared" si="382"/>
        <v/>
      </c>
      <c r="BC642" s="67">
        <f t="shared" si="383"/>
        <v>-159.69999999999999</v>
      </c>
    </row>
    <row r="643" spans="30:55">
      <c r="AD643" s="68" t="str">
        <v>05</v>
      </c>
      <c r="AE643" s="61">
        <v>208.5</v>
      </c>
      <c r="AF643" s="61">
        <v>-1</v>
      </c>
      <c r="AG643" s="66" t="str">
        <f t="shared" si="384"/>
        <v/>
      </c>
      <c r="AH643" s="66" t="str">
        <f t="shared" si="385"/>
        <v/>
      </c>
      <c r="AI643" s="67">
        <f t="shared" si="386"/>
        <v>-208.5</v>
      </c>
      <c r="AJ643" s="61">
        <v>-1</v>
      </c>
      <c r="AK643" s="66" t="str">
        <f t="shared" si="387"/>
        <v/>
      </c>
      <c r="AL643" s="66" t="str">
        <f t="shared" si="388"/>
        <v/>
      </c>
      <c r="AM643" s="67">
        <f t="shared" si="389"/>
        <v>-208.5</v>
      </c>
      <c r="AN643" s="61">
        <v>-1</v>
      </c>
      <c r="AO643" s="66" t="str">
        <f t="shared" si="390"/>
        <v/>
      </c>
      <c r="AP643" s="66" t="str">
        <f t="shared" si="391"/>
        <v/>
      </c>
      <c r="AQ643" s="67">
        <f t="shared" si="392"/>
        <v>-208.5</v>
      </c>
      <c r="AR643" s="61">
        <v>1</v>
      </c>
      <c r="AS643" s="66">
        <f t="shared" si="393"/>
        <v>208.5</v>
      </c>
      <c r="AT643" s="66" t="str">
        <f t="shared" si="394"/>
        <v/>
      </c>
      <c r="AU643" s="67" t="str">
        <f t="shared" si="395"/>
        <v/>
      </c>
      <c r="AV643" s="61">
        <v>1</v>
      </c>
      <c r="AW643" s="66">
        <f t="shared" si="378"/>
        <v>208.5</v>
      </c>
      <c r="AX643" s="66" t="str">
        <f t="shared" si="379"/>
        <v/>
      </c>
      <c r="AY643" s="67" t="str">
        <f t="shared" si="380"/>
        <v/>
      </c>
      <c r="AZ643" s="61">
        <v>-1</v>
      </c>
      <c r="BA643" s="66" t="str">
        <f t="shared" si="381"/>
        <v/>
      </c>
      <c r="BB643" s="66" t="str">
        <f t="shared" si="382"/>
        <v/>
      </c>
      <c r="BC643" s="67">
        <f t="shared" si="383"/>
        <v>-208.5</v>
      </c>
    </row>
    <row r="644" spans="30:55">
      <c r="AD644" s="68" t="str">
        <v>06</v>
      </c>
      <c r="AE644" s="61">
        <v>246.60000000000002</v>
      </c>
      <c r="AF644" s="61">
        <v>1</v>
      </c>
      <c r="AG644" s="66">
        <f t="shared" si="384"/>
        <v>246.60000000000002</v>
      </c>
      <c r="AH644" s="66" t="str">
        <f t="shared" si="385"/>
        <v/>
      </c>
      <c r="AI644" s="67" t="str">
        <f t="shared" si="386"/>
        <v/>
      </c>
      <c r="AJ644" s="61">
        <v>-1</v>
      </c>
      <c r="AK644" s="66" t="str">
        <f t="shared" si="387"/>
        <v/>
      </c>
      <c r="AL644" s="66" t="str">
        <f t="shared" si="388"/>
        <v/>
      </c>
      <c r="AM644" s="67">
        <f t="shared" si="389"/>
        <v>-246.60000000000002</v>
      </c>
      <c r="AN644" s="61">
        <v>-1</v>
      </c>
      <c r="AO644" s="66" t="str">
        <f t="shared" si="390"/>
        <v/>
      </c>
      <c r="AP644" s="66" t="str">
        <f t="shared" si="391"/>
        <v/>
      </c>
      <c r="AQ644" s="67">
        <f t="shared" si="392"/>
        <v>-246.60000000000002</v>
      </c>
      <c r="AR644" s="61">
        <v>-1</v>
      </c>
      <c r="AS644" s="66" t="str">
        <f t="shared" si="393"/>
        <v/>
      </c>
      <c r="AT644" s="66" t="str">
        <f t="shared" si="394"/>
        <v/>
      </c>
      <c r="AU644" s="67">
        <f t="shared" si="395"/>
        <v>-246.60000000000002</v>
      </c>
      <c r="AV644" s="61">
        <v>1</v>
      </c>
      <c r="AW644" s="66">
        <f t="shared" si="378"/>
        <v>246.60000000000002</v>
      </c>
      <c r="AX644" s="66" t="str">
        <f t="shared" si="379"/>
        <v/>
      </c>
      <c r="AY644" s="67" t="str">
        <f t="shared" si="380"/>
        <v/>
      </c>
      <c r="AZ644" s="61">
        <v>1</v>
      </c>
      <c r="BA644" s="66">
        <f t="shared" si="381"/>
        <v>246.60000000000002</v>
      </c>
      <c r="BB644" s="66" t="str">
        <f t="shared" si="382"/>
        <v/>
      </c>
      <c r="BC644" s="67" t="str">
        <f t="shared" si="383"/>
        <v/>
      </c>
    </row>
    <row r="645" spans="30:55">
      <c r="AD645" s="68" t="str">
        <v>07</v>
      </c>
      <c r="AE645" s="61">
        <v>268.5</v>
      </c>
      <c r="AF645" s="61">
        <v>1</v>
      </c>
      <c r="AG645" s="66">
        <f t="shared" si="384"/>
        <v>268.5</v>
      </c>
      <c r="AH645" s="66" t="str">
        <f t="shared" si="385"/>
        <v/>
      </c>
      <c r="AI645" s="67" t="str">
        <f t="shared" si="386"/>
        <v/>
      </c>
      <c r="AJ645" s="61">
        <v>-1</v>
      </c>
      <c r="AK645" s="66" t="str">
        <f t="shared" si="387"/>
        <v/>
      </c>
      <c r="AL645" s="66" t="str">
        <f t="shared" si="388"/>
        <v/>
      </c>
      <c r="AM645" s="67">
        <f t="shared" si="389"/>
        <v>-268.5</v>
      </c>
      <c r="AN645" s="61">
        <v>-1</v>
      </c>
      <c r="AO645" s="66" t="str">
        <f t="shared" si="390"/>
        <v/>
      </c>
      <c r="AP645" s="66" t="str">
        <f t="shared" si="391"/>
        <v/>
      </c>
      <c r="AQ645" s="67">
        <f t="shared" si="392"/>
        <v>-268.5</v>
      </c>
      <c r="AR645" s="61">
        <v>-1</v>
      </c>
      <c r="AS645" s="66" t="str">
        <f t="shared" si="393"/>
        <v/>
      </c>
      <c r="AT645" s="66" t="str">
        <f t="shared" si="394"/>
        <v/>
      </c>
      <c r="AU645" s="67">
        <f t="shared" si="395"/>
        <v>-268.5</v>
      </c>
      <c r="AV645" s="61">
        <v>0</v>
      </c>
      <c r="AW645" s="66" t="str">
        <f t="shared" si="378"/>
        <v/>
      </c>
      <c r="AX645" s="66">
        <f t="shared" si="379"/>
        <v>0</v>
      </c>
      <c r="AY645" s="67" t="str">
        <f t="shared" si="380"/>
        <v/>
      </c>
      <c r="AZ645" s="61">
        <v>1</v>
      </c>
      <c r="BA645" s="66">
        <f t="shared" si="381"/>
        <v>268.5</v>
      </c>
      <c r="BB645" s="66" t="str">
        <f t="shared" si="382"/>
        <v/>
      </c>
      <c r="BC645" s="67" t="str">
        <f t="shared" si="383"/>
        <v/>
      </c>
    </row>
    <row r="646" spans="30:55">
      <c r="AD646" s="68" t="str">
        <v>08</v>
      </c>
      <c r="AE646" s="61">
        <v>270.40000000000003</v>
      </c>
      <c r="AF646" s="61">
        <v>1</v>
      </c>
      <c r="AG646" s="66">
        <f t="shared" si="384"/>
        <v>270.40000000000003</v>
      </c>
      <c r="AH646" s="66" t="str">
        <f t="shared" si="385"/>
        <v/>
      </c>
      <c r="AI646" s="67" t="str">
        <f t="shared" si="386"/>
        <v/>
      </c>
      <c r="AJ646" s="61">
        <v>-1</v>
      </c>
      <c r="AK646" s="66" t="str">
        <f t="shared" si="387"/>
        <v/>
      </c>
      <c r="AL646" s="66" t="str">
        <f t="shared" si="388"/>
        <v/>
      </c>
      <c r="AM646" s="67">
        <f t="shared" si="389"/>
        <v>-270.40000000000003</v>
      </c>
      <c r="AN646" s="61">
        <v>-1</v>
      </c>
      <c r="AO646" s="66" t="str">
        <f t="shared" si="390"/>
        <v/>
      </c>
      <c r="AP646" s="66" t="str">
        <f t="shared" si="391"/>
        <v/>
      </c>
      <c r="AQ646" s="67">
        <f t="shared" si="392"/>
        <v>-270.40000000000003</v>
      </c>
      <c r="AR646" s="61">
        <v>-1</v>
      </c>
      <c r="AS646" s="66" t="str">
        <f t="shared" si="393"/>
        <v/>
      </c>
      <c r="AT646" s="66" t="str">
        <f t="shared" si="394"/>
        <v/>
      </c>
      <c r="AU646" s="67">
        <f t="shared" si="395"/>
        <v>-270.40000000000003</v>
      </c>
      <c r="AV646" s="61">
        <v>-1</v>
      </c>
      <c r="AW646" s="66" t="str">
        <f t="shared" si="378"/>
        <v/>
      </c>
      <c r="AX646" s="66" t="str">
        <f t="shared" si="379"/>
        <v/>
      </c>
      <c r="AY646" s="67">
        <f t="shared" si="380"/>
        <v>-270.40000000000003</v>
      </c>
      <c r="AZ646" s="61">
        <v>1</v>
      </c>
      <c r="BA646" s="66">
        <f t="shared" si="381"/>
        <v>270.40000000000003</v>
      </c>
      <c r="BB646" s="66" t="str">
        <f t="shared" si="382"/>
        <v/>
      </c>
      <c r="BC646" s="67" t="str">
        <f t="shared" si="383"/>
        <v/>
      </c>
    </row>
    <row r="647" spans="30:55">
      <c r="AD647" s="68" t="str">
        <v>09</v>
      </c>
      <c r="AE647" s="61">
        <v>264.8</v>
      </c>
      <c r="AF647" s="61">
        <v>1</v>
      </c>
      <c r="AG647" s="66">
        <f t="shared" si="384"/>
        <v>264.8</v>
      </c>
      <c r="AH647" s="66" t="str">
        <f t="shared" si="385"/>
        <v/>
      </c>
      <c r="AI647" s="67" t="str">
        <f t="shared" si="386"/>
        <v/>
      </c>
      <c r="AJ647" s="61">
        <v>-1</v>
      </c>
      <c r="AK647" s="66" t="str">
        <f t="shared" si="387"/>
        <v/>
      </c>
      <c r="AL647" s="66" t="str">
        <f t="shared" si="388"/>
        <v/>
      </c>
      <c r="AM647" s="67">
        <f t="shared" si="389"/>
        <v>-264.8</v>
      </c>
      <c r="AN647" s="61">
        <v>1</v>
      </c>
      <c r="AO647" s="66">
        <f t="shared" si="390"/>
        <v>264.8</v>
      </c>
      <c r="AP647" s="66" t="str">
        <f t="shared" si="391"/>
        <v/>
      </c>
      <c r="AQ647" s="67" t="str">
        <f t="shared" si="392"/>
        <v/>
      </c>
      <c r="AR647" s="61">
        <v>-1</v>
      </c>
      <c r="AS647" s="66" t="str">
        <f t="shared" si="393"/>
        <v/>
      </c>
      <c r="AT647" s="66" t="str">
        <f t="shared" si="394"/>
        <v/>
      </c>
      <c r="AU647" s="67">
        <f t="shared" si="395"/>
        <v>-264.8</v>
      </c>
      <c r="AV647" s="61">
        <v>-1</v>
      </c>
      <c r="AW647" s="66" t="str">
        <f t="shared" si="378"/>
        <v/>
      </c>
      <c r="AX647" s="66" t="str">
        <f t="shared" si="379"/>
        <v/>
      </c>
      <c r="AY647" s="67">
        <f t="shared" si="380"/>
        <v>-264.8</v>
      </c>
      <c r="AZ647" s="61">
        <v>-1</v>
      </c>
      <c r="BA647" s="66" t="str">
        <f t="shared" si="381"/>
        <v/>
      </c>
      <c r="BB647" s="66" t="str">
        <f t="shared" si="382"/>
        <v/>
      </c>
      <c r="BC647" s="67">
        <f t="shared" si="383"/>
        <v>-264.8</v>
      </c>
    </row>
    <row r="648" spans="30:55">
      <c r="AD648" s="68" t="str">
        <v>10</v>
      </c>
      <c r="AE648" s="61">
        <v>242.70000000000002</v>
      </c>
      <c r="AF648" s="61">
        <v>1</v>
      </c>
      <c r="AG648" s="66">
        <f t="shared" si="384"/>
        <v>242.70000000000002</v>
      </c>
      <c r="AH648" s="66" t="str">
        <f t="shared" si="385"/>
        <v/>
      </c>
      <c r="AI648" s="67" t="str">
        <f t="shared" si="386"/>
        <v/>
      </c>
      <c r="AJ648" s="61">
        <v>-1</v>
      </c>
      <c r="AK648" s="66" t="str">
        <f t="shared" si="387"/>
        <v/>
      </c>
      <c r="AL648" s="66" t="str">
        <f t="shared" si="388"/>
        <v/>
      </c>
      <c r="AM648" s="67">
        <f t="shared" si="389"/>
        <v>-242.70000000000002</v>
      </c>
      <c r="AN648" s="61">
        <v>1</v>
      </c>
      <c r="AO648" s="66">
        <f t="shared" si="390"/>
        <v>242.70000000000002</v>
      </c>
      <c r="AP648" s="66" t="str">
        <f t="shared" si="391"/>
        <v/>
      </c>
      <c r="AQ648" s="67" t="str">
        <f t="shared" si="392"/>
        <v/>
      </c>
      <c r="AR648" s="61">
        <v>-1</v>
      </c>
      <c r="AS648" s="66" t="str">
        <f t="shared" si="393"/>
        <v/>
      </c>
      <c r="AT648" s="66" t="str">
        <f t="shared" si="394"/>
        <v/>
      </c>
      <c r="AU648" s="67">
        <f t="shared" si="395"/>
        <v>-242.70000000000002</v>
      </c>
      <c r="AV648" s="61">
        <v>0</v>
      </c>
      <c r="AW648" s="66" t="str">
        <f t="shared" si="378"/>
        <v/>
      </c>
      <c r="AX648" s="66">
        <f t="shared" si="379"/>
        <v>0</v>
      </c>
      <c r="AY648" s="67" t="str">
        <f t="shared" si="380"/>
        <v/>
      </c>
      <c r="AZ648" s="61">
        <v>-1</v>
      </c>
      <c r="BA648" s="66" t="str">
        <f t="shared" si="381"/>
        <v/>
      </c>
      <c r="BB648" s="66" t="str">
        <f t="shared" si="382"/>
        <v/>
      </c>
      <c r="BC648" s="67">
        <f t="shared" si="383"/>
        <v>-242.70000000000002</v>
      </c>
    </row>
    <row r="649" spans="30:55">
      <c r="AD649" s="68" t="str">
        <v>11</v>
      </c>
      <c r="AE649" s="61">
        <v>208.1</v>
      </c>
      <c r="AF649" s="61">
        <v>1</v>
      </c>
      <c r="AG649" s="66">
        <f t="shared" si="384"/>
        <v>208.1</v>
      </c>
      <c r="AH649" s="66" t="str">
        <f t="shared" si="385"/>
        <v/>
      </c>
      <c r="AI649" s="67" t="str">
        <f t="shared" si="386"/>
        <v/>
      </c>
      <c r="AJ649" s="61">
        <v>-1</v>
      </c>
      <c r="AK649" s="66" t="str">
        <f t="shared" si="387"/>
        <v/>
      </c>
      <c r="AL649" s="66" t="str">
        <f t="shared" si="388"/>
        <v/>
      </c>
      <c r="AM649" s="67">
        <f t="shared" si="389"/>
        <v>-208.1</v>
      </c>
      <c r="AN649" s="61">
        <v>1</v>
      </c>
      <c r="AO649" s="66">
        <f t="shared" si="390"/>
        <v>208.1</v>
      </c>
      <c r="AP649" s="66" t="str">
        <f t="shared" si="391"/>
        <v/>
      </c>
      <c r="AQ649" s="67" t="str">
        <f t="shared" si="392"/>
        <v/>
      </c>
      <c r="AR649" s="61">
        <v>-1</v>
      </c>
      <c r="AS649" s="66" t="str">
        <f t="shared" si="393"/>
        <v/>
      </c>
      <c r="AT649" s="66" t="str">
        <f t="shared" si="394"/>
        <v/>
      </c>
      <c r="AU649" s="67">
        <f t="shared" si="395"/>
        <v>-208.1</v>
      </c>
      <c r="AV649" s="61">
        <v>1</v>
      </c>
      <c r="AW649" s="66">
        <f t="shared" si="378"/>
        <v>208.1</v>
      </c>
      <c r="AX649" s="66" t="str">
        <f t="shared" si="379"/>
        <v/>
      </c>
      <c r="AY649" s="67" t="str">
        <f t="shared" si="380"/>
        <v/>
      </c>
      <c r="AZ649" s="61">
        <v>-1</v>
      </c>
      <c r="BA649" s="66" t="str">
        <f t="shared" si="381"/>
        <v/>
      </c>
      <c r="BB649" s="66" t="str">
        <f t="shared" si="382"/>
        <v/>
      </c>
      <c r="BC649" s="67">
        <f t="shared" si="383"/>
        <v>-208.1</v>
      </c>
    </row>
    <row r="650" spans="30:55">
      <c r="AD650" s="68" t="str">
        <v>12</v>
      </c>
      <c r="AE650" s="61">
        <v>178.9</v>
      </c>
      <c r="AF650" s="61">
        <v>1</v>
      </c>
      <c r="AG650" s="66">
        <f t="shared" si="384"/>
        <v>178.9</v>
      </c>
      <c r="AH650" s="66" t="str">
        <f t="shared" si="385"/>
        <v/>
      </c>
      <c r="AI650" s="67" t="str">
        <f t="shared" si="386"/>
        <v/>
      </c>
      <c r="AJ650" s="61">
        <v>1</v>
      </c>
      <c r="AK650" s="66">
        <f t="shared" si="387"/>
        <v>178.9</v>
      </c>
      <c r="AL650" s="66" t="str">
        <f t="shared" si="388"/>
        <v/>
      </c>
      <c r="AM650" s="67" t="str">
        <f t="shared" si="389"/>
        <v/>
      </c>
      <c r="AN650" s="61">
        <v>1</v>
      </c>
      <c r="AO650" s="66">
        <f t="shared" si="390"/>
        <v>178.9</v>
      </c>
      <c r="AP650" s="66" t="str">
        <f t="shared" si="391"/>
        <v/>
      </c>
      <c r="AQ650" s="67" t="str">
        <f t="shared" si="392"/>
        <v/>
      </c>
      <c r="AR650" s="61">
        <v>1</v>
      </c>
      <c r="AS650" s="66">
        <f t="shared" si="393"/>
        <v>178.9</v>
      </c>
      <c r="AT650" s="66" t="str">
        <f t="shared" si="394"/>
        <v/>
      </c>
      <c r="AU650" s="67" t="str">
        <f t="shared" si="395"/>
        <v/>
      </c>
      <c r="AV650" s="61">
        <v>1</v>
      </c>
      <c r="AW650" s="66">
        <f t="shared" si="378"/>
        <v>178.9</v>
      </c>
      <c r="AX650" s="66" t="str">
        <f t="shared" si="379"/>
        <v/>
      </c>
      <c r="AY650" s="67" t="str">
        <f t="shared" si="380"/>
        <v/>
      </c>
      <c r="AZ650" s="61">
        <v>1</v>
      </c>
      <c r="BA650" s="66">
        <f t="shared" si="381"/>
        <v>178.9</v>
      </c>
      <c r="BB650" s="66" t="str">
        <f t="shared" si="382"/>
        <v/>
      </c>
      <c r="BC650" s="67" t="str">
        <f t="shared" si="383"/>
        <v/>
      </c>
    </row>
    <row r="651" spans="30:55">
      <c r="AD651" s="68" t="str">
        <v>13</v>
      </c>
      <c r="AE651" s="61">
        <v>162.79999999999998</v>
      </c>
      <c r="AF651" s="61">
        <v>1</v>
      </c>
      <c r="AG651" s="66">
        <f t="shared" si="384"/>
        <v>162.79999999999998</v>
      </c>
      <c r="AH651" s="66" t="str">
        <f t="shared" si="385"/>
        <v/>
      </c>
      <c r="AI651" s="67" t="str">
        <f t="shared" si="386"/>
        <v/>
      </c>
      <c r="AJ651" s="61">
        <v>1</v>
      </c>
      <c r="AK651" s="66">
        <f t="shared" si="387"/>
        <v>162.79999999999998</v>
      </c>
      <c r="AL651" s="66" t="str">
        <f t="shared" si="388"/>
        <v/>
      </c>
      <c r="AM651" s="67" t="str">
        <f t="shared" si="389"/>
        <v/>
      </c>
      <c r="AN651" s="61">
        <v>1</v>
      </c>
      <c r="AO651" s="66">
        <f t="shared" si="390"/>
        <v>162.79999999999998</v>
      </c>
      <c r="AP651" s="66" t="str">
        <f t="shared" si="391"/>
        <v/>
      </c>
      <c r="AQ651" s="67" t="str">
        <f t="shared" si="392"/>
        <v/>
      </c>
      <c r="AR651" s="61">
        <v>1</v>
      </c>
      <c r="AS651" s="66">
        <f t="shared" si="393"/>
        <v>162.79999999999998</v>
      </c>
      <c r="AT651" s="66" t="str">
        <f t="shared" si="394"/>
        <v/>
      </c>
      <c r="AU651" s="67" t="str">
        <f t="shared" si="395"/>
        <v/>
      </c>
      <c r="AV651" s="61">
        <v>0</v>
      </c>
      <c r="AW651" s="66" t="str">
        <f t="shared" si="378"/>
        <v/>
      </c>
      <c r="AX651" s="66">
        <f t="shared" si="379"/>
        <v>0</v>
      </c>
      <c r="AY651" s="67" t="str">
        <f t="shared" si="380"/>
        <v/>
      </c>
      <c r="AZ651" s="61">
        <v>1</v>
      </c>
      <c r="BA651" s="66">
        <f t="shared" si="381"/>
        <v>162.79999999999998</v>
      </c>
      <c r="BB651" s="66" t="str">
        <f t="shared" si="382"/>
        <v/>
      </c>
      <c r="BC651" s="67" t="str">
        <f t="shared" si="383"/>
        <v/>
      </c>
    </row>
    <row r="652" spans="30:55">
      <c r="AD652" s="68" t="str">
        <v>14</v>
      </c>
      <c r="AE652" s="61">
        <v>146.69999999999999</v>
      </c>
      <c r="AF652" s="61">
        <v>1</v>
      </c>
      <c r="AG652" s="66">
        <f t="shared" si="384"/>
        <v>146.69999999999999</v>
      </c>
      <c r="AH652" s="66" t="str">
        <f t="shared" si="385"/>
        <v/>
      </c>
      <c r="AI652" s="67" t="str">
        <f t="shared" si="386"/>
        <v/>
      </c>
      <c r="AJ652" s="61">
        <v>1</v>
      </c>
      <c r="AK652" s="66">
        <f t="shared" si="387"/>
        <v>146.69999999999999</v>
      </c>
      <c r="AL652" s="66" t="str">
        <f t="shared" si="388"/>
        <v/>
      </c>
      <c r="AM652" s="67" t="str">
        <f t="shared" si="389"/>
        <v/>
      </c>
      <c r="AN652" s="61">
        <v>1</v>
      </c>
      <c r="AO652" s="66">
        <f t="shared" si="390"/>
        <v>146.69999999999999</v>
      </c>
      <c r="AP652" s="66" t="str">
        <f t="shared" si="391"/>
        <v/>
      </c>
      <c r="AQ652" s="67" t="str">
        <f t="shared" si="392"/>
        <v/>
      </c>
      <c r="AR652" s="61">
        <v>1</v>
      </c>
      <c r="AS652" s="66">
        <f t="shared" si="393"/>
        <v>146.69999999999999</v>
      </c>
      <c r="AT652" s="66" t="str">
        <f t="shared" si="394"/>
        <v/>
      </c>
      <c r="AU652" s="67" t="str">
        <f t="shared" si="395"/>
        <v/>
      </c>
      <c r="AV652" s="61">
        <v>-1</v>
      </c>
      <c r="AW652" s="66" t="str">
        <f t="shared" si="378"/>
        <v/>
      </c>
      <c r="AX652" s="66" t="str">
        <f t="shared" si="379"/>
        <v/>
      </c>
      <c r="AY652" s="67">
        <f t="shared" si="380"/>
        <v>-146.69999999999999</v>
      </c>
      <c r="AZ652" s="61">
        <v>1</v>
      </c>
      <c r="BA652" s="66">
        <f t="shared" si="381"/>
        <v>146.69999999999999</v>
      </c>
      <c r="BB652" s="66" t="str">
        <f t="shared" si="382"/>
        <v/>
      </c>
      <c r="BC652" s="67" t="str">
        <f t="shared" si="383"/>
        <v/>
      </c>
    </row>
    <row r="653" spans="30:55">
      <c r="AD653" s="68" t="str">
        <v>15</v>
      </c>
      <c r="AE653" s="61">
        <v>144.5</v>
      </c>
      <c r="AF653" s="61">
        <v>1</v>
      </c>
      <c r="AG653" s="66">
        <f t="shared" si="384"/>
        <v>144.5</v>
      </c>
      <c r="AH653" s="66" t="str">
        <f t="shared" si="385"/>
        <v/>
      </c>
      <c r="AI653" s="67" t="str">
        <f t="shared" si="386"/>
        <v/>
      </c>
      <c r="AJ653" s="61">
        <v>1</v>
      </c>
      <c r="AK653" s="66">
        <f t="shared" si="387"/>
        <v>144.5</v>
      </c>
      <c r="AL653" s="66" t="str">
        <f t="shared" si="388"/>
        <v/>
      </c>
      <c r="AM653" s="67" t="str">
        <f t="shared" si="389"/>
        <v/>
      </c>
      <c r="AN653" s="61">
        <v>-1</v>
      </c>
      <c r="AO653" s="66" t="str">
        <f t="shared" si="390"/>
        <v/>
      </c>
      <c r="AP653" s="66" t="str">
        <f t="shared" si="391"/>
        <v/>
      </c>
      <c r="AQ653" s="67">
        <f t="shared" si="392"/>
        <v>-144.5</v>
      </c>
      <c r="AR653" s="61">
        <v>1</v>
      </c>
      <c r="AS653" s="66">
        <f t="shared" si="393"/>
        <v>144.5</v>
      </c>
      <c r="AT653" s="66" t="str">
        <f t="shared" si="394"/>
        <v/>
      </c>
      <c r="AU653" s="67" t="str">
        <f t="shared" si="395"/>
        <v/>
      </c>
      <c r="AV653" s="61">
        <v>-1</v>
      </c>
      <c r="AW653" s="66" t="str">
        <f t="shared" si="378"/>
        <v/>
      </c>
      <c r="AX653" s="66" t="str">
        <f t="shared" si="379"/>
        <v/>
      </c>
      <c r="AY653" s="67">
        <f t="shared" si="380"/>
        <v>-144.5</v>
      </c>
      <c r="AZ653" s="61">
        <v>-1</v>
      </c>
      <c r="BA653" s="66" t="str">
        <f t="shared" si="381"/>
        <v/>
      </c>
      <c r="BB653" s="66" t="str">
        <f t="shared" si="382"/>
        <v/>
      </c>
      <c r="BC653" s="67">
        <f t="shared" si="383"/>
        <v>-144.5</v>
      </c>
    </row>
    <row r="654" spans="30:55">
      <c r="AD654" s="68" t="str">
        <v>16</v>
      </c>
      <c r="AE654" s="61">
        <v>151.5</v>
      </c>
      <c r="AF654" s="61">
        <v>1</v>
      </c>
      <c r="AG654" s="66">
        <f t="shared" si="384"/>
        <v>151.5</v>
      </c>
      <c r="AH654" s="66" t="str">
        <f t="shared" si="385"/>
        <v/>
      </c>
      <c r="AI654" s="67" t="str">
        <f t="shared" si="386"/>
        <v/>
      </c>
      <c r="AJ654" s="61">
        <v>1</v>
      </c>
      <c r="AK654" s="66">
        <f t="shared" si="387"/>
        <v>151.5</v>
      </c>
      <c r="AL654" s="66" t="str">
        <f t="shared" si="388"/>
        <v/>
      </c>
      <c r="AM654" s="67" t="str">
        <f t="shared" si="389"/>
        <v/>
      </c>
      <c r="AN654" s="61">
        <v>-1</v>
      </c>
      <c r="AO654" s="66" t="str">
        <f t="shared" si="390"/>
        <v/>
      </c>
      <c r="AP654" s="66" t="str">
        <f t="shared" si="391"/>
        <v/>
      </c>
      <c r="AQ654" s="67">
        <f t="shared" si="392"/>
        <v>-151.5</v>
      </c>
      <c r="AR654" s="61">
        <v>1</v>
      </c>
      <c r="AS654" s="66">
        <f t="shared" si="393"/>
        <v>151.5</v>
      </c>
      <c r="AT654" s="66" t="str">
        <f t="shared" si="394"/>
        <v/>
      </c>
      <c r="AU654" s="67" t="str">
        <f t="shared" si="395"/>
        <v/>
      </c>
      <c r="AV654" s="61">
        <v>0</v>
      </c>
      <c r="AW654" s="66" t="str">
        <f t="shared" si="378"/>
        <v/>
      </c>
      <c r="AX654" s="66">
        <f t="shared" si="379"/>
        <v>0</v>
      </c>
      <c r="AY654" s="67" t="str">
        <f t="shared" si="380"/>
        <v/>
      </c>
      <c r="AZ654" s="61">
        <v>-1</v>
      </c>
      <c r="BA654" s="66" t="str">
        <f t="shared" si="381"/>
        <v/>
      </c>
      <c r="BB654" s="66" t="str">
        <f t="shared" si="382"/>
        <v/>
      </c>
      <c r="BC654" s="67">
        <f t="shared" si="383"/>
        <v>-151.5</v>
      </c>
    </row>
    <row r="655" spans="30:55">
      <c r="AD655" s="68" t="str">
        <v>17</v>
      </c>
      <c r="AE655" s="61">
        <v>162.20000000000002</v>
      </c>
      <c r="AF655" s="61">
        <v>1</v>
      </c>
      <c r="AG655" s="66">
        <f t="shared" si="384"/>
        <v>162.20000000000002</v>
      </c>
      <c r="AH655" s="66" t="str">
        <f t="shared" si="385"/>
        <v/>
      </c>
      <c r="AI655" s="67" t="str">
        <f t="shared" si="386"/>
        <v/>
      </c>
      <c r="AJ655" s="61">
        <v>1</v>
      </c>
      <c r="AK655" s="66">
        <f t="shared" si="387"/>
        <v>162.20000000000002</v>
      </c>
      <c r="AL655" s="66" t="str">
        <f t="shared" si="388"/>
        <v/>
      </c>
      <c r="AM655" s="67" t="str">
        <f t="shared" si="389"/>
        <v/>
      </c>
      <c r="AN655" s="61">
        <v>-1</v>
      </c>
      <c r="AO655" s="66" t="str">
        <f t="shared" si="390"/>
        <v/>
      </c>
      <c r="AP655" s="66" t="str">
        <f t="shared" si="391"/>
        <v/>
      </c>
      <c r="AQ655" s="67">
        <f t="shared" si="392"/>
        <v>-162.20000000000002</v>
      </c>
      <c r="AR655" s="61">
        <v>1</v>
      </c>
      <c r="AS655" s="66">
        <f t="shared" si="393"/>
        <v>162.20000000000002</v>
      </c>
      <c r="AT655" s="66" t="str">
        <f t="shared" si="394"/>
        <v/>
      </c>
      <c r="AU655" s="67" t="str">
        <f t="shared" si="395"/>
        <v/>
      </c>
      <c r="AV655" s="61">
        <v>1</v>
      </c>
      <c r="AW655" s="66">
        <f t="shared" si="378"/>
        <v>162.20000000000002</v>
      </c>
      <c r="AX655" s="66" t="str">
        <f t="shared" si="379"/>
        <v/>
      </c>
      <c r="AY655" s="67" t="str">
        <f t="shared" si="380"/>
        <v/>
      </c>
      <c r="AZ655" s="61">
        <v>-1</v>
      </c>
      <c r="BA655" s="66" t="str">
        <f t="shared" si="381"/>
        <v/>
      </c>
      <c r="BB655" s="66" t="str">
        <f t="shared" si="382"/>
        <v/>
      </c>
      <c r="BC655" s="67">
        <f t="shared" si="383"/>
        <v>-162.20000000000002</v>
      </c>
    </row>
    <row r="656" spans="30:55">
      <c r="AD656" s="68" t="str">
        <v>18</v>
      </c>
      <c r="AE656" s="61">
        <v>171.2</v>
      </c>
      <c r="AF656" s="61">
        <v>-1</v>
      </c>
      <c r="AG656" s="66" t="str">
        <f t="shared" si="384"/>
        <v/>
      </c>
      <c r="AH656" s="66" t="str">
        <f t="shared" si="385"/>
        <v/>
      </c>
      <c r="AI656" s="67">
        <f t="shared" si="386"/>
        <v>-171.2</v>
      </c>
      <c r="AJ656" s="61">
        <v>1</v>
      </c>
      <c r="AK656" s="66">
        <f t="shared" si="387"/>
        <v>171.2</v>
      </c>
      <c r="AL656" s="66" t="str">
        <f t="shared" si="388"/>
        <v/>
      </c>
      <c r="AM656" s="67" t="str">
        <f t="shared" si="389"/>
        <v/>
      </c>
      <c r="AN656" s="61">
        <v>-1</v>
      </c>
      <c r="AO656" s="66" t="str">
        <f t="shared" si="390"/>
        <v/>
      </c>
      <c r="AP656" s="66" t="str">
        <f t="shared" si="391"/>
        <v/>
      </c>
      <c r="AQ656" s="67">
        <f t="shared" si="392"/>
        <v>-171.2</v>
      </c>
      <c r="AR656" s="61">
        <v>-1</v>
      </c>
      <c r="AS656" s="66" t="str">
        <f t="shared" si="393"/>
        <v/>
      </c>
      <c r="AT656" s="66" t="str">
        <f t="shared" si="394"/>
        <v/>
      </c>
      <c r="AU656" s="67">
        <f t="shared" si="395"/>
        <v>-171.2</v>
      </c>
      <c r="AV656" s="61">
        <v>1</v>
      </c>
      <c r="AW656" s="66">
        <f t="shared" si="378"/>
        <v>171.2</v>
      </c>
      <c r="AX656" s="66" t="str">
        <f t="shared" si="379"/>
        <v/>
      </c>
      <c r="AY656" s="67" t="str">
        <f t="shared" si="380"/>
        <v/>
      </c>
      <c r="AZ656" s="61">
        <v>1</v>
      </c>
      <c r="BA656" s="66">
        <f t="shared" si="381"/>
        <v>171.2</v>
      </c>
      <c r="BB656" s="66" t="str">
        <f t="shared" si="382"/>
        <v/>
      </c>
      <c r="BC656" s="67" t="str">
        <f t="shared" si="383"/>
        <v/>
      </c>
    </row>
    <row r="657" spans="29:55">
      <c r="AD657" s="68" t="str">
        <v>19</v>
      </c>
      <c r="AE657" s="61">
        <v>173.4</v>
      </c>
      <c r="AF657" s="61">
        <v>-1</v>
      </c>
      <c r="AG657" s="66" t="str">
        <f t="shared" si="384"/>
        <v/>
      </c>
      <c r="AH657" s="66" t="str">
        <f t="shared" si="385"/>
        <v/>
      </c>
      <c r="AI657" s="67">
        <f t="shared" si="386"/>
        <v>-173.4</v>
      </c>
      <c r="AJ657" s="61">
        <v>1</v>
      </c>
      <c r="AK657" s="66">
        <f t="shared" si="387"/>
        <v>173.4</v>
      </c>
      <c r="AL657" s="66" t="str">
        <f t="shared" si="388"/>
        <v/>
      </c>
      <c r="AM657" s="67" t="str">
        <f t="shared" si="389"/>
        <v/>
      </c>
      <c r="AN657" s="61">
        <v>-1</v>
      </c>
      <c r="AO657" s="66" t="str">
        <f t="shared" si="390"/>
        <v/>
      </c>
      <c r="AP657" s="66" t="str">
        <f t="shared" si="391"/>
        <v/>
      </c>
      <c r="AQ657" s="67">
        <f t="shared" si="392"/>
        <v>-173.4</v>
      </c>
      <c r="AR657" s="61">
        <v>-1</v>
      </c>
      <c r="AS657" s="66" t="str">
        <f t="shared" si="393"/>
        <v/>
      </c>
      <c r="AT657" s="66" t="str">
        <f t="shared" si="394"/>
        <v/>
      </c>
      <c r="AU657" s="67">
        <f t="shared" si="395"/>
        <v>-173.4</v>
      </c>
      <c r="AV657" s="61">
        <v>0</v>
      </c>
      <c r="AW657" s="66" t="str">
        <f t="shared" si="378"/>
        <v/>
      </c>
      <c r="AX657" s="66">
        <f t="shared" si="379"/>
        <v>0</v>
      </c>
      <c r="AY657" s="67" t="str">
        <f t="shared" si="380"/>
        <v/>
      </c>
      <c r="AZ657" s="61">
        <v>1</v>
      </c>
      <c r="BA657" s="66">
        <f t="shared" si="381"/>
        <v>173.4</v>
      </c>
      <c r="BB657" s="66" t="str">
        <f t="shared" si="382"/>
        <v/>
      </c>
      <c r="BC657" s="67" t="str">
        <f t="shared" si="383"/>
        <v/>
      </c>
    </row>
    <row r="658" spans="29:55">
      <c r="AD658" s="68" t="str">
        <v>20</v>
      </c>
      <c r="AE658" s="61">
        <v>165.79999999999998</v>
      </c>
      <c r="AF658" s="61">
        <v>-1</v>
      </c>
      <c r="AG658" s="66" t="str">
        <f t="shared" si="384"/>
        <v/>
      </c>
      <c r="AH658" s="66" t="str">
        <f t="shared" si="385"/>
        <v/>
      </c>
      <c r="AI658" s="67">
        <f t="shared" si="386"/>
        <v>-165.79999999999998</v>
      </c>
      <c r="AJ658" s="61">
        <v>1</v>
      </c>
      <c r="AK658" s="66">
        <f t="shared" si="387"/>
        <v>165.79999999999998</v>
      </c>
      <c r="AL658" s="66" t="str">
        <f t="shared" si="388"/>
        <v/>
      </c>
      <c r="AM658" s="67" t="str">
        <f t="shared" si="389"/>
        <v/>
      </c>
      <c r="AN658" s="61">
        <v>-1</v>
      </c>
      <c r="AO658" s="66" t="str">
        <f t="shared" si="390"/>
        <v/>
      </c>
      <c r="AP658" s="66" t="str">
        <f t="shared" si="391"/>
        <v/>
      </c>
      <c r="AQ658" s="67">
        <f t="shared" si="392"/>
        <v>-165.79999999999998</v>
      </c>
      <c r="AR658" s="61">
        <v>-1</v>
      </c>
      <c r="AS658" s="66" t="str">
        <f t="shared" si="393"/>
        <v/>
      </c>
      <c r="AT658" s="66" t="str">
        <f t="shared" si="394"/>
        <v/>
      </c>
      <c r="AU658" s="67">
        <f t="shared" si="395"/>
        <v>-165.79999999999998</v>
      </c>
      <c r="AV658" s="61">
        <v>-1</v>
      </c>
      <c r="AW658" s="66" t="str">
        <f t="shared" si="378"/>
        <v/>
      </c>
      <c r="AX658" s="66" t="str">
        <f t="shared" si="379"/>
        <v/>
      </c>
      <c r="AY658" s="67">
        <f t="shared" si="380"/>
        <v>-165.79999999999998</v>
      </c>
      <c r="AZ658" s="61">
        <v>1</v>
      </c>
      <c r="BA658" s="66">
        <f t="shared" si="381"/>
        <v>165.79999999999998</v>
      </c>
      <c r="BB658" s="66" t="str">
        <f t="shared" si="382"/>
        <v/>
      </c>
      <c r="BC658" s="67" t="str">
        <f t="shared" si="383"/>
        <v/>
      </c>
    </row>
    <row r="659" spans="29:55">
      <c r="AD659" s="68" t="str">
        <v>21</v>
      </c>
      <c r="AE659" s="61">
        <v>150</v>
      </c>
      <c r="AF659" s="61">
        <v>-1</v>
      </c>
      <c r="AG659" s="66" t="str">
        <f t="shared" si="384"/>
        <v/>
      </c>
      <c r="AH659" s="66" t="str">
        <f t="shared" si="385"/>
        <v/>
      </c>
      <c r="AI659" s="67">
        <f t="shared" si="386"/>
        <v>-150</v>
      </c>
      <c r="AJ659" s="61">
        <v>1</v>
      </c>
      <c r="AK659" s="66">
        <f t="shared" si="387"/>
        <v>150</v>
      </c>
      <c r="AL659" s="66" t="str">
        <f t="shared" si="388"/>
        <v/>
      </c>
      <c r="AM659" s="67" t="str">
        <f t="shared" si="389"/>
        <v/>
      </c>
      <c r="AN659" s="61">
        <v>1</v>
      </c>
      <c r="AO659" s="66">
        <f t="shared" si="390"/>
        <v>150</v>
      </c>
      <c r="AP659" s="66" t="str">
        <f t="shared" si="391"/>
        <v/>
      </c>
      <c r="AQ659" s="67" t="str">
        <f t="shared" si="392"/>
        <v/>
      </c>
      <c r="AR659" s="61">
        <v>-1</v>
      </c>
      <c r="AS659" s="66" t="str">
        <f t="shared" si="393"/>
        <v/>
      </c>
      <c r="AT659" s="66" t="str">
        <f t="shared" si="394"/>
        <v/>
      </c>
      <c r="AU659" s="67">
        <f t="shared" si="395"/>
        <v>-150</v>
      </c>
      <c r="AV659" s="61">
        <v>-1</v>
      </c>
      <c r="AW659" s="66" t="str">
        <f t="shared" si="378"/>
        <v/>
      </c>
      <c r="AX659" s="66" t="str">
        <f t="shared" si="379"/>
        <v/>
      </c>
      <c r="AY659" s="67">
        <f t="shared" si="380"/>
        <v>-150</v>
      </c>
      <c r="AZ659" s="61">
        <v>-1</v>
      </c>
      <c r="BA659" s="66" t="str">
        <f t="shared" si="381"/>
        <v/>
      </c>
      <c r="BB659" s="66" t="str">
        <f t="shared" si="382"/>
        <v/>
      </c>
      <c r="BC659" s="67">
        <f t="shared" si="383"/>
        <v>-150</v>
      </c>
    </row>
    <row r="660" spans="29:55">
      <c r="AD660" s="68" t="str">
        <v>22</v>
      </c>
      <c r="AE660" s="61">
        <v>129.1</v>
      </c>
      <c r="AF660" s="61">
        <v>-1</v>
      </c>
      <c r="AG660" s="66" t="str">
        <f t="shared" si="384"/>
        <v/>
      </c>
      <c r="AH660" s="66" t="str">
        <f t="shared" si="385"/>
        <v/>
      </c>
      <c r="AI660" s="67">
        <f t="shared" si="386"/>
        <v>-129.1</v>
      </c>
      <c r="AJ660" s="61">
        <v>1</v>
      </c>
      <c r="AK660" s="66">
        <f t="shared" si="387"/>
        <v>129.1</v>
      </c>
      <c r="AL660" s="66" t="str">
        <f t="shared" si="388"/>
        <v/>
      </c>
      <c r="AM660" s="67" t="str">
        <f t="shared" si="389"/>
        <v/>
      </c>
      <c r="AN660" s="61">
        <v>1</v>
      </c>
      <c r="AO660" s="66">
        <f t="shared" si="390"/>
        <v>129.1</v>
      </c>
      <c r="AP660" s="66" t="str">
        <f t="shared" si="391"/>
        <v/>
      </c>
      <c r="AQ660" s="67" t="str">
        <f t="shared" si="392"/>
        <v/>
      </c>
      <c r="AR660" s="61">
        <v>-1</v>
      </c>
      <c r="AS660" s="66" t="str">
        <f t="shared" si="393"/>
        <v/>
      </c>
      <c r="AT660" s="66" t="str">
        <f t="shared" si="394"/>
        <v/>
      </c>
      <c r="AU660" s="67">
        <f t="shared" si="395"/>
        <v>-129.1</v>
      </c>
      <c r="AV660" s="61">
        <v>0</v>
      </c>
      <c r="AW660" s="66" t="str">
        <f t="shared" si="378"/>
        <v/>
      </c>
      <c r="AX660" s="66">
        <f t="shared" si="379"/>
        <v>0</v>
      </c>
      <c r="AY660" s="67" t="str">
        <f t="shared" si="380"/>
        <v/>
      </c>
      <c r="AZ660" s="61">
        <v>-1</v>
      </c>
      <c r="BA660" s="66" t="str">
        <f t="shared" si="381"/>
        <v/>
      </c>
      <c r="BB660" s="66" t="str">
        <f t="shared" si="382"/>
        <v/>
      </c>
      <c r="BC660" s="67">
        <f t="shared" si="383"/>
        <v>-129.1</v>
      </c>
    </row>
    <row r="661" spans="29:55">
      <c r="AD661" s="68" t="str">
        <v>23</v>
      </c>
      <c r="AE661" s="61">
        <v>105.80000000000001</v>
      </c>
      <c r="AF661" s="61">
        <v>-1</v>
      </c>
      <c r="AG661" s="66" t="str">
        <f t="shared" si="384"/>
        <v/>
      </c>
      <c r="AH661" s="66" t="str">
        <f t="shared" si="385"/>
        <v/>
      </c>
      <c r="AI661" s="67">
        <f t="shared" si="386"/>
        <v>-105.80000000000001</v>
      </c>
      <c r="AJ661" s="61">
        <v>1</v>
      </c>
      <c r="AK661" s="66">
        <f t="shared" si="387"/>
        <v>105.80000000000001</v>
      </c>
      <c r="AL661" s="66" t="str">
        <f t="shared" si="388"/>
        <v/>
      </c>
      <c r="AM661" s="67" t="str">
        <f t="shared" si="389"/>
        <v/>
      </c>
      <c r="AN661" s="61">
        <v>1</v>
      </c>
      <c r="AO661" s="66">
        <f t="shared" si="390"/>
        <v>105.80000000000001</v>
      </c>
      <c r="AP661" s="66" t="str">
        <f t="shared" si="391"/>
        <v/>
      </c>
      <c r="AQ661" s="67" t="str">
        <f t="shared" si="392"/>
        <v/>
      </c>
      <c r="AR661" s="61">
        <v>-1</v>
      </c>
      <c r="AS661" s="66" t="str">
        <f t="shared" si="393"/>
        <v/>
      </c>
      <c r="AT661" s="66" t="str">
        <f t="shared" si="394"/>
        <v/>
      </c>
      <c r="AU661" s="67">
        <f t="shared" si="395"/>
        <v>-105.80000000000001</v>
      </c>
      <c r="AV661" s="61">
        <v>1</v>
      </c>
      <c r="AW661" s="66">
        <f t="shared" si="378"/>
        <v>105.80000000000001</v>
      </c>
      <c r="AX661" s="66" t="str">
        <f t="shared" si="379"/>
        <v/>
      </c>
      <c r="AY661" s="67" t="str">
        <f t="shared" si="380"/>
        <v/>
      </c>
      <c r="AZ661" s="61">
        <v>-1</v>
      </c>
      <c r="BA661" s="66" t="str">
        <f t="shared" si="381"/>
        <v/>
      </c>
      <c r="BB661" s="66" t="str">
        <f t="shared" si="382"/>
        <v/>
      </c>
      <c r="BC661" s="67">
        <f t="shared" si="383"/>
        <v>-105.80000000000001</v>
      </c>
    </row>
    <row r="662" spans="29:55" ht="15.75" thickBot="1">
      <c r="AC662" s="476">
        <f>AD634</f>
        <v>44730</v>
      </c>
      <c r="AD662" s="69" t="s">
        <v>85</v>
      </c>
      <c r="AE662" s="70">
        <f>SUM(AE638:AE661)</f>
        <v>4030.3</v>
      </c>
      <c r="AF662" s="70"/>
      <c r="AG662" s="71">
        <f>ABS(SUM(AG638:AG661))</f>
        <v>2447.6999999999998</v>
      </c>
      <c r="AH662" s="70"/>
      <c r="AI662" s="72">
        <f>ABS(SUM(AI638:AI661))</f>
        <v>1582.6</v>
      </c>
      <c r="AJ662" s="70"/>
      <c r="AK662" s="71">
        <f>ABS(SUM(AK638:AK661))</f>
        <v>1841.8999999999999</v>
      </c>
      <c r="AL662" s="70"/>
      <c r="AM662" s="72">
        <f>ABS(SUM(AM638:AM661))</f>
        <v>2188.4</v>
      </c>
      <c r="AN662" s="70"/>
      <c r="AO662" s="71">
        <f>ABS(SUM(AO638:AO661))</f>
        <v>1797</v>
      </c>
      <c r="AP662" s="70"/>
      <c r="AQ662" s="72">
        <f>ABS(SUM(AQ638:AQ661))</f>
        <v>2233.3000000000002</v>
      </c>
      <c r="AR662" s="70"/>
      <c r="AS662" s="71">
        <f>ABS(SUM(AS638:AS661))</f>
        <v>1633.9</v>
      </c>
      <c r="AT662" s="70"/>
      <c r="AU662" s="72">
        <f>ABS(SUM(AU638:AU661))</f>
        <v>2396.4</v>
      </c>
      <c r="AV662" s="70"/>
      <c r="AW662" s="71">
        <f>ABS(SUM(AW638:AW661))</f>
        <v>1350.1000000000001</v>
      </c>
      <c r="AX662" s="70"/>
      <c r="AY662" s="72">
        <f>ABS(SUM(AY638:AY661))</f>
        <v>1331</v>
      </c>
      <c r="AZ662" s="70"/>
      <c r="BA662" s="71">
        <f>ABS(SUM(BA638:BA661))</f>
        <v>1992.4000000000003</v>
      </c>
      <c r="BB662" s="70"/>
      <c r="BC662" s="72">
        <f>ABS(SUM(BC638:BC661))</f>
        <v>2037.8999999999999</v>
      </c>
    </row>
    <row r="664" spans="29:55" ht="15" thickBot="1">
      <c r="AD664" s="476">
        <f>skemA1!B27</f>
        <v>44731</v>
      </c>
    </row>
    <row r="665" spans="29:55" ht="15" thickBot="1">
      <c r="AD665" s="677" t="s">
        <v>75</v>
      </c>
      <c r="AE665" s="60" t="s">
        <v>558</v>
      </c>
      <c r="AF665" s="672" t="s">
        <v>559</v>
      </c>
      <c r="AG665" s="672"/>
      <c r="AH665" s="672"/>
      <c r="AI665" s="673"/>
      <c r="AJ665" s="672" t="s">
        <v>562</v>
      </c>
      <c r="AK665" s="672"/>
      <c r="AL665" s="672"/>
      <c r="AM665" s="673"/>
      <c r="AN665" s="672" t="s">
        <v>563</v>
      </c>
      <c r="AO665" s="672"/>
      <c r="AP665" s="672"/>
      <c r="AQ665" s="673"/>
      <c r="AR665" s="672" t="s">
        <v>564</v>
      </c>
      <c r="AS665" s="672"/>
      <c r="AT665" s="672"/>
      <c r="AU665" s="673"/>
      <c r="AV665" s="672" t="s">
        <v>565</v>
      </c>
      <c r="AW665" s="672"/>
      <c r="AX665" s="672"/>
      <c r="AY665" s="673"/>
      <c r="AZ665" s="672" t="s">
        <v>566</v>
      </c>
      <c r="BA665" s="672"/>
      <c r="BB665" s="672"/>
      <c r="BC665" s="673"/>
    </row>
    <row r="666" spans="29:55" ht="15" thickBot="1">
      <c r="AD666" s="677"/>
      <c r="AE666" s="61"/>
      <c r="AF666" s="674" t="s">
        <v>561</v>
      </c>
      <c r="AG666" s="670" t="s">
        <v>560</v>
      </c>
      <c r="AH666" s="670"/>
      <c r="AI666" s="671"/>
      <c r="AJ666" s="674" t="s">
        <v>561</v>
      </c>
      <c r="AK666" s="670" t="s">
        <v>560</v>
      </c>
      <c r="AL666" s="670"/>
      <c r="AM666" s="671"/>
      <c r="AN666" s="674" t="s">
        <v>561</v>
      </c>
      <c r="AO666" s="670" t="s">
        <v>560</v>
      </c>
      <c r="AP666" s="670"/>
      <c r="AQ666" s="671"/>
      <c r="AR666" s="674" t="s">
        <v>561</v>
      </c>
      <c r="AS666" s="670" t="s">
        <v>560</v>
      </c>
      <c r="AT666" s="670"/>
      <c r="AU666" s="671"/>
      <c r="AV666" s="674" t="s">
        <v>561</v>
      </c>
      <c r="AW666" s="670" t="s">
        <v>560</v>
      </c>
      <c r="AX666" s="670"/>
      <c r="AY666" s="671"/>
      <c r="AZ666" s="674" t="s">
        <v>561</v>
      </c>
      <c r="BA666" s="670" t="s">
        <v>560</v>
      </c>
      <c r="BB666" s="670"/>
      <c r="BC666" s="671"/>
    </row>
    <row r="667" spans="29:55">
      <c r="AD667" s="677"/>
      <c r="AE667" s="62"/>
      <c r="AF667" s="674"/>
      <c r="AG667" s="63" t="s">
        <v>76</v>
      </c>
      <c r="AH667" s="63">
        <v>0</v>
      </c>
      <c r="AI667" s="64" t="s">
        <v>77</v>
      </c>
      <c r="AJ667" s="674"/>
      <c r="AK667" s="63" t="s">
        <v>76</v>
      </c>
      <c r="AL667" s="63">
        <v>0</v>
      </c>
      <c r="AM667" s="64" t="s">
        <v>77</v>
      </c>
      <c r="AN667" s="674"/>
      <c r="AO667" s="63" t="s">
        <v>76</v>
      </c>
      <c r="AP667" s="63">
        <v>0</v>
      </c>
      <c r="AQ667" s="64" t="s">
        <v>77</v>
      </c>
      <c r="AR667" s="674"/>
      <c r="AS667" s="63" t="s">
        <v>76</v>
      </c>
      <c r="AT667" s="63">
        <v>0</v>
      </c>
      <c r="AU667" s="64" t="s">
        <v>77</v>
      </c>
      <c r="AV667" s="674"/>
      <c r="AW667" s="63" t="s">
        <v>76</v>
      </c>
      <c r="AX667" s="63">
        <v>0</v>
      </c>
      <c r="AY667" s="64" t="s">
        <v>77</v>
      </c>
      <c r="AZ667" s="674"/>
      <c r="BA667" s="63" t="s">
        <v>76</v>
      </c>
      <c r="BB667" s="63">
        <v>0</v>
      </c>
      <c r="BC667" s="64" t="s">
        <v>77</v>
      </c>
    </row>
    <row r="668" spans="29:55">
      <c r="AD668" s="65" t="str">
        <f t="array" ref="AD668:AD691">TRANSPOSE($C$5:$Z$5)</f>
        <v>00</v>
      </c>
      <c r="AE668" s="66">
        <f t="array" ref="AE668:AE691">TRANSPOSE(skemA1!$C$27:$Z$27)</f>
        <v>83.399999999999991</v>
      </c>
      <c r="AF668" s="66">
        <f t="array" ref="AF668:AF691">TRANSPOSE($C$6:$Z$6)</f>
        <v>-1</v>
      </c>
      <c r="AG668" s="66" t="str">
        <f>IF(AF668&gt;0,AF668*$AE668,"")</f>
        <v/>
      </c>
      <c r="AH668" s="66" t="str">
        <f>IF(AF668=0,AF668*$AE668,"")</f>
        <v/>
      </c>
      <c r="AI668" s="67">
        <f>IF(AF668&lt;0,AF668*$AE668,"")</f>
        <v>-83.399999999999991</v>
      </c>
      <c r="AJ668" s="66">
        <f t="array" ref="AJ668:AJ691">TRANSPOSE($C$7:$Z$7)</f>
        <v>-1</v>
      </c>
      <c r="AK668" s="66" t="str">
        <f>IF(AJ668&gt;0,AJ668*$AE668,"")</f>
        <v/>
      </c>
      <c r="AL668" s="66" t="str">
        <f>IF(AJ668=0,AJ668*$AE668,"")</f>
        <v/>
      </c>
      <c r="AM668" s="67">
        <f>IF(AJ668&lt;0,AJ668*$AE668,"")</f>
        <v>-83.399999999999991</v>
      </c>
      <c r="AN668" s="66">
        <f t="array" ref="AN668:AN691">TRANSPOSE($C$8:$Z$8)</f>
        <v>1</v>
      </c>
      <c r="AO668" s="66">
        <f>IF(AN668&gt;0,AN668*$AE668,"")</f>
        <v>83.399999999999991</v>
      </c>
      <c r="AP668" s="66" t="str">
        <f>IF(AN668=0,AN668*$AE668,"")</f>
        <v/>
      </c>
      <c r="AQ668" s="67" t="str">
        <f>IF(AN668&lt;0,AN668*$AE668,"")</f>
        <v/>
      </c>
      <c r="AR668" s="66">
        <f t="array" ref="AR668:AR691">TRANSPOSE($C$9:$Z$9)</f>
        <v>1</v>
      </c>
      <c r="AS668" s="66">
        <f>IF(AR668&gt;0,AR668*$AE668,"")</f>
        <v>83.399999999999991</v>
      </c>
      <c r="AT668" s="66" t="str">
        <f>IF(AR668=0,AR668*$AE668,"")</f>
        <v/>
      </c>
      <c r="AU668" s="67" t="str">
        <f>IF(AR668&lt;0,AR668*$AE668,"")</f>
        <v/>
      </c>
      <c r="AV668" s="66">
        <f t="array" ref="AV668:AV691">TRANSPOSE($C$10:$Z$10)</f>
        <v>1</v>
      </c>
      <c r="AW668" s="66">
        <f t="shared" ref="AW668:AW691" si="396">IF(AV668&gt;0,AV668*$AE668,"")</f>
        <v>83.399999999999991</v>
      </c>
      <c r="AX668" s="66" t="str">
        <f t="shared" ref="AX668:AX691" si="397">IF(AV668=0,AV668*$AE668,"")</f>
        <v/>
      </c>
      <c r="AY668" s="67" t="str">
        <f t="shared" ref="AY668:AY691" si="398">IF(AV668&lt;0,AV668*$AE668,"")</f>
        <v/>
      </c>
      <c r="AZ668" s="66">
        <f t="array" ref="AZ668:AZ691">TRANSPOSE($C$11:$Z$11)</f>
        <v>1</v>
      </c>
      <c r="BA668" s="66">
        <f t="shared" ref="BA668:BA691" si="399">IF(AZ668&gt;0,AZ668*$AE668,"")</f>
        <v>83.399999999999991</v>
      </c>
      <c r="BB668" s="66" t="str">
        <f t="shared" ref="BB668:BB691" si="400">IF(AZ668=0,AZ668*$AE668,"")</f>
        <v/>
      </c>
      <c r="BC668" s="67" t="str">
        <f t="shared" ref="BC668:BC691" si="401">IF(AZ668&lt;0,AZ668*$AE668,"")</f>
        <v/>
      </c>
    </row>
    <row r="669" spans="29:55">
      <c r="AD669" s="68" t="str">
        <v>01</v>
      </c>
      <c r="AE669" s="61">
        <v>71.2</v>
      </c>
      <c r="AF669" s="61">
        <v>-1</v>
      </c>
      <c r="AG669" s="66" t="str">
        <f t="shared" ref="AG669:AG691" si="402">IF(AF669&gt;0,AF669*$AE669,"")</f>
        <v/>
      </c>
      <c r="AH669" s="66" t="str">
        <f t="shared" ref="AH669:AH691" si="403">IF(AF669=0,AF669*$AE669,"")</f>
        <v/>
      </c>
      <c r="AI669" s="67">
        <f t="shared" ref="AI669:AI691" si="404">IF(AF669&lt;0,AF669*$AE669,"")</f>
        <v>-71.2</v>
      </c>
      <c r="AJ669" s="61">
        <v>-1</v>
      </c>
      <c r="AK669" s="66" t="str">
        <f t="shared" ref="AK669:AK691" si="405">IF(AJ669&gt;0,AJ669*$AE669,"")</f>
        <v/>
      </c>
      <c r="AL669" s="66" t="str">
        <f t="shared" ref="AL669:AL691" si="406">IF(AJ669=0,AJ669*$AE669,"")</f>
        <v/>
      </c>
      <c r="AM669" s="67">
        <f t="shared" ref="AM669:AM691" si="407">IF(AJ669&lt;0,AJ669*$AE669,"")</f>
        <v>-71.2</v>
      </c>
      <c r="AN669" s="61">
        <v>1</v>
      </c>
      <c r="AO669" s="66">
        <f t="shared" ref="AO669:AO691" si="408">IF(AN669&gt;0,AN669*$AE669,"")</f>
        <v>71.2</v>
      </c>
      <c r="AP669" s="66" t="str">
        <f t="shared" ref="AP669:AP691" si="409">IF(AN669=0,AN669*$AE669,"")</f>
        <v/>
      </c>
      <c r="AQ669" s="67" t="str">
        <f t="shared" ref="AQ669:AQ691" si="410">IF(AN669&lt;0,AN669*$AE669,"")</f>
        <v/>
      </c>
      <c r="AR669" s="61">
        <v>1</v>
      </c>
      <c r="AS669" s="66">
        <f t="shared" ref="AS669:AS691" si="411">IF(AR669&gt;0,AR669*$AE669,"")</f>
        <v>71.2</v>
      </c>
      <c r="AT669" s="66" t="str">
        <f t="shared" ref="AT669:AT691" si="412">IF(AR669=0,AR669*$AE669,"")</f>
        <v/>
      </c>
      <c r="AU669" s="67" t="str">
        <f t="shared" ref="AU669:AU691" si="413">IF(AR669&lt;0,AR669*$AE669,"")</f>
        <v/>
      </c>
      <c r="AV669" s="61">
        <v>0</v>
      </c>
      <c r="AW669" s="66" t="str">
        <f t="shared" si="396"/>
        <v/>
      </c>
      <c r="AX669" s="66">
        <f t="shared" si="397"/>
        <v>0</v>
      </c>
      <c r="AY669" s="67" t="str">
        <f t="shared" si="398"/>
        <v/>
      </c>
      <c r="AZ669" s="61">
        <v>1</v>
      </c>
      <c r="BA669" s="66">
        <f t="shared" si="399"/>
        <v>71.2</v>
      </c>
      <c r="BB669" s="66" t="str">
        <f t="shared" si="400"/>
        <v/>
      </c>
      <c r="BC669" s="67" t="str">
        <f t="shared" si="401"/>
        <v/>
      </c>
    </row>
    <row r="670" spans="29:55">
      <c r="AD670" s="68" t="str">
        <v>02</v>
      </c>
      <c r="AE670" s="61">
        <v>72.8</v>
      </c>
      <c r="AF670" s="61">
        <v>-1</v>
      </c>
      <c r="AG670" s="66" t="str">
        <f t="shared" si="402"/>
        <v/>
      </c>
      <c r="AH670" s="66" t="str">
        <f t="shared" si="403"/>
        <v/>
      </c>
      <c r="AI670" s="67">
        <f t="shared" si="404"/>
        <v>-72.8</v>
      </c>
      <c r="AJ670" s="61">
        <v>-1</v>
      </c>
      <c r="AK670" s="66" t="str">
        <f t="shared" si="405"/>
        <v/>
      </c>
      <c r="AL670" s="66" t="str">
        <f t="shared" si="406"/>
        <v/>
      </c>
      <c r="AM670" s="67">
        <f t="shared" si="407"/>
        <v>-72.8</v>
      </c>
      <c r="AN670" s="61">
        <v>1</v>
      </c>
      <c r="AO670" s="66">
        <f t="shared" si="408"/>
        <v>72.8</v>
      </c>
      <c r="AP670" s="66" t="str">
        <f t="shared" si="409"/>
        <v/>
      </c>
      <c r="AQ670" s="67" t="str">
        <f t="shared" si="410"/>
        <v/>
      </c>
      <c r="AR670" s="61">
        <v>1</v>
      </c>
      <c r="AS670" s="66">
        <f t="shared" si="411"/>
        <v>72.8</v>
      </c>
      <c r="AT670" s="66" t="str">
        <f t="shared" si="412"/>
        <v/>
      </c>
      <c r="AU670" s="67" t="str">
        <f t="shared" si="413"/>
        <v/>
      </c>
      <c r="AV670" s="61">
        <v>-1</v>
      </c>
      <c r="AW670" s="66" t="str">
        <f t="shared" si="396"/>
        <v/>
      </c>
      <c r="AX670" s="66" t="str">
        <f t="shared" si="397"/>
        <v/>
      </c>
      <c r="AY670" s="67">
        <f t="shared" si="398"/>
        <v>-72.8</v>
      </c>
      <c r="AZ670" s="61">
        <v>1</v>
      </c>
      <c r="BA670" s="66">
        <f t="shared" si="399"/>
        <v>72.8</v>
      </c>
      <c r="BB670" s="66" t="str">
        <f t="shared" si="400"/>
        <v/>
      </c>
      <c r="BC670" s="67" t="str">
        <f t="shared" si="401"/>
        <v/>
      </c>
    </row>
    <row r="671" spans="29:55">
      <c r="AD671" s="68" t="str">
        <v>03</v>
      </c>
      <c r="AE671" s="61">
        <v>91</v>
      </c>
      <c r="AF671" s="61">
        <v>-1</v>
      </c>
      <c r="AG671" s="66" t="str">
        <f t="shared" si="402"/>
        <v/>
      </c>
      <c r="AH671" s="66" t="str">
        <f t="shared" si="403"/>
        <v/>
      </c>
      <c r="AI671" s="67">
        <f t="shared" si="404"/>
        <v>-91</v>
      </c>
      <c r="AJ671" s="61">
        <v>-1</v>
      </c>
      <c r="AK671" s="66" t="str">
        <f t="shared" si="405"/>
        <v/>
      </c>
      <c r="AL671" s="66" t="str">
        <f t="shared" si="406"/>
        <v/>
      </c>
      <c r="AM671" s="67">
        <f t="shared" si="407"/>
        <v>-91</v>
      </c>
      <c r="AN671" s="61">
        <v>-1</v>
      </c>
      <c r="AO671" s="66" t="str">
        <f t="shared" si="408"/>
        <v/>
      </c>
      <c r="AP671" s="66" t="str">
        <f t="shared" si="409"/>
        <v/>
      </c>
      <c r="AQ671" s="67">
        <f t="shared" si="410"/>
        <v>-91</v>
      </c>
      <c r="AR671" s="61">
        <v>1</v>
      </c>
      <c r="AS671" s="66">
        <f t="shared" si="411"/>
        <v>91</v>
      </c>
      <c r="AT671" s="66" t="str">
        <f t="shared" si="412"/>
        <v/>
      </c>
      <c r="AU671" s="67" t="str">
        <f t="shared" si="413"/>
        <v/>
      </c>
      <c r="AV671" s="61">
        <v>-1</v>
      </c>
      <c r="AW671" s="66" t="str">
        <f t="shared" si="396"/>
        <v/>
      </c>
      <c r="AX671" s="66" t="str">
        <f t="shared" si="397"/>
        <v/>
      </c>
      <c r="AY671" s="67">
        <f t="shared" si="398"/>
        <v>-91</v>
      </c>
      <c r="AZ671" s="61">
        <v>-1</v>
      </c>
      <c r="BA671" s="66" t="str">
        <f t="shared" si="399"/>
        <v/>
      </c>
      <c r="BB671" s="66" t="str">
        <f t="shared" si="400"/>
        <v/>
      </c>
      <c r="BC671" s="67">
        <f t="shared" si="401"/>
        <v>-91</v>
      </c>
    </row>
    <row r="672" spans="29:55">
      <c r="AD672" s="68" t="str">
        <v>04</v>
      </c>
      <c r="AE672" s="61">
        <v>126.8</v>
      </c>
      <c r="AF672" s="61">
        <v>-1</v>
      </c>
      <c r="AG672" s="66" t="str">
        <f t="shared" si="402"/>
        <v/>
      </c>
      <c r="AH672" s="66" t="str">
        <f t="shared" si="403"/>
        <v/>
      </c>
      <c r="AI672" s="67">
        <f t="shared" si="404"/>
        <v>-126.8</v>
      </c>
      <c r="AJ672" s="61">
        <v>-1</v>
      </c>
      <c r="AK672" s="66" t="str">
        <f t="shared" si="405"/>
        <v/>
      </c>
      <c r="AL672" s="66" t="str">
        <f t="shared" si="406"/>
        <v/>
      </c>
      <c r="AM672" s="67">
        <f t="shared" si="407"/>
        <v>-126.8</v>
      </c>
      <c r="AN672" s="61">
        <v>-1</v>
      </c>
      <c r="AO672" s="66" t="str">
        <f t="shared" si="408"/>
        <v/>
      </c>
      <c r="AP672" s="66" t="str">
        <f t="shared" si="409"/>
        <v/>
      </c>
      <c r="AQ672" s="67">
        <f t="shared" si="410"/>
        <v>-126.8</v>
      </c>
      <c r="AR672" s="61">
        <v>1</v>
      </c>
      <c r="AS672" s="66">
        <f t="shared" si="411"/>
        <v>126.8</v>
      </c>
      <c r="AT672" s="66" t="str">
        <f t="shared" si="412"/>
        <v/>
      </c>
      <c r="AU672" s="67" t="str">
        <f t="shared" si="413"/>
        <v/>
      </c>
      <c r="AV672" s="61">
        <v>0</v>
      </c>
      <c r="AW672" s="66" t="str">
        <f t="shared" si="396"/>
        <v/>
      </c>
      <c r="AX672" s="66">
        <f t="shared" si="397"/>
        <v>0</v>
      </c>
      <c r="AY672" s="67" t="str">
        <f t="shared" si="398"/>
        <v/>
      </c>
      <c r="AZ672" s="61">
        <v>-1</v>
      </c>
      <c r="BA672" s="66" t="str">
        <f t="shared" si="399"/>
        <v/>
      </c>
      <c r="BB672" s="66" t="str">
        <f t="shared" si="400"/>
        <v/>
      </c>
      <c r="BC672" s="67">
        <f t="shared" si="401"/>
        <v>-126.8</v>
      </c>
    </row>
    <row r="673" spans="30:55">
      <c r="AD673" s="68" t="str">
        <v>05</v>
      </c>
      <c r="AE673" s="61">
        <v>176.5</v>
      </c>
      <c r="AF673" s="61">
        <v>-1</v>
      </c>
      <c r="AG673" s="66" t="str">
        <f t="shared" si="402"/>
        <v/>
      </c>
      <c r="AH673" s="66" t="str">
        <f t="shared" si="403"/>
        <v/>
      </c>
      <c r="AI673" s="67">
        <f t="shared" si="404"/>
        <v>-176.5</v>
      </c>
      <c r="AJ673" s="61">
        <v>-1</v>
      </c>
      <c r="AK673" s="66" t="str">
        <f t="shared" si="405"/>
        <v/>
      </c>
      <c r="AL673" s="66" t="str">
        <f t="shared" si="406"/>
        <v/>
      </c>
      <c r="AM673" s="67">
        <f t="shared" si="407"/>
        <v>-176.5</v>
      </c>
      <c r="AN673" s="61">
        <v>-1</v>
      </c>
      <c r="AO673" s="66" t="str">
        <f t="shared" si="408"/>
        <v/>
      </c>
      <c r="AP673" s="66" t="str">
        <f t="shared" si="409"/>
        <v/>
      </c>
      <c r="AQ673" s="67">
        <f t="shared" si="410"/>
        <v>-176.5</v>
      </c>
      <c r="AR673" s="61">
        <v>1</v>
      </c>
      <c r="AS673" s="66">
        <f t="shared" si="411"/>
        <v>176.5</v>
      </c>
      <c r="AT673" s="66" t="str">
        <f t="shared" si="412"/>
        <v/>
      </c>
      <c r="AU673" s="67" t="str">
        <f t="shared" si="413"/>
        <v/>
      </c>
      <c r="AV673" s="61">
        <v>1</v>
      </c>
      <c r="AW673" s="66">
        <f t="shared" si="396"/>
        <v>176.5</v>
      </c>
      <c r="AX673" s="66" t="str">
        <f t="shared" si="397"/>
        <v/>
      </c>
      <c r="AY673" s="67" t="str">
        <f t="shared" si="398"/>
        <v/>
      </c>
      <c r="AZ673" s="61">
        <v>-1</v>
      </c>
      <c r="BA673" s="66" t="str">
        <f t="shared" si="399"/>
        <v/>
      </c>
      <c r="BB673" s="66" t="str">
        <f t="shared" si="400"/>
        <v/>
      </c>
      <c r="BC673" s="67">
        <f t="shared" si="401"/>
        <v>-176.5</v>
      </c>
    </row>
    <row r="674" spans="30:55">
      <c r="AD674" s="68" t="str">
        <v>06</v>
      </c>
      <c r="AE674" s="61">
        <v>219.70000000000002</v>
      </c>
      <c r="AF674" s="61">
        <v>1</v>
      </c>
      <c r="AG674" s="66">
        <f t="shared" si="402"/>
        <v>219.70000000000002</v>
      </c>
      <c r="AH674" s="66" t="str">
        <f t="shared" si="403"/>
        <v/>
      </c>
      <c r="AI674" s="67" t="str">
        <f t="shared" si="404"/>
        <v/>
      </c>
      <c r="AJ674" s="61">
        <v>-1</v>
      </c>
      <c r="AK674" s="66" t="str">
        <f t="shared" si="405"/>
        <v/>
      </c>
      <c r="AL674" s="66" t="str">
        <f t="shared" si="406"/>
        <v/>
      </c>
      <c r="AM674" s="67">
        <f t="shared" si="407"/>
        <v>-219.70000000000002</v>
      </c>
      <c r="AN674" s="61">
        <v>-1</v>
      </c>
      <c r="AO674" s="66" t="str">
        <f t="shared" si="408"/>
        <v/>
      </c>
      <c r="AP674" s="66" t="str">
        <f t="shared" si="409"/>
        <v/>
      </c>
      <c r="AQ674" s="67">
        <f t="shared" si="410"/>
        <v>-219.70000000000002</v>
      </c>
      <c r="AR674" s="61">
        <v>-1</v>
      </c>
      <c r="AS674" s="66" t="str">
        <f t="shared" si="411"/>
        <v/>
      </c>
      <c r="AT674" s="66" t="str">
        <f t="shared" si="412"/>
        <v/>
      </c>
      <c r="AU674" s="67">
        <f t="shared" si="413"/>
        <v>-219.70000000000002</v>
      </c>
      <c r="AV674" s="61">
        <v>1</v>
      </c>
      <c r="AW674" s="66">
        <f t="shared" si="396"/>
        <v>219.70000000000002</v>
      </c>
      <c r="AX674" s="66" t="str">
        <f t="shared" si="397"/>
        <v/>
      </c>
      <c r="AY674" s="67" t="str">
        <f t="shared" si="398"/>
        <v/>
      </c>
      <c r="AZ674" s="61">
        <v>1</v>
      </c>
      <c r="BA674" s="66">
        <f t="shared" si="399"/>
        <v>219.70000000000002</v>
      </c>
      <c r="BB674" s="66" t="str">
        <f t="shared" si="400"/>
        <v/>
      </c>
      <c r="BC674" s="67" t="str">
        <f t="shared" si="401"/>
        <v/>
      </c>
    </row>
    <row r="675" spans="30:55">
      <c r="AD675" s="68" t="str">
        <v>07</v>
      </c>
      <c r="AE675" s="61">
        <v>253.2</v>
      </c>
      <c r="AF675" s="61">
        <v>1</v>
      </c>
      <c r="AG675" s="66">
        <f t="shared" si="402"/>
        <v>253.2</v>
      </c>
      <c r="AH675" s="66" t="str">
        <f t="shared" si="403"/>
        <v/>
      </c>
      <c r="AI675" s="67" t="str">
        <f t="shared" si="404"/>
        <v/>
      </c>
      <c r="AJ675" s="61">
        <v>-1</v>
      </c>
      <c r="AK675" s="66" t="str">
        <f t="shared" si="405"/>
        <v/>
      </c>
      <c r="AL675" s="66" t="str">
        <f t="shared" si="406"/>
        <v/>
      </c>
      <c r="AM675" s="67">
        <f t="shared" si="407"/>
        <v>-253.2</v>
      </c>
      <c r="AN675" s="61">
        <v>-1</v>
      </c>
      <c r="AO675" s="66" t="str">
        <f t="shared" si="408"/>
        <v/>
      </c>
      <c r="AP675" s="66" t="str">
        <f t="shared" si="409"/>
        <v/>
      </c>
      <c r="AQ675" s="67">
        <f t="shared" si="410"/>
        <v>-253.2</v>
      </c>
      <c r="AR675" s="61">
        <v>-1</v>
      </c>
      <c r="AS675" s="66" t="str">
        <f t="shared" si="411"/>
        <v/>
      </c>
      <c r="AT675" s="66" t="str">
        <f t="shared" si="412"/>
        <v/>
      </c>
      <c r="AU675" s="67">
        <f t="shared" si="413"/>
        <v>-253.2</v>
      </c>
      <c r="AV675" s="61">
        <v>0</v>
      </c>
      <c r="AW675" s="66" t="str">
        <f t="shared" si="396"/>
        <v/>
      </c>
      <c r="AX675" s="66">
        <f t="shared" si="397"/>
        <v>0</v>
      </c>
      <c r="AY675" s="67" t="str">
        <f t="shared" si="398"/>
        <v/>
      </c>
      <c r="AZ675" s="61">
        <v>1</v>
      </c>
      <c r="BA675" s="66">
        <f t="shared" si="399"/>
        <v>253.2</v>
      </c>
      <c r="BB675" s="66" t="str">
        <f t="shared" si="400"/>
        <v/>
      </c>
      <c r="BC675" s="67" t="str">
        <f t="shared" si="401"/>
        <v/>
      </c>
    </row>
    <row r="676" spans="30:55">
      <c r="AD676" s="68" t="str">
        <v>08</v>
      </c>
      <c r="AE676" s="61">
        <v>264.2</v>
      </c>
      <c r="AF676" s="61">
        <v>1</v>
      </c>
      <c r="AG676" s="66">
        <f t="shared" si="402"/>
        <v>264.2</v>
      </c>
      <c r="AH676" s="66" t="str">
        <f t="shared" si="403"/>
        <v/>
      </c>
      <c r="AI676" s="67" t="str">
        <f t="shared" si="404"/>
        <v/>
      </c>
      <c r="AJ676" s="61">
        <v>-1</v>
      </c>
      <c r="AK676" s="66" t="str">
        <f t="shared" si="405"/>
        <v/>
      </c>
      <c r="AL676" s="66" t="str">
        <f t="shared" si="406"/>
        <v/>
      </c>
      <c r="AM676" s="67">
        <f t="shared" si="407"/>
        <v>-264.2</v>
      </c>
      <c r="AN676" s="61">
        <v>-1</v>
      </c>
      <c r="AO676" s="66" t="str">
        <f t="shared" si="408"/>
        <v/>
      </c>
      <c r="AP676" s="66" t="str">
        <f t="shared" si="409"/>
        <v/>
      </c>
      <c r="AQ676" s="67">
        <f t="shared" si="410"/>
        <v>-264.2</v>
      </c>
      <c r="AR676" s="61">
        <v>-1</v>
      </c>
      <c r="AS676" s="66" t="str">
        <f t="shared" si="411"/>
        <v/>
      </c>
      <c r="AT676" s="66" t="str">
        <f t="shared" si="412"/>
        <v/>
      </c>
      <c r="AU676" s="67">
        <f t="shared" si="413"/>
        <v>-264.2</v>
      </c>
      <c r="AV676" s="61">
        <v>-1</v>
      </c>
      <c r="AW676" s="66" t="str">
        <f t="shared" si="396"/>
        <v/>
      </c>
      <c r="AX676" s="66" t="str">
        <f t="shared" si="397"/>
        <v/>
      </c>
      <c r="AY676" s="67">
        <f t="shared" si="398"/>
        <v>-264.2</v>
      </c>
      <c r="AZ676" s="61">
        <v>1</v>
      </c>
      <c r="BA676" s="66">
        <f t="shared" si="399"/>
        <v>264.2</v>
      </c>
      <c r="BB676" s="66" t="str">
        <f t="shared" si="400"/>
        <v/>
      </c>
      <c r="BC676" s="67" t="str">
        <f t="shared" si="401"/>
        <v/>
      </c>
    </row>
    <row r="677" spans="30:55">
      <c r="AD677" s="68" t="str">
        <v>09</v>
      </c>
      <c r="AE677" s="61">
        <v>258</v>
      </c>
      <c r="AF677" s="61">
        <v>1</v>
      </c>
      <c r="AG677" s="66">
        <f t="shared" si="402"/>
        <v>258</v>
      </c>
      <c r="AH677" s="66" t="str">
        <f t="shared" si="403"/>
        <v/>
      </c>
      <c r="AI677" s="67" t="str">
        <f t="shared" si="404"/>
        <v/>
      </c>
      <c r="AJ677" s="61">
        <v>-1</v>
      </c>
      <c r="AK677" s="66" t="str">
        <f t="shared" si="405"/>
        <v/>
      </c>
      <c r="AL677" s="66" t="str">
        <f t="shared" si="406"/>
        <v/>
      </c>
      <c r="AM677" s="67">
        <f t="shared" si="407"/>
        <v>-258</v>
      </c>
      <c r="AN677" s="61">
        <v>1</v>
      </c>
      <c r="AO677" s="66">
        <f t="shared" si="408"/>
        <v>258</v>
      </c>
      <c r="AP677" s="66" t="str">
        <f t="shared" si="409"/>
        <v/>
      </c>
      <c r="AQ677" s="67" t="str">
        <f t="shared" si="410"/>
        <v/>
      </c>
      <c r="AR677" s="61">
        <v>-1</v>
      </c>
      <c r="AS677" s="66" t="str">
        <f t="shared" si="411"/>
        <v/>
      </c>
      <c r="AT677" s="66" t="str">
        <f t="shared" si="412"/>
        <v/>
      </c>
      <c r="AU677" s="67">
        <f t="shared" si="413"/>
        <v>-258</v>
      </c>
      <c r="AV677" s="61">
        <v>-1</v>
      </c>
      <c r="AW677" s="66" t="str">
        <f t="shared" si="396"/>
        <v/>
      </c>
      <c r="AX677" s="66" t="str">
        <f t="shared" si="397"/>
        <v/>
      </c>
      <c r="AY677" s="67">
        <f t="shared" si="398"/>
        <v>-258</v>
      </c>
      <c r="AZ677" s="61">
        <v>-1</v>
      </c>
      <c r="BA677" s="66" t="str">
        <f t="shared" si="399"/>
        <v/>
      </c>
      <c r="BB677" s="66" t="str">
        <f t="shared" si="400"/>
        <v/>
      </c>
      <c r="BC677" s="67">
        <f t="shared" si="401"/>
        <v>-258</v>
      </c>
    </row>
    <row r="678" spans="30:55">
      <c r="AD678" s="68" t="str">
        <v>10</v>
      </c>
      <c r="AE678" s="61">
        <v>244.3</v>
      </c>
      <c r="AF678" s="61">
        <v>1</v>
      </c>
      <c r="AG678" s="66">
        <f t="shared" si="402"/>
        <v>244.3</v>
      </c>
      <c r="AH678" s="66" t="str">
        <f t="shared" si="403"/>
        <v/>
      </c>
      <c r="AI678" s="67" t="str">
        <f t="shared" si="404"/>
        <v/>
      </c>
      <c r="AJ678" s="61">
        <v>-1</v>
      </c>
      <c r="AK678" s="66" t="str">
        <f t="shared" si="405"/>
        <v/>
      </c>
      <c r="AL678" s="66" t="str">
        <f t="shared" si="406"/>
        <v/>
      </c>
      <c r="AM678" s="67">
        <f t="shared" si="407"/>
        <v>-244.3</v>
      </c>
      <c r="AN678" s="61">
        <v>1</v>
      </c>
      <c r="AO678" s="66">
        <f t="shared" si="408"/>
        <v>244.3</v>
      </c>
      <c r="AP678" s="66" t="str">
        <f t="shared" si="409"/>
        <v/>
      </c>
      <c r="AQ678" s="67" t="str">
        <f t="shared" si="410"/>
        <v/>
      </c>
      <c r="AR678" s="61">
        <v>-1</v>
      </c>
      <c r="AS678" s="66" t="str">
        <f t="shared" si="411"/>
        <v/>
      </c>
      <c r="AT678" s="66" t="str">
        <f t="shared" si="412"/>
        <v/>
      </c>
      <c r="AU678" s="67">
        <f t="shared" si="413"/>
        <v>-244.3</v>
      </c>
      <c r="AV678" s="61">
        <v>0</v>
      </c>
      <c r="AW678" s="66" t="str">
        <f t="shared" si="396"/>
        <v/>
      </c>
      <c r="AX678" s="66">
        <f t="shared" si="397"/>
        <v>0</v>
      </c>
      <c r="AY678" s="67" t="str">
        <f t="shared" si="398"/>
        <v/>
      </c>
      <c r="AZ678" s="61">
        <v>-1</v>
      </c>
      <c r="BA678" s="66" t="str">
        <f t="shared" si="399"/>
        <v/>
      </c>
      <c r="BB678" s="66" t="str">
        <f t="shared" si="400"/>
        <v/>
      </c>
      <c r="BC678" s="67">
        <f t="shared" si="401"/>
        <v>-244.3</v>
      </c>
    </row>
    <row r="679" spans="30:55">
      <c r="AD679" s="68" t="str">
        <v>11</v>
      </c>
      <c r="AE679" s="61">
        <v>217.1</v>
      </c>
      <c r="AF679" s="61">
        <v>1</v>
      </c>
      <c r="AG679" s="66">
        <f t="shared" si="402"/>
        <v>217.1</v>
      </c>
      <c r="AH679" s="66" t="str">
        <f t="shared" si="403"/>
        <v/>
      </c>
      <c r="AI679" s="67" t="str">
        <f t="shared" si="404"/>
        <v/>
      </c>
      <c r="AJ679" s="61">
        <v>-1</v>
      </c>
      <c r="AK679" s="66" t="str">
        <f t="shared" si="405"/>
        <v/>
      </c>
      <c r="AL679" s="66" t="str">
        <f t="shared" si="406"/>
        <v/>
      </c>
      <c r="AM679" s="67">
        <f t="shared" si="407"/>
        <v>-217.1</v>
      </c>
      <c r="AN679" s="61">
        <v>1</v>
      </c>
      <c r="AO679" s="66">
        <f t="shared" si="408"/>
        <v>217.1</v>
      </c>
      <c r="AP679" s="66" t="str">
        <f t="shared" si="409"/>
        <v/>
      </c>
      <c r="AQ679" s="67" t="str">
        <f t="shared" si="410"/>
        <v/>
      </c>
      <c r="AR679" s="61">
        <v>-1</v>
      </c>
      <c r="AS679" s="66" t="str">
        <f t="shared" si="411"/>
        <v/>
      </c>
      <c r="AT679" s="66" t="str">
        <f t="shared" si="412"/>
        <v/>
      </c>
      <c r="AU679" s="67">
        <f t="shared" si="413"/>
        <v>-217.1</v>
      </c>
      <c r="AV679" s="61">
        <v>1</v>
      </c>
      <c r="AW679" s="66">
        <f t="shared" si="396"/>
        <v>217.1</v>
      </c>
      <c r="AX679" s="66" t="str">
        <f t="shared" si="397"/>
        <v/>
      </c>
      <c r="AY679" s="67" t="str">
        <f t="shared" si="398"/>
        <v/>
      </c>
      <c r="AZ679" s="61">
        <v>-1</v>
      </c>
      <c r="BA679" s="66" t="str">
        <f t="shared" si="399"/>
        <v/>
      </c>
      <c r="BB679" s="66" t="str">
        <f t="shared" si="400"/>
        <v/>
      </c>
      <c r="BC679" s="67">
        <f t="shared" si="401"/>
        <v>-217.1</v>
      </c>
    </row>
    <row r="680" spans="30:55">
      <c r="AD680" s="68" t="str">
        <v>12</v>
      </c>
      <c r="AE680" s="61">
        <v>189.7</v>
      </c>
      <c r="AF680" s="61">
        <v>1</v>
      </c>
      <c r="AG680" s="66">
        <f t="shared" si="402"/>
        <v>189.7</v>
      </c>
      <c r="AH680" s="66" t="str">
        <f t="shared" si="403"/>
        <v/>
      </c>
      <c r="AI680" s="67" t="str">
        <f t="shared" si="404"/>
        <v/>
      </c>
      <c r="AJ680" s="61">
        <v>1</v>
      </c>
      <c r="AK680" s="66">
        <f t="shared" si="405"/>
        <v>189.7</v>
      </c>
      <c r="AL680" s="66" t="str">
        <f t="shared" si="406"/>
        <v/>
      </c>
      <c r="AM680" s="67" t="str">
        <f t="shared" si="407"/>
        <v/>
      </c>
      <c r="AN680" s="61">
        <v>1</v>
      </c>
      <c r="AO680" s="66">
        <f t="shared" si="408"/>
        <v>189.7</v>
      </c>
      <c r="AP680" s="66" t="str">
        <f t="shared" si="409"/>
        <v/>
      </c>
      <c r="AQ680" s="67" t="str">
        <f t="shared" si="410"/>
        <v/>
      </c>
      <c r="AR680" s="61">
        <v>1</v>
      </c>
      <c r="AS680" s="66">
        <f t="shared" si="411"/>
        <v>189.7</v>
      </c>
      <c r="AT680" s="66" t="str">
        <f t="shared" si="412"/>
        <v/>
      </c>
      <c r="AU680" s="67" t="str">
        <f t="shared" si="413"/>
        <v/>
      </c>
      <c r="AV680" s="61">
        <v>1</v>
      </c>
      <c r="AW680" s="66">
        <f t="shared" si="396"/>
        <v>189.7</v>
      </c>
      <c r="AX680" s="66" t="str">
        <f t="shared" si="397"/>
        <v/>
      </c>
      <c r="AY680" s="67" t="str">
        <f t="shared" si="398"/>
        <v/>
      </c>
      <c r="AZ680" s="61">
        <v>1</v>
      </c>
      <c r="BA680" s="66">
        <f t="shared" si="399"/>
        <v>189.7</v>
      </c>
      <c r="BB680" s="66" t="str">
        <f t="shared" si="400"/>
        <v/>
      </c>
      <c r="BC680" s="67" t="str">
        <f t="shared" si="401"/>
        <v/>
      </c>
    </row>
    <row r="681" spans="30:55">
      <c r="AD681" s="68" t="str">
        <v>13</v>
      </c>
      <c r="AE681" s="61">
        <v>165.6</v>
      </c>
      <c r="AF681" s="61">
        <v>1</v>
      </c>
      <c r="AG681" s="66">
        <f t="shared" si="402"/>
        <v>165.6</v>
      </c>
      <c r="AH681" s="66" t="str">
        <f t="shared" si="403"/>
        <v/>
      </c>
      <c r="AI681" s="67" t="str">
        <f t="shared" si="404"/>
        <v/>
      </c>
      <c r="AJ681" s="61">
        <v>1</v>
      </c>
      <c r="AK681" s="66">
        <f t="shared" si="405"/>
        <v>165.6</v>
      </c>
      <c r="AL681" s="66" t="str">
        <f t="shared" si="406"/>
        <v/>
      </c>
      <c r="AM681" s="67" t="str">
        <f t="shared" si="407"/>
        <v/>
      </c>
      <c r="AN681" s="61">
        <v>1</v>
      </c>
      <c r="AO681" s="66">
        <f t="shared" si="408"/>
        <v>165.6</v>
      </c>
      <c r="AP681" s="66" t="str">
        <f t="shared" si="409"/>
        <v/>
      </c>
      <c r="AQ681" s="67" t="str">
        <f t="shared" si="410"/>
        <v/>
      </c>
      <c r="AR681" s="61">
        <v>1</v>
      </c>
      <c r="AS681" s="66">
        <f t="shared" si="411"/>
        <v>165.6</v>
      </c>
      <c r="AT681" s="66" t="str">
        <f t="shared" si="412"/>
        <v/>
      </c>
      <c r="AU681" s="67" t="str">
        <f t="shared" si="413"/>
        <v/>
      </c>
      <c r="AV681" s="61">
        <v>0</v>
      </c>
      <c r="AW681" s="66" t="str">
        <f t="shared" si="396"/>
        <v/>
      </c>
      <c r="AX681" s="66">
        <f t="shared" si="397"/>
        <v>0</v>
      </c>
      <c r="AY681" s="67" t="str">
        <f t="shared" si="398"/>
        <v/>
      </c>
      <c r="AZ681" s="61">
        <v>1</v>
      </c>
      <c r="BA681" s="66">
        <f t="shared" si="399"/>
        <v>165.6</v>
      </c>
      <c r="BB681" s="66" t="str">
        <f t="shared" si="400"/>
        <v/>
      </c>
      <c r="BC681" s="67" t="str">
        <f t="shared" si="401"/>
        <v/>
      </c>
    </row>
    <row r="682" spans="30:55">
      <c r="AD682" s="68" t="str">
        <v>14</v>
      </c>
      <c r="AE682" s="61">
        <v>147.9</v>
      </c>
      <c r="AF682" s="61">
        <v>1</v>
      </c>
      <c r="AG682" s="66">
        <f t="shared" si="402"/>
        <v>147.9</v>
      </c>
      <c r="AH682" s="66" t="str">
        <f t="shared" si="403"/>
        <v/>
      </c>
      <c r="AI682" s="67" t="str">
        <f t="shared" si="404"/>
        <v/>
      </c>
      <c r="AJ682" s="61">
        <v>1</v>
      </c>
      <c r="AK682" s="66">
        <f t="shared" si="405"/>
        <v>147.9</v>
      </c>
      <c r="AL682" s="66" t="str">
        <f t="shared" si="406"/>
        <v/>
      </c>
      <c r="AM682" s="67" t="str">
        <f t="shared" si="407"/>
        <v/>
      </c>
      <c r="AN682" s="61">
        <v>1</v>
      </c>
      <c r="AO682" s="66">
        <f t="shared" si="408"/>
        <v>147.9</v>
      </c>
      <c r="AP682" s="66" t="str">
        <f t="shared" si="409"/>
        <v/>
      </c>
      <c r="AQ682" s="67" t="str">
        <f t="shared" si="410"/>
        <v/>
      </c>
      <c r="AR682" s="61">
        <v>1</v>
      </c>
      <c r="AS682" s="66">
        <f t="shared" si="411"/>
        <v>147.9</v>
      </c>
      <c r="AT682" s="66" t="str">
        <f t="shared" si="412"/>
        <v/>
      </c>
      <c r="AU682" s="67" t="str">
        <f t="shared" si="413"/>
        <v/>
      </c>
      <c r="AV682" s="61">
        <v>-1</v>
      </c>
      <c r="AW682" s="66" t="str">
        <f t="shared" si="396"/>
        <v/>
      </c>
      <c r="AX682" s="66" t="str">
        <f t="shared" si="397"/>
        <v/>
      </c>
      <c r="AY682" s="67">
        <f t="shared" si="398"/>
        <v>-147.9</v>
      </c>
      <c r="AZ682" s="61">
        <v>1</v>
      </c>
      <c r="BA682" s="66">
        <f t="shared" si="399"/>
        <v>147.9</v>
      </c>
      <c r="BB682" s="66" t="str">
        <f t="shared" si="400"/>
        <v/>
      </c>
      <c r="BC682" s="67" t="str">
        <f t="shared" si="401"/>
        <v/>
      </c>
    </row>
    <row r="683" spans="30:55">
      <c r="AD683" s="68" t="str">
        <v>15</v>
      </c>
      <c r="AE683" s="61">
        <v>140.5</v>
      </c>
      <c r="AF683" s="61">
        <v>1</v>
      </c>
      <c r="AG683" s="66">
        <f t="shared" si="402"/>
        <v>140.5</v>
      </c>
      <c r="AH683" s="66" t="str">
        <f t="shared" si="403"/>
        <v/>
      </c>
      <c r="AI683" s="67" t="str">
        <f t="shared" si="404"/>
        <v/>
      </c>
      <c r="AJ683" s="61">
        <v>1</v>
      </c>
      <c r="AK683" s="66">
        <f t="shared" si="405"/>
        <v>140.5</v>
      </c>
      <c r="AL683" s="66" t="str">
        <f t="shared" si="406"/>
        <v/>
      </c>
      <c r="AM683" s="67" t="str">
        <f t="shared" si="407"/>
        <v/>
      </c>
      <c r="AN683" s="61">
        <v>-1</v>
      </c>
      <c r="AO683" s="66" t="str">
        <f t="shared" si="408"/>
        <v/>
      </c>
      <c r="AP683" s="66" t="str">
        <f t="shared" si="409"/>
        <v/>
      </c>
      <c r="AQ683" s="67">
        <f t="shared" si="410"/>
        <v>-140.5</v>
      </c>
      <c r="AR683" s="61">
        <v>1</v>
      </c>
      <c r="AS683" s="66">
        <f t="shared" si="411"/>
        <v>140.5</v>
      </c>
      <c r="AT683" s="66" t="str">
        <f t="shared" si="412"/>
        <v/>
      </c>
      <c r="AU683" s="67" t="str">
        <f t="shared" si="413"/>
        <v/>
      </c>
      <c r="AV683" s="61">
        <v>-1</v>
      </c>
      <c r="AW683" s="66" t="str">
        <f t="shared" si="396"/>
        <v/>
      </c>
      <c r="AX683" s="66" t="str">
        <f t="shared" si="397"/>
        <v/>
      </c>
      <c r="AY683" s="67">
        <f t="shared" si="398"/>
        <v>-140.5</v>
      </c>
      <c r="AZ683" s="61">
        <v>-1</v>
      </c>
      <c r="BA683" s="66" t="str">
        <f t="shared" si="399"/>
        <v/>
      </c>
      <c r="BB683" s="66" t="str">
        <f t="shared" si="400"/>
        <v/>
      </c>
      <c r="BC683" s="67">
        <f t="shared" si="401"/>
        <v>-140.5</v>
      </c>
    </row>
    <row r="684" spans="30:55">
      <c r="AD684" s="68" t="str">
        <v>16</v>
      </c>
      <c r="AE684" s="61">
        <v>146.70000000000002</v>
      </c>
      <c r="AF684" s="61">
        <v>1</v>
      </c>
      <c r="AG684" s="66">
        <f t="shared" si="402"/>
        <v>146.70000000000002</v>
      </c>
      <c r="AH684" s="66" t="str">
        <f t="shared" si="403"/>
        <v/>
      </c>
      <c r="AI684" s="67" t="str">
        <f t="shared" si="404"/>
        <v/>
      </c>
      <c r="AJ684" s="61">
        <v>1</v>
      </c>
      <c r="AK684" s="66">
        <f t="shared" si="405"/>
        <v>146.70000000000002</v>
      </c>
      <c r="AL684" s="66" t="str">
        <f t="shared" si="406"/>
        <v/>
      </c>
      <c r="AM684" s="67" t="str">
        <f t="shared" si="407"/>
        <v/>
      </c>
      <c r="AN684" s="61">
        <v>-1</v>
      </c>
      <c r="AO684" s="66" t="str">
        <f t="shared" si="408"/>
        <v/>
      </c>
      <c r="AP684" s="66" t="str">
        <f t="shared" si="409"/>
        <v/>
      </c>
      <c r="AQ684" s="67">
        <f t="shared" si="410"/>
        <v>-146.70000000000002</v>
      </c>
      <c r="AR684" s="61">
        <v>1</v>
      </c>
      <c r="AS684" s="66">
        <f t="shared" si="411"/>
        <v>146.70000000000002</v>
      </c>
      <c r="AT684" s="66" t="str">
        <f t="shared" si="412"/>
        <v/>
      </c>
      <c r="AU684" s="67" t="str">
        <f t="shared" si="413"/>
        <v/>
      </c>
      <c r="AV684" s="61">
        <v>0</v>
      </c>
      <c r="AW684" s="66" t="str">
        <f t="shared" si="396"/>
        <v/>
      </c>
      <c r="AX684" s="66">
        <f t="shared" si="397"/>
        <v>0</v>
      </c>
      <c r="AY684" s="67" t="str">
        <f t="shared" si="398"/>
        <v/>
      </c>
      <c r="AZ684" s="61">
        <v>-1</v>
      </c>
      <c r="BA684" s="66" t="str">
        <f t="shared" si="399"/>
        <v/>
      </c>
      <c r="BB684" s="66" t="str">
        <f t="shared" si="400"/>
        <v/>
      </c>
      <c r="BC684" s="67">
        <f t="shared" si="401"/>
        <v>-146.70000000000002</v>
      </c>
    </row>
    <row r="685" spans="30:55">
      <c r="AD685" s="68" t="str">
        <v>17</v>
      </c>
      <c r="AE685" s="61">
        <v>160.80000000000001</v>
      </c>
      <c r="AF685" s="61">
        <v>1</v>
      </c>
      <c r="AG685" s="66">
        <f t="shared" si="402"/>
        <v>160.80000000000001</v>
      </c>
      <c r="AH685" s="66" t="str">
        <f t="shared" si="403"/>
        <v/>
      </c>
      <c r="AI685" s="67" t="str">
        <f t="shared" si="404"/>
        <v/>
      </c>
      <c r="AJ685" s="61">
        <v>1</v>
      </c>
      <c r="AK685" s="66">
        <f t="shared" si="405"/>
        <v>160.80000000000001</v>
      </c>
      <c r="AL685" s="66" t="str">
        <f t="shared" si="406"/>
        <v/>
      </c>
      <c r="AM685" s="67" t="str">
        <f t="shared" si="407"/>
        <v/>
      </c>
      <c r="AN685" s="61">
        <v>-1</v>
      </c>
      <c r="AO685" s="66" t="str">
        <f t="shared" si="408"/>
        <v/>
      </c>
      <c r="AP685" s="66" t="str">
        <f t="shared" si="409"/>
        <v/>
      </c>
      <c r="AQ685" s="67">
        <f t="shared" si="410"/>
        <v>-160.80000000000001</v>
      </c>
      <c r="AR685" s="61">
        <v>1</v>
      </c>
      <c r="AS685" s="66">
        <f t="shared" si="411"/>
        <v>160.80000000000001</v>
      </c>
      <c r="AT685" s="66" t="str">
        <f t="shared" si="412"/>
        <v/>
      </c>
      <c r="AU685" s="67" t="str">
        <f t="shared" si="413"/>
        <v/>
      </c>
      <c r="AV685" s="61">
        <v>1</v>
      </c>
      <c r="AW685" s="66">
        <f t="shared" si="396"/>
        <v>160.80000000000001</v>
      </c>
      <c r="AX685" s="66" t="str">
        <f t="shared" si="397"/>
        <v/>
      </c>
      <c r="AY685" s="67" t="str">
        <f t="shared" si="398"/>
        <v/>
      </c>
      <c r="AZ685" s="61">
        <v>-1</v>
      </c>
      <c r="BA685" s="66" t="str">
        <f t="shared" si="399"/>
        <v/>
      </c>
      <c r="BB685" s="66" t="str">
        <f t="shared" si="400"/>
        <v/>
      </c>
      <c r="BC685" s="67">
        <f t="shared" si="401"/>
        <v>-160.80000000000001</v>
      </c>
    </row>
    <row r="686" spans="30:55">
      <c r="AD686" s="68" t="str">
        <v>18</v>
      </c>
      <c r="AE686" s="61">
        <v>174.70000000000002</v>
      </c>
      <c r="AF686" s="61">
        <v>-1</v>
      </c>
      <c r="AG686" s="66" t="str">
        <f t="shared" si="402"/>
        <v/>
      </c>
      <c r="AH686" s="66" t="str">
        <f t="shared" si="403"/>
        <v/>
      </c>
      <c r="AI686" s="67">
        <f t="shared" si="404"/>
        <v>-174.70000000000002</v>
      </c>
      <c r="AJ686" s="61">
        <v>1</v>
      </c>
      <c r="AK686" s="66">
        <f t="shared" si="405"/>
        <v>174.70000000000002</v>
      </c>
      <c r="AL686" s="66" t="str">
        <f t="shared" si="406"/>
        <v/>
      </c>
      <c r="AM686" s="67" t="str">
        <f t="shared" si="407"/>
        <v/>
      </c>
      <c r="AN686" s="61">
        <v>-1</v>
      </c>
      <c r="AO686" s="66" t="str">
        <f t="shared" si="408"/>
        <v/>
      </c>
      <c r="AP686" s="66" t="str">
        <f t="shared" si="409"/>
        <v/>
      </c>
      <c r="AQ686" s="67">
        <f t="shared" si="410"/>
        <v>-174.70000000000002</v>
      </c>
      <c r="AR686" s="61">
        <v>-1</v>
      </c>
      <c r="AS686" s="66" t="str">
        <f t="shared" si="411"/>
        <v/>
      </c>
      <c r="AT686" s="66" t="str">
        <f t="shared" si="412"/>
        <v/>
      </c>
      <c r="AU686" s="67">
        <f t="shared" si="413"/>
        <v>-174.70000000000002</v>
      </c>
      <c r="AV686" s="61">
        <v>1</v>
      </c>
      <c r="AW686" s="66">
        <f t="shared" si="396"/>
        <v>174.70000000000002</v>
      </c>
      <c r="AX686" s="66" t="str">
        <f t="shared" si="397"/>
        <v/>
      </c>
      <c r="AY686" s="67" t="str">
        <f t="shared" si="398"/>
        <v/>
      </c>
      <c r="AZ686" s="61">
        <v>1</v>
      </c>
      <c r="BA686" s="66">
        <f t="shared" si="399"/>
        <v>174.70000000000002</v>
      </c>
      <c r="BB686" s="66" t="str">
        <f t="shared" si="400"/>
        <v/>
      </c>
      <c r="BC686" s="67" t="str">
        <f t="shared" si="401"/>
        <v/>
      </c>
    </row>
    <row r="687" spans="30:55">
      <c r="AD687" s="68" t="str">
        <v>19</v>
      </c>
      <c r="AE687" s="61">
        <v>182.4</v>
      </c>
      <c r="AF687" s="61">
        <v>-1</v>
      </c>
      <c r="AG687" s="66" t="str">
        <f t="shared" si="402"/>
        <v/>
      </c>
      <c r="AH687" s="66" t="str">
        <f t="shared" si="403"/>
        <v/>
      </c>
      <c r="AI687" s="67">
        <f t="shared" si="404"/>
        <v>-182.4</v>
      </c>
      <c r="AJ687" s="61">
        <v>1</v>
      </c>
      <c r="AK687" s="66">
        <f t="shared" si="405"/>
        <v>182.4</v>
      </c>
      <c r="AL687" s="66" t="str">
        <f t="shared" si="406"/>
        <v/>
      </c>
      <c r="AM687" s="67" t="str">
        <f t="shared" si="407"/>
        <v/>
      </c>
      <c r="AN687" s="61">
        <v>-1</v>
      </c>
      <c r="AO687" s="66" t="str">
        <f t="shared" si="408"/>
        <v/>
      </c>
      <c r="AP687" s="66" t="str">
        <f t="shared" si="409"/>
        <v/>
      </c>
      <c r="AQ687" s="67">
        <f t="shared" si="410"/>
        <v>-182.4</v>
      </c>
      <c r="AR687" s="61">
        <v>-1</v>
      </c>
      <c r="AS687" s="66" t="str">
        <f t="shared" si="411"/>
        <v/>
      </c>
      <c r="AT687" s="66" t="str">
        <f t="shared" si="412"/>
        <v/>
      </c>
      <c r="AU687" s="67">
        <f t="shared" si="413"/>
        <v>-182.4</v>
      </c>
      <c r="AV687" s="61">
        <v>0</v>
      </c>
      <c r="AW687" s="66" t="str">
        <f t="shared" si="396"/>
        <v/>
      </c>
      <c r="AX687" s="66">
        <f t="shared" si="397"/>
        <v>0</v>
      </c>
      <c r="AY687" s="67" t="str">
        <f t="shared" si="398"/>
        <v/>
      </c>
      <c r="AZ687" s="61">
        <v>1</v>
      </c>
      <c r="BA687" s="66">
        <f t="shared" si="399"/>
        <v>182.4</v>
      </c>
      <c r="BB687" s="66" t="str">
        <f t="shared" si="400"/>
        <v/>
      </c>
      <c r="BC687" s="67" t="str">
        <f t="shared" si="401"/>
        <v/>
      </c>
    </row>
    <row r="688" spans="30:55">
      <c r="AD688" s="68" t="str">
        <v>20</v>
      </c>
      <c r="AE688" s="61">
        <v>182.1</v>
      </c>
      <c r="AF688" s="61">
        <v>-1</v>
      </c>
      <c r="AG688" s="66" t="str">
        <f t="shared" si="402"/>
        <v/>
      </c>
      <c r="AH688" s="66" t="str">
        <f t="shared" si="403"/>
        <v/>
      </c>
      <c r="AI688" s="67">
        <f t="shared" si="404"/>
        <v>-182.1</v>
      </c>
      <c r="AJ688" s="61">
        <v>1</v>
      </c>
      <c r="AK688" s="66">
        <f t="shared" si="405"/>
        <v>182.1</v>
      </c>
      <c r="AL688" s="66" t="str">
        <f t="shared" si="406"/>
        <v/>
      </c>
      <c r="AM688" s="67" t="str">
        <f t="shared" si="407"/>
        <v/>
      </c>
      <c r="AN688" s="61">
        <v>-1</v>
      </c>
      <c r="AO688" s="66" t="str">
        <f t="shared" si="408"/>
        <v/>
      </c>
      <c r="AP688" s="66" t="str">
        <f t="shared" si="409"/>
        <v/>
      </c>
      <c r="AQ688" s="67">
        <f t="shared" si="410"/>
        <v>-182.1</v>
      </c>
      <c r="AR688" s="61">
        <v>-1</v>
      </c>
      <c r="AS688" s="66" t="str">
        <f t="shared" si="411"/>
        <v/>
      </c>
      <c r="AT688" s="66" t="str">
        <f t="shared" si="412"/>
        <v/>
      </c>
      <c r="AU688" s="67">
        <f t="shared" si="413"/>
        <v>-182.1</v>
      </c>
      <c r="AV688" s="61">
        <v>-1</v>
      </c>
      <c r="AW688" s="66" t="str">
        <f t="shared" si="396"/>
        <v/>
      </c>
      <c r="AX688" s="66" t="str">
        <f t="shared" si="397"/>
        <v/>
      </c>
      <c r="AY688" s="67">
        <f t="shared" si="398"/>
        <v>-182.1</v>
      </c>
      <c r="AZ688" s="61">
        <v>1</v>
      </c>
      <c r="BA688" s="66">
        <f t="shared" si="399"/>
        <v>182.1</v>
      </c>
      <c r="BB688" s="66" t="str">
        <f t="shared" si="400"/>
        <v/>
      </c>
      <c r="BC688" s="67" t="str">
        <f t="shared" si="401"/>
        <v/>
      </c>
    </row>
    <row r="689" spans="29:55">
      <c r="AD689" s="68" t="str">
        <v>21</v>
      </c>
      <c r="AE689" s="61">
        <v>168.3</v>
      </c>
      <c r="AF689" s="61">
        <v>-1</v>
      </c>
      <c r="AG689" s="66" t="str">
        <f t="shared" si="402"/>
        <v/>
      </c>
      <c r="AH689" s="66" t="str">
        <f t="shared" si="403"/>
        <v/>
      </c>
      <c r="AI689" s="67">
        <f t="shared" si="404"/>
        <v>-168.3</v>
      </c>
      <c r="AJ689" s="61">
        <v>1</v>
      </c>
      <c r="AK689" s="66">
        <f t="shared" si="405"/>
        <v>168.3</v>
      </c>
      <c r="AL689" s="66" t="str">
        <f t="shared" si="406"/>
        <v/>
      </c>
      <c r="AM689" s="67" t="str">
        <f t="shared" si="407"/>
        <v/>
      </c>
      <c r="AN689" s="61">
        <v>1</v>
      </c>
      <c r="AO689" s="66">
        <f t="shared" si="408"/>
        <v>168.3</v>
      </c>
      <c r="AP689" s="66" t="str">
        <f t="shared" si="409"/>
        <v/>
      </c>
      <c r="AQ689" s="67" t="str">
        <f t="shared" si="410"/>
        <v/>
      </c>
      <c r="AR689" s="61">
        <v>-1</v>
      </c>
      <c r="AS689" s="66" t="str">
        <f t="shared" si="411"/>
        <v/>
      </c>
      <c r="AT689" s="66" t="str">
        <f t="shared" si="412"/>
        <v/>
      </c>
      <c r="AU689" s="67">
        <f t="shared" si="413"/>
        <v>-168.3</v>
      </c>
      <c r="AV689" s="61">
        <v>-1</v>
      </c>
      <c r="AW689" s="66" t="str">
        <f t="shared" si="396"/>
        <v/>
      </c>
      <c r="AX689" s="66" t="str">
        <f t="shared" si="397"/>
        <v/>
      </c>
      <c r="AY689" s="67">
        <f t="shared" si="398"/>
        <v>-168.3</v>
      </c>
      <c r="AZ689" s="61">
        <v>-1</v>
      </c>
      <c r="BA689" s="66" t="str">
        <f t="shared" si="399"/>
        <v/>
      </c>
      <c r="BB689" s="66" t="str">
        <f t="shared" si="400"/>
        <v/>
      </c>
      <c r="BC689" s="67">
        <f t="shared" si="401"/>
        <v>-168.3</v>
      </c>
    </row>
    <row r="690" spans="29:55">
      <c r="AD690" s="68" t="str">
        <v>22</v>
      </c>
      <c r="AE690" s="61">
        <v>148.5</v>
      </c>
      <c r="AF690" s="61">
        <v>-1</v>
      </c>
      <c r="AG690" s="66" t="str">
        <f t="shared" si="402"/>
        <v/>
      </c>
      <c r="AH690" s="66" t="str">
        <f t="shared" si="403"/>
        <v/>
      </c>
      <c r="AI690" s="67">
        <f t="shared" si="404"/>
        <v>-148.5</v>
      </c>
      <c r="AJ690" s="61">
        <v>1</v>
      </c>
      <c r="AK690" s="66">
        <f t="shared" si="405"/>
        <v>148.5</v>
      </c>
      <c r="AL690" s="66" t="str">
        <f t="shared" si="406"/>
        <v/>
      </c>
      <c r="AM690" s="67" t="str">
        <f t="shared" si="407"/>
        <v/>
      </c>
      <c r="AN690" s="61">
        <v>1</v>
      </c>
      <c r="AO690" s="66">
        <f t="shared" si="408"/>
        <v>148.5</v>
      </c>
      <c r="AP690" s="66" t="str">
        <f t="shared" si="409"/>
        <v/>
      </c>
      <c r="AQ690" s="67" t="str">
        <f t="shared" si="410"/>
        <v/>
      </c>
      <c r="AR690" s="61">
        <v>-1</v>
      </c>
      <c r="AS690" s="66" t="str">
        <f t="shared" si="411"/>
        <v/>
      </c>
      <c r="AT690" s="66" t="str">
        <f t="shared" si="412"/>
        <v/>
      </c>
      <c r="AU690" s="67">
        <f t="shared" si="413"/>
        <v>-148.5</v>
      </c>
      <c r="AV690" s="61">
        <v>0</v>
      </c>
      <c r="AW690" s="66" t="str">
        <f t="shared" si="396"/>
        <v/>
      </c>
      <c r="AX690" s="66">
        <f t="shared" si="397"/>
        <v>0</v>
      </c>
      <c r="AY690" s="67" t="str">
        <f t="shared" si="398"/>
        <v/>
      </c>
      <c r="AZ690" s="61">
        <v>-1</v>
      </c>
      <c r="BA690" s="66" t="str">
        <f t="shared" si="399"/>
        <v/>
      </c>
      <c r="BB690" s="66" t="str">
        <f t="shared" si="400"/>
        <v/>
      </c>
      <c r="BC690" s="67">
        <f t="shared" si="401"/>
        <v>-148.5</v>
      </c>
    </row>
    <row r="691" spans="29:55">
      <c r="AD691" s="68" t="str">
        <v>23</v>
      </c>
      <c r="AE691" s="61">
        <v>128.69999999999999</v>
      </c>
      <c r="AF691" s="61">
        <v>-1</v>
      </c>
      <c r="AG691" s="66" t="str">
        <f t="shared" si="402"/>
        <v/>
      </c>
      <c r="AH691" s="66" t="str">
        <f t="shared" si="403"/>
        <v/>
      </c>
      <c r="AI691" s="67">
        <f t="shared" si="404"/>
        <v>-128.69999999999999</v>
      </c>
      <c r="AJ691" s="61">
        <v>1</v>
      </c>
      <c r="AK691" s="66">
        <f t="shared" si="405"/>
        <v>128.69999999999999</v>
      </c>
      <c r="AL691" s="66" t="str">
        <f t="shared" si="406"/>
        <v/>
      </c>
      <c r="AM691" s="67" t="str">
        <f t="shared" si="407"/>
        <v/>
      </c>
      <c r="AN691" s="61">
        <v>1</v>
      </c>
      <c r="AO691" s="66">
        <f t="shared" si="408"/>
        <v>128.69999999999999</v>
      </c>
      <c r="AP691" s="66" t="str">
        <f t="shared" si="409"/>
        <v/>
      </c>
      <c r="AQ691" s="67" t="str">
        <f t="shared" si="410"/>
        <v/>
      </c>
      <c r="AR691" s="61">
        <v>-1</v>
      </c>
      <c r="AS691" s="66" t="str">
        <f t="shared" si="411"/>
        <v/>
      </c>
      <c r="AT691" s="66" t="str">
        <f t="shared" si="412"/>
        <v/>
      </c>
      <c r="AU691" s="67">
        <f t="shared" si="413"/>
        <v>-128.69999999999999</v>
      </c>
      <c r="AV691" s="61">
        <v>1</v>
      </c>
      <c r="AW691" s="66">
        <f t="shared" si="396"/>
        <v>128.69999999999999</v>
      </c>
      <c r="AX691" s="66" t="str">
        <f t="shared" si="397"/>
        <v/>
      </c>
      <c r="AY691" s="67" t="str">
        <f t="shared" si="398"/>
        <v/>
      </c>
      <c r="AZ691" s="61">
        <v>-1</v>
      </c>
      <c r="BA691" s="66" t="str">
        <f t="shared" si="399"/>
        <v/>
      </c>
      <c r="BB691" s="66" t="str">
        <f t="shared" si="400"/>
        <v/>
      </c>
      <c r="BC691" s="67">
        <f t="shared" si="401"/>
        <v>-128.69999999999999</v>
      </c>
    </row>
    <row r="692" spans="29:55" ht="15.75" thickBot="1">
      <c r="AC692" s="476">
        <f>AD664</f>
        <v>44731</v>
      </c>
      <c r="AD692" s="69" t="s">
        <v>85</v>
      </c>
      <c r="AE692" s="70">
        <f>SUM(AE668:AE691)</f>
        <v>4014.1</v>
      </c>
      <c r="AF692" s="70"/>
      <c r="AG692" s="71">
        <f>ABS(SUM(AG668:AG691))</f>
        <v>2407.6999999999998</v>
      </c>
      <c r="AH692" s="70"/>
      <c r="AI692" s="72">
        <f>ABS(SUM(AI668:AI691))</f>
        <v>1606.4</v>
      </c>
      <c r="AJ692" s="70"/>
      <c r="AK692" s="71">
        <f>ABS(SUM(AK668:AK691))</f>
        <v>1935.9</v>
      </c>
      <c r="AL692" s="70"/>
      <c r="AM692" s="72">
        <f>ABS(SUM(AM668:AM691))</f>
        <v>2078.2000000000003</v>
      </c>
      <c r="AN692" s="70"/>
      <c r="AO692" s="71">
        <f>ABS(SUM(AO668:AO691))</f>
        <v>1895.5</v>
      </c>
      <c r="AP692" s="70"/>
      <c r="AQ692" s="72">
        <f>ABS(SUM(AQ668:AQ691))</f>
        <v>2118.6000000000004</v>
      </c>
      <c r="AR692" s="70"/>
      <c r="AS692" s="71">
        <f>ABS(SUM(AS668:AS691))</f>
        <v>1572.9</v>
      </c>
      <c r="AT692" s="70"/>
      <c r="AU692" s="72">
        <f>ABS(SUM(AU668:AU691))</f>
        <v>2441.1999999999998</v>
      </c>
      <c r="AV692" s="70"/>
      <c r="AW692" s="71">
        <f>ABS(SUM(AW668:AW691))</f>
        <v>1350.6000000000001</v>
      </c>
      <c r="AX692" s="70"/>
      <c r="AY692" s="72">
        <f>ABS(SUM(AY668:AY691))</f>
        <v>1324.8</v>
      </c>
      <c r="AZ692" s="70"/>
      <c r="BA692" s="71">
        <f>ABS(SUM(BA668:BA691))</f>
        <v>2006.9</v>
      </c>
      <c r="BB692" s="70"/>
      <c r="BC692" s="72">
        <f>ABS(SUM(BC668:BC691))</f>
        <v>2007.1999999999998</v>
      </c>
    </row>
    <row r="694" spans="29:55" ht="15" thickBot="1">
      <c r="AD694" s="476">
        <f>skemA1!B28</f>
        <v>44732</v>
      </c>
    </row>
    <row r="695" spans="29:55" ht="15" thickBot="1">
      <c r="AD695" s="677" t="s">
        <v>75</v>
      </c>
      <c r="AE695" s="60" t="s">
        <v>558</v>
      </c>
      <c r="AF695" s="672" t="s">
        <v>559</v>
      </c>
      <c r="AG695" s="672"/>
      <c r="AH695" s="672"/>
      <c r="AI695" s="673"/>
      <c r="AJ695" s="672" t="s">
        <v>562</v>
      </c>
      <c r="AK695" s="672"/>
      <c r="AL695" s="672"/>
      <c r="AM695" s="673"/>
      <c r="AN695" s="672" t="s">
        <v>563</v>
      </c>
      <c r="AO695" s="672"/>
      <c r="AP695" s="672"/>
      <c r="AQ695" s="673"/>
      <c r="AR695" s="672" t="s">
        <v>564</v>
      </c>
      <c r="AS695" s="672"/>
      <c r="AT695" s="672"/>
      <c r="AU695" s="673"/>
      <c r="AV695" s="672" t="s">
        <v>565</v>
      </c>
      <c r="AW695" s="672"/>
      <c r="AX695" s="672"/>
      <c r="AY695" s="673"/>
      <c r="AZ695" s="672" t="s">
        <v>566</v>
      </c>
      <c r="BA695" s="672"/>
      <c r="BB695" s="672"/>
      <c r="BC695" s="673"/>
    </row>
    <row r="696" spans="29:55" ht="15" thickBot="1">
      <c r="AD696" s="677"/>
      <c r="AE696" s="61"/>
      <c r="AF696" s="674" t="s">
        <v>561</v>
      </c>
      <c r="AG696" s="670" t="s">
        <v>560</v>
      </c>
      <c r="AH696" s="670"/>
      <c r="AI696" s="671"/>
      <c r="AJ696" s="674" t="s">
        <v>561</v>
      </c>
      <c r="AK696" s="670" t="s">
        <v>560</v>
      </c>
      <c r="AL696" s="670"/>
      <c r="AM696" s="671"/>
      <c r="AN696" s="674" t="s">
        <v>561</v>
      </c>
      <c r="AO696" s="670" t="s">
        <v>560</v>
      </c>
      <c r="AP696" s="670"/>
      <c r="AQ696" s="671"/>
      <c r="AR696" s="674" t="s">
        <v>561</v>
      </c>
      <c r="AS696" s="670" t="s">
        <v>560</v>
      </c>
      <c r="AT696" s="670"/>
      <c r="AU696" s="671"/>
      <c r="AV696" s="674" t="s">
        <v>561</v>
      </c>
      <c r="AW696" s="670" t="s">
        <v>560</v>
      </c>
      <c r="AX696" s="670"/>
      <c r="AY696" s="671"/>
      <c r="AZ696" s="674" t="s">
        <v>561</v>
      </c>
      <c r="BA696" s="670" t="s">
        <v>560</v>
      </c>
      <c r="BB696" s="670"/>
      <c r="BC696" s="671"/>
    </row>
    <row r="697" spans="29:55">
      <c r="AD697" s="677"/>
      <c r="AE697" s="62"/>
      <c r="AF697" s="674"/>
      <c r="AG697" s="63" t="s">
        <v>76</v>
      </c>
      <c r="AH697" s="63">
        <v>0</v>
      </c>
      <c r="AI697" s="64" t="s">
        <v>77</v>
      </c>
      <c r="AJ697" s="674"/>
      <c r="AK697" s="63" t="s">
        <v>76</v>
      </c>
      <c r="AL697" s="63">
        <v>0</v>
      </c>
      <c r="AM697" s="64" t="s">
        <v>77</v>
      </c>
      <c r="AN697" s="674"/>
      <c r="AO697" s="63" t="s">
        <v>76</v>
      </c>
      <c r="AP697" s="63">
        <v>0</v>
      </c>
      <c r="AQ697" s="64" t="s">
        <v>77</v>
      </c>
      <c r="AR697" s="674"/>
      <c r="AS697" s="63" t="s">
        <v>76</v>
      </c>
      <c r="AT697" s="63">
        <v>0</v>
      </c>
      <c r="AU697" s="64" t="s">
        <v>77</v>
      </c>
      <c r="AV697" s="674"/>
      <c r="AW697" s="63" t="s">
        <v>76</v>
      </c>
      <c r="AX697" s="63">
        <v>0</v>
      </c>
      <c r="AY697" s="64" t="s">
        <v>77</v>
      </c>
      <c r="AZ697" s="674"/>
      <c r="BA697" s="63" t="s">
        <v>76</v>
      </c>
      <c r="BB697" s="63">
        <v>0</v>
      </c>
      <c r="BC697" s="64" t="s">
        <v>77</v>
      </c>
    </row>
    <row r="698" spans="29:55">
      <c r="AD698" s="65" t="str">
        <f t="array" ref="AD698:AD721">TRANSPOSE($C$5:$Z$5)</f>
        <v>00</v>
      </c>
      <c r="AE698" s="66">
        <f t="array" ref="AE698:AE721">TRANSPOSE(skemA1!$C$28:$Z$28)</f>
        <v>111.80000000000001</v>
      </c>
      <c r="AF698" s="66">
        <f t="array" ref="AF698:AF721">TRANSPOSE($C$6:$Z$6)</f>
        <v>-1</v>
      </c>
      <c r="AG698" s="66" t="str">
        <f>IF(AF698&gt;0,AF698*$AE698,"")</f>
        <v/>
      </c>
      <c r="AH698" s="66" t="str">
        <f>IF(AF698=0,AF698*$AE698,"")</f>
        <v/>
      </c>
      <c r="AI698" s="67">
        <f>IF(AF698&lt;0,AF698*$AE698,"")</f>
        <v>-111.80000000000001</v>
      </c>
      <c r="AJ698" s="66">
        <f t="array" ref="AJ698:AJ721">TRANSPOSE($C$7:$Z$7)</f>
        <v>-1</v>
      </c>
      <c r="AK698" s="66" t="str">
        <f>IF(AJ698&gt;0,AJ698*$AE698,"")</f>
        <v/>
      </c>
      <c r="AL698" s="66" t="str">
        <f>IF(AJ698=0,AJ698*$AE698,"")</f>
        <v/>
      </c>
      <c r="AM698" s="67">
        <f>IF(AJ698&lt;0,AJ698*$AE698,"")</f>
        <v>-111.80000000000001</v>
      </c>
      <c r="AN698" s="66">
        <f t="array" ref="AN698:AN721">TRANSPOSE($C$8:$Z$8)</f>
        <v>1</v>
      </c>
      <c r="AO698" s="66">
        <f>IF(AN698&gt;0,AN698*$AE698,"")</f>
        <v>111.80000000000001</v>
      </c>
      <c r="AP698" s="66" t="str">
        <f>IF(AN698=0,AN698*$AE698,"")</f>
        <v/>
      </c>
      <c r="AQ698" s="67" t="str">
        <f>IF(AN698&lt;0,AN698*$AE698,"")</f>
        <v/>
      </c>
      <c r="AR698" s="66">
        <f t="array" ref="AR698:AR721">TRANSPOSE($C$9:$Z$9)</f>
        <v>1</v>
      </c>
      <c r="AS698" s="66">
        <f>IF(AR698&gt;0,AR698*$AE698,"")</f>
        <v>111.80000000000001</v>
      </c>
      <c r="AT698" s="66" t="str">
        <f>IF(AR698=0,AR698*$AE698,"")</f>
        <v/>
      </c>
      <c r="AU698" s="67" t="str">
        <f>IF(AR698&lt;0,AR698*$AE698,"")</f>
        <v/>
      </c>
      <c r="AV698" s="66">
        <f t="array" ref="AV698:AV721">TRANSPOSE($C$10:$Z$10)</f>
        <v>1</v>
      </c>
      <c r="AW698" s="66">
        <f t="shared" ref="AW698:AW721" si="414">IF(AV698&gt;0,AV698*$AE698,"")</f>
        <v>111.80000000000001</v>
      </c>
      <c r="AX698" s="66" t="str">
        <f t="shared" ref="AX698:AX721" si="415">IF(AV698=0,AV698*$AE698,"")</f>
        <v/>
      </c>
      <c r="AY698" s="67" t="str">
        <f t="shared" ref="AY698:AY721" si="416">IF(AV698&lt;0,AV698*$AE698,"")</f>
        <v/>
      </c>
      <c r="AZ698" s="66">
        <f t="array" ref="AZ698:AZ721">TRANSPOSE($C$11:$Z$11)</f>
        <v>1</v>
      </c>
      <c r="BA698" s="66">
        <f t="shared" ref="BA698:BA721" si="417">IF(AZ698&gt;0,AZ698*$AE698,"")</f>
        <v>111.80000000000001</v>
      </c>
      <c r="BB698" s="66" t="str">
        <f t="shared" ref="BB698:BB721" si="418">IF(AZ698=0,AZ698*$AE698,"")</f>
        <v/>
      </c>
      <c r="BC698" s="67" t="str">
        <f t="shared" ref="BC698:BC721" si="419">IF(AZ698&lt;0,AZ698*$AE698,"")</f>
        <v/>
      </c>
    </row>
    <row r="699" spans="29:55">
      <c r="AD699" s="68" t="str">
        <v>01</v>
      </c>
      <c r="AE699" s="61">
        <v>93.899999999999991</v>
      </c>
      <c r="AF699" s="61">
        <v>-1</v>
      </c>
      <c r="AG699" s="66" t="str">
        <f t="shared" ref="AG699:AG721" si="420">IF(AF699&gt;0,AF699*$AE699,"")</f>
        <v/>
      </c>
      <c r="AH699" s="66" t="str">
        <f t="shared" ref="AH699:AH721" si="421">IF(AF699=0,AF699*$AE699,"")</f>
        <v/>
      </c>
      <c r="AI699" s="67">
        <f t="shared" ref="AI699:AI721" si="422">IF(AF699&lt;0,AF699*$AE699,"")</f>
        <v>-93.899999999999991</v>
      </c>
      <c r="AJ699" s="61">
        <v>-1</v>
      </c>
      <c r="AK699" s="66" t="str">
        <f t="shared" ref="AK699:AK721" si="423">IF(AJ699&gt;0,AJ699*$AE699,"")</f>
        <v/>
      </c>
      <c r="AL699" s="66" t="str">
        <f t="shared" ref="AL699:AL721" si="424">IF(AJ699=0,AJ699*$AE699,"")</f>
        <v/>
      </c>
      <c r="AM699" s="67">
        <f t="shared" ref="AM699:AM721" si="425">IF(AJ699&lt;0,AJ699*$AE699,"")</f>
        <v>-93.899999999999991</v>
      </c>
      <c r="AN699" s="61">
        <v>1</v>
      </c>
      <c r="AO699" s="66">
        <f t="shared" ref="AO699:AO721" si="426">IF(AN699&gt;0,AN699*$AE699,"")</f>
        <v>93.899999999999991</v>
      </c>
      <c r="AP699" s="66" t="str">
        <f t="shared" ref="AP699:AP721" si="427">IF(AN699=0,AN699*$AE699,"")</f>
        <v/>
      </c>
      <c r="AQ699" s="67" t="str">
        <f t="shared" ref="AQ699:AQ721" si="428">IF(AN699&lt;0,AN699*$AE699,"")</f>
        <v/>
      </c>
      <c r="AR699" s="61">
        <v>1</v>
      </c>
      <c r="AS699" s="66">
        <f t="shared" ref="AS699:AS721" si="429">IF(AR699&gt;0,AR699*$AE699,"")</f>
        <v>93.899999999999991</v>
      </c>
      <c r="AT699" s="66" t="str">
        <f t="shared" ref="AT699:AT721" si="430">IF(AR699=0,AR699*$AE699,"")</f>
        <v/>
      </c>
      <c r="AU699" s="67" t="str">
        <f t="shared" ref="AU699:AU721" si="431">IF(AR699&lt;0,AR699*$AE699,"")</f>
        <v/>
      </c>
      <c r="AV699" s="61">
        <v>0</v>
      </c>
      <c r="AW699" s="66" t="str">
        <f t="shared" si="414"/>
        <v/>
      </c>
      <c r="AX699" s="66">
        <f t="shared" si="415"/>
        <v>0</v>
      </c>
      <c r="AY699" s="67" t="str">
        <f t="shared" si="416"/>
        <v/>
      </c>
      <c r="AZ699" s="61">
        <v>1</v>
      </c>
      <c r="BA699" s="66">
        <f t="shared" si="417"/>
        <v>93.899999999999991</v>
      </c>
      <c r="BB699" s="66" t="str">
        <f t="shared" si="418"/>
        <v/>
      </c>
      <c r="BC699" s="67" t="str">
        <f t="shared" si="419"/>
        <v/>
      </c>
    </row>
    <row r="700" spans="29:55">
      <c r="AD700" s="68" t="str">
        <v>02</v>
      </c>
      <c r="AE700" s="61">
        <v>89.2</v>
      </c>
      <c r="AF700" s="61">
        <v>-1</v>
      </c>
      <c r="AG700" s="66" t="str">
        <f t="shared" si="420"/>
        <v/>
      </c>
      <c r="AH700" s="66" t="str">
        <f t="shared" si="421"/>
        <v/>
      </c>
      <c r="AI700" s="67">
        <f t="shared" si="422"/>
        <v>-89.2</v>
      </c>
      <c r="AJ700" s="61">
        <v>-1</v>
      </c>
      <c r="AK700" s="66" t="str">
        <f t="shared" si="423"/>
        <v/>
      </c>
      <c r="AL700" s="66" t="str">
        <f t="shared" si="424"/>
        <v/>
      </c>
      <c r="AM700" s="67">
        <f t="shared" si="425"/>
        <v>-89.2</v>
      </c>
      <c r="AN700" s="61">
        <v>1</v>
      </c>
      <c r="AO700" s="66">
        <f t="shared" si="426"/>
        <v>89.2</v>
      </c>
      <c r="AP700" s="66" t="str">
        <f t="shared" si="427"/>
        <v/>
      </c>
      <c r="AQ700" s="67" t="str">
        <f t="shared" si="428"/>
        <v/>
      </c>
      <c r="AR700" s="61">
        <v>1</v>
      </c>
      <c r="AS700" s="66">
        <f t="shared" si="429"/>
        <v>89.2</v>
      </c>
      <c r="AT700" s="66" t="str">
        <f t="shared" si="430"/>
        <v/>
      </c>
      <c r="AU700" s="67" t="str">
        <f t="shared" si="431"/>
        <v/>
      </c>
      <c r="AV700" s="61">
        <v>-1</v>
      </c>
      <c r="AW700" s="66" t="str">
        <f t="shared" si="414"/>
        <v/>
      </c>
      <c r="AX700" s="66" t="str">
        <f t="shared" si="415"/>
        <v/>
      </c>
      <c r="AY700" s="67">
        <f t="shared" si="416"/>
        <v>-89.2</v>
      </c>
      <c r="AZ700" s="61">
        <v>1</v>
      </c>
      <c r="BA700" s="66">
        <f t="shared" si="417"/>
        <v>89.2</v>
      </c>
      <c r="BB700" s="66" t="str">
        <f t="shared" si="418"/>
        <v/>
      </c>
      <c r="BC700" s="67" t="str">
        <f t="shared" si="419"/>
        <v/>
      </c>
    </row>
    <row r="701" spans="29:55">
      <c r="AD701" s="68" t="str">
        <v>03</v>
      </c>
      <c r="AE701" s="61">
        <v>97.3</v>
      </c>
      <c r="AF701" s="61">
        <v>-1</v>
      </c>
      <c r="AG701" s="66" t="str">
        <f t="shared" si="420"/>
        <v/>
      </c>
      <c r="AH701" s="66" t="str">
        <f t="shared" si="421"/>
        <v/>
      </c>
      <c r="AI701" s="67">
        <f t="shared" si="422"/>
        <v>-97.3</v>
      </c>
      <c r="AJ701" s="61">
        <v>-1</v>
      </c>
      <c r="AK701" s="66" t="str">
        <f t="shared" si="423"/>
        <v/>
      </c>
      <c r="AL701" s="66" t="str">
        <f t="shared" si="424"/>
        <v/>
      </c>
      <c r="AM701" s="67">
        <f t="shared" si="425"/>
        <v>-97.3</v>
      </c>
      <c r="AN701" s="61">
        <v>-1</v>
      </c>
      <c r="AO701" s="66" t="str">
        <f t="shared" si="426"/>
        <v/>
      </c>
      <c r="AP701" s="66" t="str">
        <f t="shared" si="427"/>
        <v/>
      </c>
      <c r="AQ701" s="67">
        <f t="shared" si="428"/>
        <v>-97.3</v>
      </c>
      <c r="AR701" s="61">
        <v>1</v>
      </c>
      <c r="AS701" s="66">
        <f t="shared" si="429"/>
        <v>97.3</v>
      </c>
      <c r="AT701" s="66" t="str">
        <f t="shared" si="430"/>
        <v/>
      </c>
      <c r="AU701" s="67" t="str">
        <f t="shared" si="431"/>
        <v/>
      </c>
      <c r="AV701" s="61">
        <v>-1</v>
      </c>
      <c r="AW701" s="66" t="str">
        <f t="shared" si="414"/>
        <v/>
      </c>
      <c r="AX701" s="66" t="str">
        <f t="shared" si="415"/>
        <v/>
      </c>
      <c r="AY701" s="67">
        <f t="shared" si="416"/>
        <v>-97.3</v>
      </c>
      <c r="AZ701" s="61">
        <v>-1</v>
      </c>
      <c r="BA701" s="66" t="str">
        <f t="shared" si="417"/>
        <v/>
      </c>
      <c r="BB701" s="66" t="str">
        <f t="shared" si="418"/>
        <v/>
      </c>
      <c r="BC701" s="67">
        <f t="shared" si="419"/>
        <v>-97.3</v>
      </c>
    </row>
    <row r="702" spans="29:55">
      <c r="AD702" s="68" t="str">
        <v>04</v>
      </c>
      <c r="AE702" s="61">
        <v>118.6</v>
      </c>
      <c r="AF702" s="61">
        <v>-1</v>
      </c>
      <c r="AG702" s="66" t="str">
        <f t="shared" si="420"/>
        <v/>
      </c>
      <c r="AH702" s="66" t="str">
        <f t="shared" si="421"/>
        <v/>
      </c>
      <c r="AI702" s="67">
        <f t="shared" si="422"/>
        <v>-118.6</v>
      </c>
      <c r="AJ702" s="61">
        <v>-1</v>
      </c>
      <c r="AK702" s="66" t="str">
        <f t="shared" si="423"/>
        <v/>
      </c>
      <c r="AL702" s="66" t="str">
        <f t="shared" si="424"/>
        <v/>
      </c>
      <c r="AM702" s="67">
        <f t="shared" si="425"/>
        <v>-118.6</v>
      </c>
      <c r="AN702" s="61">
        <v>-1</v>
      </c>
      <c r="AO702" s="66" t="str">
        <f t="shared" si="426"/>
        <v/>
      </c>
      <c r="AP702" s="66" t="str">
        <f t="shared" si="427"/>
        <v/>
      </c>
      <c r="AQ702" s="67">
        <f t="shared" si="428"/>
        <v>-118.6</v>
      </c>
      <c r="AR702" s="61">
        <v>1</v>
      </c>
      <c r="AS702" s="66">
        <f t="shared" si="429"/>
        <v>118.6</v>
      </c>
      <c r="AT702" s="66" t="str">
        <f t="shared" si="430"/>
        <v/>
      </c>
      <c r="AU702" s="67" t="str">
        <f t="shared" si="431"/>
        <v/>
      </c>
      <c r="AV702" s="61">
        <v>0</v>
      </c>
      <c r="AW702" s="66" t="str">
        <f t="shared" si="414"/>
        <v/>
      </c>
      <c r="AX702" s="66">
        <f t="shared" si="415"/>
        <v>0</v>
      </c>
      <c r="AY702" s="67" t="str">
        <f t="shared" si="416"/>
        <v/>
      </c>
      <c r="AZ702" s="61">
        <v>-1</v>
      </c>
      <c r="BA702" s="66" t="str">
        <f t="shared" si="417"/>
        <v/>
      </c>
      <c r="BB702" s="66" t="str">
        <f t="shared" si="418"/>
        <v/>
      </c>
      <c r="BC702" s="67">
        <f t="shared" si="419"/>
        <v>-118.6</v>
      </c>
    </row>
    <row r="703" spans="29:55">
      <c r="AD703" s="68" t="str">
        <v>05</v>
      </c>
      <c r="AE703" s="61">
        <v>152.4</v>
      </c>
      <c r="AF703" s="61">
        <v>-1</v>
      </c>
      <c r="AG703" s="66" t="str">
        <f t="shared" si="420"/>
        <v/>
      </c>
      <c r="AH703" s="66" t="str">
        <f t="shared" si="421"/>
        <v/>
      </c>
      <c r="AI703" s="67">
        <f t="shared" si="422"/>
        <v>-152.4</v>
      </c>
      <c r="AJ703" s="61">
        <v>-1</v>
      </c>
      <c r="AK703" s="66" t="str">
        <f t="shared" si="423"/>
        <v/>
      </c>
      <c r="AL703" s="66" t="str">
        <f t="shared" si="424"/>
        <v/>
      </c>
      <c r="AM703" s="67">
        <f t="shared" si="425"/>
        <v>-152.4</v>
      </c>
      <c r="AN703" s="61">
        <v>-1</v>
      </c>
      <c r="AO703" s="66" t="str">
        <f t="shared" si="426"/>
        <v/>
      </c>
      <c r="AP703" s="66" t="str">
        <f t="shared" si="427"/>
        <v/>
      </c>
      <c r="AQ703" s="67">
        <f t="shared" si="428"/>
        <v>-152.4</v>
      </c>
      <c r="AR703" s="61">
        <v>1</v>
      </c>
      <c r="AS703" s="66">
        <f t="shared" si="429"/>
        <v>152.4</v>
      </c>
      <c r="AT703" s="66" t="str">
        <f t="shared" si="430"/>
        <v/>
      </c>
      <c r="AU703" s="67" t="str">
        <f t="shared" si="431"/>
        <v/>
      </c>
      <c r="AV703" s="61">
        <v>1</v>
      </c>
      <c r="AW703" s="66">
        <f t="shared" si="414"/>
        <v>152.4</v>
      </c>
      <c r="AX703" s="66" t="str">
        <f t="shared" si="415"/>
        <v/>
      </c>
      <c r="AY703" s="67" t="str">
        <f t="shared" si="416"/>
        <v/>
      </c>
      <c r="AZ703" s="61">
        <v>-1</v>
      </c>
      <c r="BA703" s="66" t="str">
        <f t="shared" si="417"/>
        <v/>
      </c>
      <c r="BB703" s="66" t="str">
        <f t="shared" si="418"/>
        <v/>
      </c>
      <c r="BC703" s="67">
        <f t="shared" si="419"/>
        <v>-152.4</v>
      </c>
    </row>
    <row r="704" spans="29:55">
      <c r="AD704" s="68" t="str">
        <v>06</v>
      </c>
      <c r="AE704" s="61">
        <v>195.9</v>
      </c>
      <c r="AF704" s="61">
        <v>1</v>
      </c>
      <c r="AG704" s="66">
        <f t="shared" si="420"/>
        <v>195.9</v>
      </c>
      <c r="AH704" s="66" t="str">
        <f t="shared" si="421"/>
        <v/>
      </c>
      <c r="AI704" s="67" t="str">
        <f t="shared" si="422"/>
        <v/>
      </c>
      <c r="AJ704" s="61">
        <v>-1</v>
      </c>
      <c r="AK704" s="66" t="str">
        <f t="shared" si="423"/>
        <v/>
      </c>
      <c r="AL704" s="66" t="str">
        <f t="shared" si="424"/>
        <v/>
      </c>
      <c r="AM704" s="67">
        <f t="shared" si="425"/>
        <v>-195.9</v>
      </c>
      <c r="AN704" s="61">
        <v>-1</v>
      </c>
      <c r="AO704" s="66" t="str">
        <f t="shared" si="426"/>
        <v/>
      </c>
      <c r="AP704" s="66" t="str">
        <f t="shared" si="427"/>
        <v/>
      </c>
      <c r="AQ704" s="67">
        <f t="shared" si="428"/>
        <v>-195.9</v>
      </c>
      <c r="AR704" s="61">
        <v>-1</v>
      </c>
      <c r="AS704" s="66" t="str">
        <f t="shared" si="429"/>
        <v/>
      </c>
      <c r="AT704" s="66" t="str">
        <f t="shared" si="430"/>
        <v/>
      </c>
      <c r="AU704" s="67">
        <f t="shared" si="431"/>
        <v>-195.9</v>
      </c>
      <c r="AV704" s="61">
        <v>1</v>
      </c>
      <c r="AW704" s="66">
        <f t="shared" si="414"/>
        <v>195.9</v>
      </c>
      <c r="AX704" s="66" t="str">
        <f t="shared" si="415"/>
        <v/>
      </c>
      <c r="AY704" s="67" t="str">
        <f t="shared" si="416"/>
        <v/>
      </c>
      <c r="AZ704" s="61">
        <v>1</v>
      </c>
      <c r="BA704" s="66">
        <f t="shared" si="417"/>
        <v>195.9</v>
      </c>
      <c r="BB704" s="66" t="str">
        <f t="shared" si="418"/>
        <v/>
      </c>
      <c r="BC704" s="67" t="str">
        <f t="shared" si="419"/>
        <v/>
      </c>
    </row>
    <row r="705" spans="30:55">
      <c r="AD705" s="68" t="str">
        <v>07</v>
      </c>
      <c r="AE705" s="61">
        <v>232.10000000000002</v>
      </c>
      <c r="AF705" s="61">
        <v>1</v>
      </c>
      <c r="AG705" s="66">
        <f t="shared" si="420"/>
        <v>232.10000000000002</v>
      </c>
      <c r="AH705" s="66" t="str">
        <f t="shared" si="421"/>
        <v/>
      </c>
      <c r="AI705" s="67" t="str">
        <f t="shared" si="422"/>
        <v/>
      </c>
      <c r="AJ705" s="61">
        <v>-1</v>
      </c>
      <c r="AK705" s="66" t="str">
        <f t="shared" si="423"/>
        <v/>
      </c>
      <c r="AL705" s="66" t="str">
        <f t="shared" si="424"/>
        <v/>
      </c>
      <c r="AM705" s="67">
        <f t="shared" si="425"/>
        <v>-232.10000000000002</v>
      </c>
      <c r="AN705" s="61">
        <v>-1</v>
      </c>
      <c r="AO705" s="66" t="str">
        <f t="shared" si="426"/>
        <v/>
      </c>
      <c r="AP705" s="66" t="str">
        <f t="shared" si="427"/>
        <v/>
      </c>
      <c r="AQ705" s="67">
        <f t="shared" si="428"/>
        <v>-232.10000000000002</v>
      </c>
      <c r="AR705" s="61">
        <v>-1</v>
      </c>
      <c r="AS705" s="66" t="str">
        <f t="shared" si="429"/>
        <v/>
      </c>
      <c r="AT705" s="66" t="str">
        <f t="shared" si="430"/>
        <v/>
      </c>
      <c r="AU705" s="67">
        <f t="shared" si="431"/>
        <v>-232.10000000000002</v>
      </c>
      <c r="AV705" s="61">
        <v>0</v>
      </c>
      <c r="AW705" s="66" t="str">
        <f t="shared" si="414"/>
        <v/>
      </c>
      <c r="AX705" s="66">
        <f t="shared" si="415"/>
        <v>0</v>
      </c>
      <c r="AY705" s="67" t="str">
        <f t="shared" si="416"/>
        <v/>
      </c>
      <c r="AZ705" s="61">
        <v>1</v>
      </c>
      <c r="BA705" s="66">
        <f t="shared" si="417"/>
        <v>232.10000000000002</v>
      </c>
      <c r="BB705" s="66" t="str">
        <f t="shared" si="418"/>
        <v/>
      </c>
      <c r="BC705" s="67" t="str">
        <f t="shared" si="419"/>
        <v/>
      </c>
    </row>
    <row r="706" spans="30:55">
      <c r="AD706" s="68" t="str">
        <v>08</v>
      </c>
      <c r="AE706" s="61">
        <v>250.4</v>
      </c>
      <c r="AF706" s="61">
        <v>1</v>
      </c>
      <c r="AG706" s="66">
        <f t="shared" si="420"/>
        <v>250.4</v>
      </c>
      <c r="AH706" s="66" t="str">
        <f t="shared" si="421"/>
        <v/>
      </c>
      <c r="AI706" s="67" t="str">
        <f t="shared" si="422"/>
        <v/>
      </c>
      <c r="AJ706" s="61">
        <v>-1</v>
      </c>
      <c r="AK706" s="66" t="str">
        <f t="shared" si="423"/>
        <v/>
      </c>
      <c r="AL706" s="66" t="str">
        <f t="shared" si="424"/>
        <v/>
      </c>
      <c r="AM706" s="67">
        <f t="shared" si="425"/>
        <v>-250.4</v>
      </c>
      <c r="AN706" s="61">
        <v>-1</v>
      </c>
      <c r="AO706" s="66" t="str">
        <f t="shared" si="426"/>
        <v/>
      </c>
      <c r="AP706" s="66" t="str">
        <f t="shared" si="427"/>
        <v/>
      </c>
      <c r="AQ706" s="67">
        <f t="shared" si="428"/>
        <v>-250.4</v>
      </c>
      <c r="AR706" s="61">
        <v>-1</v>
      </c>
      <c r="AS706" s="66" t="str">
        <f t="shared" si="429"/>
        <v/>
      </c>
      <c r="AT706" s="66" t="str">
        <f t="shared" si="430"/>
        <v/>
      </c>
      <c r="AU706" s="67">
        <f t="shared" si="431"/>
        <v>-250.4</v>
      </c>
      <c r="AV706" s="61">
        <v>-1</v>
      </c>
      <c r="AW706" s="66" t="str">
        <f t="shared" si="414"/>
        <v/>
      </c>
      <c r="AX706" s="66" t="str">
        <f t="shared" si="415"/>
        <v/>
      </c>
      <c r="AY706" s="67">
        <f t="shared" si="416"/>
        <v>-250.4</v>
      </c>
      <c r="AZ706" s="61">
        <v>1</v>
      </c>
      <c r="BA706" s="66">
        <f t="shared" si="417"/>
        <v>250.4</v>
      </c>
      <c r="BB706" s="66" t="str">
        <f t="shared" si="418"/>
        <v/>
      </c>
      <c r="BC706" s="67" t="str">
        <f t="shared" si="419"/>
        <v/>
      </c>
    </row>
    <row r="707" spans="30:55">
      <c r="AD707" s="68" t="str">
        <v>09</v>
      </c>
      <c r="AE707" s="61">
        <v>250.1</v>
      </c>
      <c r="AF707" s="61">
        <v>1</v>
      </c>
      <c r="AG707" s="66">
        <f t="shared" si="420"/>
        <v>250.1</v>
      </c>
      <c r="AH707" s="66" t="str">
        <f t="shared" si="421"/>
        <v/>
      </c>
      <c r="AI707" s="67" t="str">
        <f t="shared" si="422"/>
        <v/>
      </c>
      <c r="AJ707" s="61">
        <v>-1</v>
      </c>
      <c r="AK707" s="66" t="str">
        <f t="shared" si="423"/>
        <v/>
      </c>
      <c r="AL707" s="66" t="str">
        <f t="shared" si="424"/>
        <v/>
      </c>
      <c r="AM707" s="67">
        <f t="shared" si="425"/>
        <v>-250.1</v>
      </c>
      <c r="AN707" s="61">
        <v>1</v>
      </c>
      <c r="AO707" s="66">
        <f t="shared" si="426"/>
        <v>250.1</v>
      </c>
      <c r="AP707" s="66" t="str">
        <f t="shared" si="427"/>
        <v/>
      </c>
      <c r="AQ707" s="67" t="str">
        <f t="shared" si="428"/>
        <v/>
      </c>
      <c r="AR707" s="61">
        <v>-1</v>
      </c>
      <c r="AS707" s="66" t="str">
        <f t="shared" si="429"/>
        <v/>
      </c>
      <c r="AT707" s="66" t="str">
        <f t="shared" si="430"/>
        <v/>
      </c>
      <c r="AU707" s="67">
        <f t="shared" si="431"/>
        <v>-250.1</v>
      </c>
      <c r="AV707" s="61">
        <v>-1</v>
      </c>
      <c r="AW707" s="66" t="str">
        <f t="shared" si="414"/>
        <v/>
      </c>
      <c r="AX707" s="66" t="str">
        <f t="shared" si="415"/>
        <v/>
      </c>
      <c r="AY707" s="67">
        <f t="shared" si="416"/>
        <v>-250.1</v>
      </c>
      <c r="AZ707" s="61">
        <v>-1</v>
      </c>
      <c r="BA707" s="66" t="str">
        <f t="shared" si="417"/>
        <v/>
      </c>
      <c r="BB707" s="66" t="str">
        <f t="shared" si="418"/>
        <v/>
      </c>
      <c r="BC707" s="67">
        <f t="shared" si="419"/>
        <v>-250.1</v>
      </c>
    </row>
    <row r="708" spans="30:55">
      <c r="AD708" s="68" t="str">
        <v>10</v>
      </c>
      <c r="AE708" s="61">
        <v>241.1</v>
      </c>
      <c r="AF708" s="61">
        <v>1</v>
      </c>
      <c r="AG708" s="66">
        <f t="shared" si="420"/>
        <v>241.1</v>
      </c>
      <c r="AH708" s="66" t="str">
        <f t="shared" si="421"/>
        <v/>
      </c>
      <c r="AI708" s="67" t="str">
        <f t="shared" si="422"/>
        <v/>
      </c>
      <c r="AJ708" s="61">
        <v>-1</v>
      </c>
      <c r="AK708" s="66" t="str">
        <f t="shared" si="423"/>
        <v/>
      </c>
      <c r="AL708" s="66" t="str">
        <f t="shared" si="424"/>
        <v/>
      </c>
      <c r="AM708" s="67">
        <f t="shared" si="425"/>
        <v>-241.1</v>
      </c>
      <c r="AN708" s="61">
        <v>1</v>
      </c>
      <c r="AO708" s="66">
        <f t="shared" si="426"/>
        <v>241.1</v>
      </c>
      <c r="AP708" s="66" t="str">
        <f t="shared" si="427"/>
        <v/>
      </c>
      <c r="AQ708" s="67" t="str">
        <f t="shared" si="428"/>
        <v/>
      </c>
      <c r="AR708" s="61">
        <v>-1</v>
      </c>
      <c r="AS708" s="66" t="str">
        <f t="shared" si="429"/>
        <v/>
      </c>
      <c r="AT708" s="66" t="str">
        <f t="shared" si="430"/>
        <v/>
      </c>
      <c r="AU708" s="67">
        <f t="shared" si="431"/>
        <v>-241.1</v>
      </c>
      <c r="AV708" s="61">
        <v>0</v>
      </c>
      <c r="AW708" s="66" t="str">
        <f t="shared" si="414"/>
        <v/>
      </c>
      <c r="AX708" s="66">
        <f t="shared" si="415"/>
        <v>0</v>
      </c>
      <c r="AY708" s="67" t="str">
        <f t="shared" si="416"/>
        <v/>
      </c>
      <c r="AZ708" s="61">
        <v>-1</v>
      </c>
      <c r="BA708" s="66" t="str">
        <f t="shared" si="417"/>
        <v/>
      </c>
      <c r="BB708" s="66" t="str">
        <f t="shared" si="418"/>
        <v/>
      </c>
      <c r="BC708" s="67">
        <f t="shared" si="419"/>
        <v>-241.1</v>
      </c>
    </row>
    <row r="709" spans="30:55">
      <c r="AD709" s="68" t="str">
        <v>11</v>
      </c>
      <c r="AE709" s="61">
        <v>223.8</v>
      </c>
      <c r="AF709" s="61">
        <v>1</v>
      </c>
      <c r="AG709" s="66">
        <f t="shared" si="420"/>
        <v>223.8</v>
      </c>
      <c r="AH709" s="66" t="str">
        <f t="shared" si="421"/>
        <v/>
      </c>
      <c r="AI709" s="67" t="str">
        <f t="shared" si="422"/>
        <v/>
      </c>
      <c r="AJ709" s="61">
        <v>-1</v>
      </c>
      <c r="AK709" s="66" t="str">
        <f t="shared" si="423"/>
        <v/>
      </c>
      <c r="AL709" s="66" t="str">
        <f t="shared" si="424"/>
        <v/>
      </c>
      <c r="AM709" s="67">
        <f t="shared" si="425"/>
        <v>-223.8</v>
      </c>
      <c r="AN709" s="61">
        <v>1</v>
      </c>
      <c r="AO709" s="66">
        <f t="shared" si="426"/>
        <v>223.8</v>
      </c>
      <c r="AP709" s="66" t="str">
        <f t="shared" si="427"/>
        <v/>
      </c>
      <c r="AQ709" s="67" t="str">
        <f t="shared" si="428"/>
        <v/>
      </c>
      <c r="AR709" s="61">
        <v>-1</v>
      </c>
      <c r="AS709" s="66" t="str">
        <f t="shared" si="429"/>
        <v/>
      </c>
      <c r="AT709" s="66" t="str">
        <f t="shared" si="430"/>
        <v/>
      </c>
      <c r="AU709" s="67">
        <f t="shared" si="431"/>
        <v>-223.8</v>
      </c>
      <c r="AV709" s="61">
        <v>1</v>
      </c>
      <c r="AW709" s="66">
        <f t="shared" si="414"/>
        <v>223.8</v>
      </c>
      <c r="AX709" s="66" t="str">
        <f t="shared" si="415"/>
        <v/>
      </c>
      <c r="AY709" s="67" t="str">
        <f t="shared" si="416"/>
        <v/>
      </c>
      <c r="AZ709" s="61">
        <v>-1</v>
      </c>
      <c r="BA709" s="66" t="str">
        <f t="shared" si="417"/>
        <v/>
      </c>
      <c r="BB709" s="66" t="str">
        <f t="shared" si="418"/>
        <v/>
      </c>
      <c r="BC709" s="67">
        <f t="shared" si="419"/>
        <v>-223.8</v>
      </c>
    </row>
    <row r="710" spans="30:55">
      <c r="AD710" s="68" t="str">
        <v>12</v>
      </c>
      <c r="AE710" s="61">
        <v>199.8</v>
      </c>
      <c r="AF710" s="61">
        <v>1</v>
      </c>
      <c r="AG710" s="66">
        <f t="shared" si="420"/>
        <v>199.8</v>
      </c>
      <c r="AH710" s="66" t="str">
        <f t="shared" si="421"/>
        <v/>
      </c>
      <c r="AI710" s="67" t="str">
        <f t="shared" si="422"/>
        <v/>
      </c>
      <c r="AJ710" s="61">
        <v>1</v>
      </c>
      <c r="AK710" s="66">
        <f t="shared" si="423"/>
        <v>199.8</v>
      </c>
      <c r="AL710" s="66" t="str">
        <f t="shared" si="424"/>
        <v/>
      </c>
      <c r="AM710" s="67" t="str">
        <f t="shared" si="425"/>
        <v/>
      </c>
      <c r="AN710" s="61">
        <v>1</v>
      </c>
      <c r="AO710" s="66">
        <f t="shared" si="426"/>
        <v>199.8</v>
      </c>
      <c r="AP710" s="66" t="str">
        <f t="shared" si="427"/>
        <v/>
      </c>
      <c r="AQ710" s="67" t="str">
        <f t="shared" si="428"/>
        <v/>
      </c>
      <c r="AR710" s="61">
        <v>1</v>
      </c>
      <c r="AS710" s="66">
        <f t="shared" si="429"/>
        <v>199.8</v>
      </c>
      <c r="AT710" s="66" t="str">
        <f t="shared" si="430"/>
        <v/>
      </c>
      <c r="AU710" s="67" t="str">
        <f t="shared" si="431"/>
        <v/>
      </c>
      <c r="AV710" s="61">
        <v>1</v>
      </c>
      <c r="AW710" s="66">
        <f t="shared" si="414"/>
        <v>199.8</v>
      </c>
      <c r="AX710" s="66" t="str">
        <f t="shared" si="415"/>
        <v/>
      </c>
      <c r="AY710" s="67" t="str">
        <f t="shared" si="416"/>
        <v/>
      </c>
      <c r="AZ710" s="61">
        <v>1</v>
      </c>
      <c r="BA710" s="66">
        <f t="shared" si="417"/>
        <v>199.8</v>
      </c>
      <c r="BB710" s="66" t="str">
        <f t="shared" si="418"/>
        <v/>
      </c>
      <c r="BC710" s="67" t="str">
        <f t="shared" si="419"/>
        <v/>
      </c>
    </row>
    <row r="711" spans="30:55">
      <c r="AD711" s="68" t="str">
        <v>13</v>
      </c>
      <c r="AE711" s="61">
        <v>176.6</v>
      </c>
      <c r="AF711" s="61">
        <v>1</v>
      </c>
      <c r="AG711" s="66">
        <f t="shared" si="420"/>
        <v>176.6</v>
      </c>
      <c r="AH711" s="66" t="str">
        <f t="shared" si="421"/>
        <v/>
      </c>
      <c r="AI711" s="67" t="str">
        <f t="shared" si="422"/>
        <v/>
      </c>
      <c r="AJ711" s="61">
        <v>1</v>
      </c>
      <c r="AK711" s="66">
        <f t="shared" si="423"/>
        <v>176.6</v>
      </c>
      <c r="AL711" s="66" t="str">
        <f t="shared" si="424"/>
        <v/>
      </c>
      <c r="AM711" s="67" t="str">
        <f t="shared" si="425"/>
        <v/>
      </c>
      <c r="AN711" s="61">
        <v>1</v>
      </c>
      <c r="AO711" s="66">
        <f t="shared" si="426"/>
        <v>176.6</v>
      </c>
      <c r="AP711" s="66" t="str">
        <f t="shared" si="427"/>
        <v/>
      </c>
      <c r="AQ711" s="67" t="str">
        <f t="shared" si="428"/>
        <v/>
      </c>
      <c r="AR711" s="61">
        <v>1</v>
      </c>
      <c r="AS711" s="66">
        <f t="shared" si="429"/>
        <v>176.6</v>
      </c>
      <c r="AT711" s="66" t="str">
        <f t="shared" si="430"/>
        <v/>
      </c>
      <c r="AU711" s="67" t="str">
        <f t="shared" si="431"/>
        <v/>
      </c>
      <c r="AV711" s="61">
        <v>0</v>
      </c>
      <c r="AW711" s="66" t="str">
        <f t="shared" si="414"/>
        <v/>
      </c>
      <c r="AX711" s="66">
        <f t="shared" si="415"/>
        <v>0</v>
      </c>
      <c r="AY711" s="67" t="str">
        <f t="shared" si="416"/>
        <v/>
      </c>
      <c r="AZ711" s="61">
        <v>1</v>
      </c>
      <c r="BA711" s="66">
        <f t="shared" si="417"/>
        <v>176.6</v>
      </c>
      <c r="BB711" s="66" t="str">
        <f t="shared" si="418"/>
        <v/>
      </c>
      <c r="BC711" s="67" t="str">
        <f t="shared" si="419"/>
        <v/>
      </c>
    </row>
    <row r="712" spans="30:55">
      <c r="AD712" s="68" t="str">
        <v>14</v>
      </c>
      <c r="AE712" s="61">
        <v>155</v>
      </c>
      <c r="AF712" s="61">
        <v>1</v>
      </c>
      <c r="AG712" s="66">
        <f t="shared" si="420"/>
        <v>155</v>
      </c>
      <c r="AH712" s="66" t="str">
        <f t="shared" si="421"/>
        <v/>
      </c>
      <c r="AI712" s="67" t="str">
        <f t="shared" si="422"/>
        <v/>
      </c>
      <c r="AJ712" s="61">
        <v>1</v>
      </c>
      <c r="AK712" s="66">
        <f t="shared" si="423"/>
        <v>155</v>
      </c>
      <c r="AL712" s="66" t="str">
        <f t="shared" si="424"/>
        <v/>
      </c>
      <c r="AM712" s="67" t="str">
        <f t="shared" si="425"/>
        <v/>
      </c>
      <c r="AN712" s="61">
        <v>1</v>
      </c>
      <c r="AO712" s="66">
        <f t="shared" si="426"/>
        <v>155</v>
      </c>
      <c r="AP712" s="66" t="str">
        <f t="shared" si="427"/>
        <v/>
      </c>
      <c r="AQ712" s="67" t="str">
        <f t="shared" si="428"/>
        <v/>
      </c>
      <c r="AR712" s="61">
        <v>1</v>
      </c>
      <c r="AS712" s="66">
        <f t="shared" si="429"/>
        <v>155</v>
      </c>
      <c r="AT712" s="66" t="str">
        <f t="shared" si="430"/>
        <v/>
      </c>
      <c r="AU712" s="67" t="str">
        <f t="shared" si="431"/>
        <v/>
      </c>
      <c r="AV712" s="61">
        <v>-1</v>
      </c>
      <c r="AW712" s="66" t="str">
        <f t="shared" si="414"/>
        <v/>
      </c>
      <c r="AX712" s="66" t="str">
        <f t="shared" si="415"/>
        <v/>
      </c>
      <c r="AY712" s="67">
        <f t="shared" si="416"/>
        <v>-155</v>
      </c>
      <c r="AZ712" s="61">
        <v>1</v>
      </c>
      <c r="BA712" s="66">
        <f t="shared" si="417"/>
        <v>155</v>
      </c>
      <c r="BB712" s="66" t="str">
        <f t="shared" si="418"/>
        <v/>
      </c>
      <c r="BC712" s="67" t="str">
        <f t="shared" si="419"/>
        <v/>
      </c>
    </row>
    <row r="713" spans="30:55">
      <c r="AD713" s="68" t="str">
        <v>15</v>
      </c>
      <c r="AE713" s="61">
        <v>140.69999999999999</v>
      </c>
      <c r="AF713" s="61">
        <v>1</v>
      </c>
      <c r="AG713" s="66">
        <f t="shared" si="420"/>
        <v>140.69999999999999</v>
      </c>
      <c r="AH713" s="66" t="str">
        <f t="shared" si="421"/>
        <v/>
      </c>
      <c r="AI713" s="67" t="str">
        <f t="shared" si="422"/>
        <v/>
      </c>
      <c r="AJ713" s="61">
        <v>1</v>
      </c>
      <c r="AK713" s="66">
        <f t="shared" si="423"/>
        <v>140.69999999999999</v>
      </c>
      <c r="AL713" s="66" t="str">
        <f t="shared" si="424"/>
        <v/>
      </c>
      <c r="AM713" s="67" t="str">
        <f t="shared" si="425"/>
        <v/>
      </c>
      <c r="AN713" s="61">
        <v>-1</v>
      </c>
      <c r="AO713" s="66" t="str">
        <f t="shared" si="426"/>
        <v/>
      </c>
      <c r="AP713" s="66" t="str">
        <f t="shared" si="427"/>
        <v/>
      </c>
      <c r="AQ713" s="67">
        <f t="shared" si="428"/>
        <v>-140.69999999999999</v>
      </c>
      <c r="AR713" s="61">
        <v>1</v>
      </c>
      <c r="AS713" s="66">
        <f t="shared" si="429"/>
        <v>140.69999999999999</v>
      </c>
      <c r="AT713" s="66" t="str">
        <f t="shared" si="430"/>
        <v/>
      </c>
      <c r="AU713" s="67" t="str">
        <f t="shared" si="431"/>
        <v/>
      </c>
      <c r="AV713" s="61">
        <v>-1</v>
      </c>
      <c r="AW713" s="66" t="str">
        <f t="shared" si="414"/>
        <v/>
      </c>
      <c r="AX713" s="66" t="str">
        <f t="shared" si="415"/>
        <v/>
      </c>
      <c r="AY713" s="67">
        <f t="shared" si="416"/>
        <v>-140.69999999999999</v>
      </c>
      <c r="AZ713" s="61">
        <v>-1</v>
      </c>
      <c r="BA713" s="66" t="str">
        <f t="shared" si="417"/>
        <v/>
      </c>
      <c r="BB713" s="66" t="str">
        <f t="shared" si="418"/>
        <v/>
      </c>
      <c r="BC713" s="67">
        <f t="shared" si="419"/>
        <v>-140.69999999999999</v>
      </c>
    </row>
    <row r="714" spans="30:55">
      <c r="AD714" s="68" t="str">
        <v>16</v>
      </c>
      <c r="AE714" s="61">
        <v>141.4</v>
      </c>
      <c r="AF714" s="61">
        <v>1</v>
      </c>
      <c r="AG714" s="66">
        <f t="shared" si="420"/>
        <v>141.4</v>
      </c>
      <c r="AH714" s="66" t="str">
        <f t="shared" si="421"/>
        <v/>
      </c>
      <c r="AI714" s="67" t="str">
        <f t="shared" si="422"/>
        <v/>
      </c>
      <c r="AJ714" s="61">
        <v>1</v>
      </c>
      <c r="AK714" s="66">
        <f t="shared" si="423"/>
        <v>141.4</v>
      </c>
      <c r="AL714" s="66" t="str">
        <f t="shared" si="424"/>
        <v/>
      </c>
      <c r="AM714" s="67" t="str">
        <f t="shared" si="425"/>
        <v/>
      </c>
      <c r="AN714" s="61">
        <v>-1</v>
      </c>
      <c r="AO714" s="66" t="str">
        <f t="shared" si="426"/>
        <v/>
      </c>
      <c r="AP714" s="66" t="str">
        <f t="shared" si="427"/>
        <v/>
      </c>
      <c r="AQ714" s="67">
        <f t="shared" si="428"/>
        <v>-141.4</v>
      </c>
      <c r="AR714" s="61">
        <v>1</v>
      </c>
      <c r="AS714" s="66">
        <f t="shared" si="429"/>
        <v>141.4</v>
      </c>
      <c r="AT714" s="66" t="str">
        <f t="shared" si="430"/>
        <v/>
      </c>
      <c r="AU714" s="67" t="str">
        <f t="shared" si="431"/>
        <v/>
      </c>
      <c r="AV714" s="61">
        <v>0</v>
      </c>
      <c r="AW714" s="66" t="str">
        <f t="shared" si="414"/>
        <v/>
      </c>
      <c r="AX714" s="66">
        <f t="shared" si="415"/>
        <v>0</v>
      </c>
      <c r="AY714" s="67" t="str">
        <f t="shared" si="416"/>
        <v/>
      </c>
      <c r="AZ714" s="61">
        <v>-1</v>
      </c>
      <c r="BA714" s="66" t="str">
        <f t="shared" si="417"/>
        <v/>
      </c>
      <c r="BB714" s="66" t="str">
        <f t="shared" si="418"/>
        <v/>
      </c>
      <c r="BC714" s="67">
        <f t="shared" si="419"/>
        <v>-141.4</v>
      </c>
    </row>
    <row r="715" spans="30:55">
      <c r="AD715" s="68" t="str">
        <v>17</v>
      </c>
      <c r="AE715" s="61">
        <v>154.5</v>
      </c>
      <c r="AF715" s="61">
        <v>1</v>
      </c>
      <c r="AG715" s="66">
        <f t="shared" si="420"/>
        <v>154.5</v>
      </c>
      <c r="AH715" s="66" t="str">
        <f t="shared" si="421"/>
        <v/>
      </c>
      <c r="AI715" s="67" t="str">
        <f t="shared" si="422"/>
        <v/>
      </c>
      <c r="AJ715" s="61">
        <v>1</v>
      </c>
      <c r="AK715" s="66">
        <f t="shared" si="423"/>
        <v>154.5</v>
      </c>
      <c r="AL715" s="66" t="str">
        <f t="shared" si="424"/>
        <v/>
      </c>
      <c r="AM715" s="67" t="str">
        <f t="shared" si="425"/>
        <v/>
      </c>
      <c r="AN715" s="61">
        <v>-1</v>
      </c>
      <c r="AO715" s="66" t="str">
        <f t="shared" si="426"/>
        <v/>
      </c>
      <c r="AP715" s="66" t="str">
        <f t="shared" si="427"/>
        <v/>
      </c>
      <c r="AQ715" s="67">
        <f t="shared" si="428"/>
        <v>-154.5</v>
      </c>
      <c r="AR715" s="61">
        <v>1</v>
      </c>
      <c r="AS715" s="66">
        <f t="shared" si="429"/>
        <v>154.5</v>
      </c>
      <c r="AT715" s="66" t="str">
        <f t="shared" si="430"/>
        <v/>
      </c>
      <c r="AU715" s="67" t="str">
        <f t="shared" si="431"/>
        <v/>
      </c>
      <c r="AV715" s="61">
        <v>1</v>
      </c>
      <c r="AW715" s="66">
        <f t="shared" si="414"/>
        <v>154.5</v>
      </c>
      <c r="AX715" s="66" t="str">
        <f t="shared" si="415"/>
        <v/>
      </c>
      <c r="AY715" s="67" t="str">
        <f t="shared" si="416"/>
        <v/>
      </c>
      <c r="AZ715" s="61">
        <v>-1</v>
      </c>
      <c r="BA715" s="66" t="str">
        <f t="shared" si="417"/>
        <v/>
      </c>
      <c r="BB715" s="66" t="str">
        <f t="shared" si="418"/>
        <v/>
      </c>
      <c r="BC715" s="67">
        <f t="shared" si="419"/>
        <v>-154.5</v>
      </c>
    </row>
    <row r="716" spans="30:55">
      <c r="AD716" s="68" t="str">
        <v>18</v>
      </c>
      <c r="AE716" s="61">
        <v>170</v>
      </c>
      <c r="AF716" s="61">
        <v>-1</v>
      </c>
      <c r="AG716" s="66" t="str">
        <f t="shared" si="420"/>
        <v/>
      </c>
      <c r="AH716" s="66" t="str">
        <f t="shared" si="421"/>
        <v/>
      </c>
      <c r="AI716" s="67">
        <f t="shared" si="422"/>
        <v>-170</v>
      </c>
      <c r="AJ716" s="61">
        <v>1</v>
      </c>
      <c r="AK716" s="66">
        <f t="shared" si="423"/>
        <v>170</v>
      </c>
      <c r="AL716" s="66" t="str">
        <f t="shared" si="424"/>
        <v/>
      </c>
      <c r="AM716" s="67" t="str">
        <f t="shared" si="425"/>
        <v/>
      </c>
      <c r="AN716" s="61">
        <v>-1</v>
      </c>
      <c r="AO716" s="66" t="str">
        <f t="shared" si="426"/>
        <v/>
      </c>
      <c r="AP716" s="66" t="str">
        <f t="shared" si="427"/>
        <v/>
      </c>
      <c r="AQ716" s="67">
        <f t="shared" si="428"/>
        <v>-170</v>
      </c>
      <c r="AR716" s="61">
        <v>-1</v>
      </c>
      <c r="AS716" s="66" t="str">
        <f t="shared" si="429"/>
        <v/>
      </c>
      <c r="AT716" s="66" t="str">
        <f t="shared" si="430"/>
        <v/>
      </c>
      <c r="AU716" s="67">
        <f t="shared" si="431"/>
        <v>-170</v>
      </c>
      <c r="AV716" s="61">
        <v>1</v>
      </c>
      <c r="AW716" s="66">
        <f t="shared" si="414"/>
        <v>170</v>
      </c>
      <c r="AX716" s="66" t="str">
        <f t="shared" si="415"/>
        <v/>
      </c>
      <c r="AY716" s="67" t="str">
        <f t="shared" si="416"/>
        <v/>
      </c>
      <c r="AZ716" s="61">
        <v>1</v>
      </c>
      <c r="BA716" s="66">
        <f t="shared" si="417"/>
        <v>170</v>
      </c>
      <c r="BB716" s="66" t="str">
        <f t="shared" si="418"/>
        <v/>
      </c>
      <c r="BC716" s="67" t="str">
        <f t="shared" si="419"/>
        <v/>
      </c>
    </row>
    <row r="717" spans="30:55">
      <c r="AD717" s="68" t="str">
        <v>19</v>
      </c>
      <c r="AE717" s="61">
        <v>181.7</v>
      </c>
      <c r="AF717" s="61">
        <v>-1</v>
      </c>
      <c r="AG717" s="66" t="str">
        <f t="shared" si="420"/>
        <v/>
      </c>
      <c r="AH717" s="66" t="str">
        <f t="shared" si="421"/>
        <v/>
      </c>
      <c r="AI717" s="67">
        <f t="shared" si="422"/>
        <v>-181.7</v>
      </c>
      <c r="AJ717" s="61">
        <v>1</v>
      </c>
      <c r="AK717" s="66">
        <f t="shared" si="423"/>
        <v>181.7</v>
      </c>
      <c r="AL717" s="66" t="str">
        <f t="shared" si="424"/>
        <v/>
      </c>
      <c r="AM717" s="67" t="str">
        <f t="shared" si="425"/>
        <v/>
      </c>
      <c r="AN717" s="61">
        <v>-1</v>
      </c>
      <c r="AO717" s="66" t="str">
        <f t="shared" si="426"/>
        <v/>
      </c>
      <c r="AP717" s="66" t="str">
        <f t="shared" si="427"/>
        <v/>
      </c>
      <c r="AQ717" s="67">
        <f t="shared" si="428"/>
        <v>-181.7</v>
      </c>
      <c r="AR717" s="61">
        <v>-1</v>
      </c>
      <c r="AS717" s="66" t="str">
        <f t="shared" si="429"/>
        <v/>
      </c>
      <c r="AT717" s="66" t="str">
        <f t="shared" si="430"/>
        <v/>
      </c>
      <c r="AU717" s="67">
        <f t="shared" si="431"/>
        <v>-181.7</v>
      </c>
      <c r="AV717" s="61">
        <v>0</v>
      </c>
      <c r="AW717" s="66" t="str">
        <f t="shared" si="414"/>
        <v/>
      </c>
      <c r="AX717" s="66">
        <f t="shared" si="415"/>
        <v>0</v>
      </c>
      <c r="AY717" s="67" t="str">
        <f t="shared" si="416"/>
        <v/>
      </c>
      <c r="AZ717" s="61">
        <v>1</v>
      </c>
      <c r="BA717" s="66">
        <f t="shared" si="417"/>
        <v>181.7</v>
      </c>
      <c r="BB717" s="66" t="str">
        <f t="shared" si="418"/>
        <v/>
      </c>
      <c r="BC717" s="67" t="str">
        <f t="shared" si="419"/>
        <v/>
      </c>
    </row>
    <row r="718" spans="30:55">
      <c r="AD718" s="68" t="str">
        <v>20</v>
      </c>
      <c r="AE718" s="61">
        <v>188.1</v>
      </c>
      <c r="AF718" s="61">
        <v>-1</v>
      </c>
      <c r="AG718" s="66" t="str">
        <f t="shared" si="420"/>
        <v/>
      </c>
      <c r="AH718" s="66" t="str">
        <f t="shared" si="421"/>
        <v/>
      </c>
      <c r="AI718" s="67">
        <f t="shared" si="422"/>
        <v>-188.1</v>
      </c>
      <c r="AJ718" s="61">
        <v>1</v>
      </c>
      <c r="AK718" s="66">
        <f t="shared" si="423"/>
        <v>188.1</v>
      </c>
      <c r="AL718" s="66" t="str">
        <f t="shared" si="424"/>
        <v/>
      </c>
      <c r="AM718" s="67" t="str">
        <f t="shared" si="425"/>
        <v/>
      </c>
      <c r="AN718" s="61">
        <v>-1</v>
      </c>
      <c r="AO718" s="66" t="str">
        <f t="shared" si="426"/>
        <v/>
      </c>
      <c r="AP718" s="66" t="str">
        <f t="shared" si="427"/>
        <v/>
      </c>
      <c r="AQ718" s="67">
        <f t="shared" si="428"/>
        <v>-188.1</v>
      </c>
      <c r="AR718" s="61">
        <v>-1</v>
      </c>
      <c r="AS718" s="66" t="str">
        <f t="shared" si="429"/>
        <v/>
      </c>
      <c r="AT718" s="66" t="str">
        <f t="shared" si="430"/>
        <v/>
      </c>
      <c r="AU718" s="67">
        <f t="shared" si="431"/>
        <v>-188.1</v>
      </c>
      <c r="AV718" s="61">
        <v>-1</v>
      </c>
      <c r="AW718" s="66" t="str">
        <f t="shared" si="414"/>
        <v/>
      </c>
      <c r="AX718" s="66" t="str">
        <f t="shared" si="415"/>
        <v/>
      </c>
      <c r="AY718" s="67">
        <f t="shared" si="416"/>
        <v>-188.1</v>
      </c>
      <c r="AZ718" s="61">
        <v>1</v>
      </c>
      <c r="BA718" s="66">
        <f t="shared" si="417"/>
        <v>188.1</v>
      </c>
      <c r="BB718" s="66" t="str">
        <f t="shared" si="418"/>
        <v/>
      </c>
      <c r="BC718" s="67" t="str">
        <f t="shared" si="419"/>
        <v/>
      </c>
    </row>
    <row r="719" spans="30:55">
      <c r="AD719" s="68" t="str">
        <v>21</v>
      </c>
      <c r="AE719" s="61">
        <v>184.4</v>
      </c>
      <c r="AF719" s="61">
        <v>-1</v>
      </c>
      <c r="AG719" s="66" t="str">
        <f t="shared" si="420"/>
        <v/>
      </c>
      <c r="AH719" s="66" t="str">
        <f t="shared" si="421"/>
        <v/>
      </c>
      <c r="AI719" s="67">
        <f t="shared" si="422"/>
        <v>-184.4</v>
      </c>
      <c r="AJ719" s="61">
        <v>1</v>
      </c>
      <c r="AK719" s="66">
        <f t="shared" si="423"/>
        <v>184.4</v>
      </c>
      <c r="AL719" s="66" t="str">
        <f t="shared" si="424"/>
        <v/>
      </c>
      <c r="AM719" s="67" t="str">
        <f t="shared" si="425"/>
        <v/>
      </c>
      <c r="AN719" s="61">
        <v>1</v>
      </c>
      <c r="AO719" s="66">
        <f t="shared" si="426"/>
        <v>184.4</v>
      </c>
      <c r="AP719" s="66" t="str">
        <f t="shared" si="427"/>
        <v/>
      </c>
      <c r="AQ719" s="67" t="str">
        <f t="shared" si="428"/>
        <v/>
      </c>
      <c r="AR719" s="61">
        <v>-1</v>
      </c>
      <c r="AS719" s="66" t="str">
        <f t="shared" si="429"/>
        <v/>
      </c>
      <c r="AT719" s="66" t="str">
        <f t="shared" si="430"/>
        <v/>
      </c>
      <c r="AU719" s="67">
        <f t="shared" si="431"/>
        <v>-184.4</v>
      </c>
      <c r="AV719" s="61">
        <v>-1</v>
      </c>
      <c r="AW719" s="66" t="str">
        <f t="shared" si="414"/>
        <v/>
      </c>
      <c r="AX719" s="66" t="str">
        <f t="shared" si="415"/>
        <v/>
      </c>
      <c r="AY719" s="67">
        <f t="shared" si="416"/>
        <v>-184.4</v>
      </c>
      <c r="AZ719" s="61">
        <v>-1</v>
      </c>
      <c r="BA719" s="66" t="str">
        <f t="shared" si="417"/>
        <v/>
      </c>
      <c r="BB719" s="66" t="str">
        <f t="shared" si="418"/>
        <v/>
      </c>
      <c r="BC719" s="67">
        <f t="shared" si="419"/>
        <v>-184.4</v>
      </c>
    </row>
    <row r="720" spans="30:55">
      <c r="AD720" s="68" t="str">
        <v>22</v>
      </c>
      <c r="AE720" s="61">
        <v>171.9</v>
      </c>
      <c r="AF720" s="61">
        <v>-1</v>
      </c>
      <c r="AG720" s="66" t="str">
        <f t="shared" si="420"/>
        <v/>
      </c>
      <c r="AH720" s="66" t="str">
        <f t="shared" si="421"/>
        <v/>
      </c>
      <c r="AI720" s="67">
        <f t="shared" si="422"/>
        <v>-171.9</v>
      </c>
      <c r="AJ720" s="61">
        <v>1</v>
      </c>
      <c r="AK720" s="66">
        <f t="shared" si="423"/>
        <v>171.9</v>
      </c>
      <c r="AL720" s="66" t="str">
        <f t="shared" si="424"/>
        <v/>
      </c>
      <c r="AM720" s="67" t="str">
        <f t="shared" si="425"/>
        <v/>
      </c>
      <c r="AN720" s="61">
        <v>1</v>
      </c>
      <c r="AO720" s="66">
        <f t="shared" si="426"/>
        <v>171.9</v>
      </c>
      <c r="AP720" s="66" t="str">
        <f t="shared" si="427"/>
        <v/>
      </c>
      <c r="AQ720" s="67" t="str">
        <f t="shared" si="428"/>
        <v/>
      </c>
      <c r="AR720" s="61">
        <v>-1</v>
      </c>
      <c r="AS720" s="66" t="str">
        <f t="shared" si="429"/>
        <v/>
      </c>
      <c r="AT720" s="66" t="str">
        <f t="shared" si="430"/>
        <v/>
      </c>
      <c r="AU720" s="67">
        <f t="shared" si="431"/>
        <v>-171.9</v>
      </c>
      <c r="AV720" s="61">
        <v>0</v>
      </c>
      <c r="AW720" s="66" t="str">
        <f t="shared" si="414"/>
        <v/>
      </c>
      <c r="AX720" s="66">
        <f t="shared" si="415"/>
        <v>0</v>
      </c>
      <c r="AY720" s="67" t="str">
        <f t="shared" si="416"/>
        <v/>
      </c>
      <c r="AZ720" s="61">
        <v>-1</v>
      </c>
      <c r="BA720" s="66" t="str">
        <f t="shared" si="417"/>
        <v/>
      </c>
      <c r="BB720" s="66" t="str">
        <f t="shared" si="418"/>
        <v/>
      </c>
      <c r="BC720" s="67">
        <f t="shared" si="419"/>
        <v>-171.9</v>
      </c>
    </row>
    <row r="721" spans="29:55">
      <c r="AD721" s="68" t="str">
        <v>23</v>
      </c>
      <c r="AE721" s="61">
        <v>153.69999999999999</v>
      </c>
      <c r="AF721" s="61">
        <v>-1</v>
      </c>
      <c r="AG721" s="66" t="str">
        <f t="shared" si="420"/>
        <v/>
      </c>
      <c r="AH721" s="66" t="str">
        <f t="shared" si="421"/>
        <v/>
      </c>
      <c r="AI721" s="67">
        <f t="shared" si="422"/>
        <v>-153.69999999999999</v>
      </c>
      <c r="AJ721" s="61">
        <v>1</v>
      </c>
      <c r="AK721" s="66">
        <f t="shared" si="423"/>
        <v>153.69999999999999</v>
      </c>
      <c r="AL721" s="66" t="str">
        <f t="shared" si="424"/>
        <v/>
      </c>
      <c r="AM721" s="67" t="str">
        <f t="shared" si="425"/>
        <v/>
      </c>
      <c r="AN721" s="61">
        <v>1</v>
      </c>
      <c r="AO721" s="66">
        <f t="shared" si="426"/>
        <v>153.69999999999999</v>
      </c>
      <c r="AP721" s="66" t="str">
        <f t="shared" si="427"/>
        <v/>
      </c>
      <c r="AQ721" s="67" t="str">
        <f t="shared" si="428"/>
        <v/>
      </c>
      <c r="AR721" s="61">
        <v>-1</v>
      </c>
      <c r="AS721" s="66" t="str">
        <f t="shared" si="429"/>
        <v/>
      </c>
      <c r="AT721" s="66" t="str">
        <f t="shared" si="430"/>
        <v/>
      </c>
      <c r="AU721" s="67">
        <f t="shared" si="431"/>
        <v>-153.69999999999999</v>
      </c>
      <c r="AV721" s="61">
        <v>1</v>
      </c>
      <c r="AW721" s="66">
        <f t="shared" si="414"/>
        <v>153.69999999999999</v>
      </c>
      <c r="AX721" s="66" t="str">
        <f t="shared" si="415"/>
        <v/>
      </c>
      <c r="AY721" s="67" t="str">
        <f t="shared" si="416"/>
        <v/>
      </c>
      <c r="AZ721" s="61">
        <v>-1</v>
      </c>
      <c r="BA721" s="66" t="str">
        <f t="shared" si="417"/>
        <v/>
      </c>
      <c r="BB721" s="66" t="str">
        <f t="shared" si="418"/>
        <v/>
      </c>
      <c r="BC721" s="67">
        <f t="shared" si="419"/>
        <v>-153.69999999999999</v>
      </c>
    </row>
    <row r="722" spans="29:55" ht="15.75" thickBot="1">
      <c r="AC722" s="476">
        <f>AD694</f>
        <v>44732</v>
      </c>
      <c r="AD722" s="69" t="s">
        <v>85</v>
      </c>
      <c r="AE722" s="70">
        <f>SUM(AE698:AE721)</f>
        <v>4074.3999999999996</v>
      </c>
      <c r="AF722" s="70"/>
      <c r="AG722" s="71">
        <f>ABS(SUM(AG698:AG721))</f>
        <v>2361.3999999999996</v>
      </c>
      <c r="AH722" s="70"/>
      <c r="AI722" s="72">
        <f>ABS(SUM(AI698:AI721))</f>
        <v>1713</v>
      </c>
      <c r="AJ722" s="70"/>
      <c r="AK722" s="71">
        <f>ABS(SUM(AK698:AK721))</f>
        <v>2017.8000000000002</v>
      </c>
      <c r="AL722" s="70"/>
      <c r="AM722" s="72">
        <f>ABS(SUM(AM698:AM721))</f>
        <v>2056.6</v>
      </c>
      <c r="AN722" s="70"/>
      <c r="AO722" s="71">
        <f>ABS(SUM(AO698:AO721))</f>
        <v>2051.3000000000002</v>
      </c>
      <c r="AP722" s="70"/>
      <c r="AQ722" s="72">
        <f>ABS(SUM(AQ698:AQ721))</f>
        <v>2023.1000000000001</v>
      </c>
      <c r="AR722" s="70"/>
      <c r="AS722" s="71">
        <f>ABS(SUM(AS698:AS721))</f>
        <v>1631.2</v>
      </c>
      <c r="AT722" s="70"/>
      <c r="AU722" s="72">
        <f>ABS(SUM(AU698:AU721))</f>
        <v>2443.1999999999998</v>
      </c>
      <c r="AV722" s="70"/>
      <c r="AW722" s="71">
        <f>ABS(SUM(AW698:AW721))</f>
        <v>1361.9</v>
      </c>
      <c r="AX722" s="70"/>
      <c r="AY722" s="72">
        <f>ABS(SUM(AY698:AY721))</f>
        <v>1355.2</v>
      </c>
      <c r="AZ722" s="70"/>
      <c r="BA722" s="71">
        <f>ABS(SUM(BA698:BA721))</f>
        <v>2044.4999999999998</v>
      </c>
      <c r="BB722" s="70"/>
      <c r="BC722" s="72">
        <f>ABS(SUM(BC698:BC721))</f>
        <v>2029.9000000000003</v>
      </c>
    </row>
    <row r="724" spans="29:55" ht="15" thickBot="1">
      <c r="AD724" s="476">
        <f>skemA1!B29</f>
        <v>44733</v>
      </c>
    </row>
    <row r="725" spans="29:55" ht="15" thickBot="1">
      <c r="AD725" s="677" t="s">
        <v>75</v>
      </c>
      <c r="AE725" s="60" t="s">
        <v>558</v>
      </c>
      <c r="AF725" s="672" t="s">
        <v>559</v>
      </c>
      <c r="AG725" s="672"/>
      <c r="AH725" s="672"/>
      <c r="AI725" s="673"/>
      <c r="AJ725" s="672" t="s">
        <v>562</v>
      </c>
      <c r="AK725" s="672"/>
      <c r="AL725" s="672"/>
      <c r="AM725" s="673"/>
      <c r="AN725" s="672" t="s">
        <v>563</v>
      </c>
      <c r="AO725" s="672"/>
      <c r="AP725" s="672"/>
      <c r="AQ725" s="673"/>
      <c r="AR725" s="672" t="s">
        <v>564</v>
      </c>
      <c r="AS725" s="672"/>
      <c r="AT725" s="672"/>
      <c r="AU725" s="673"/>
      <c r="AV725" s="672" t="s">
        <v>565</v>
      </c>
      <c r="AW725" s="672"/>
      <c r="AX725" s="672"/>
      <c r="AY725" s="673"/>
      <c r="AZ725" s="672" t="s">
        <v>566</v>
      </c>
      <c r="BA725" s="672"/>
      <c r="BB725" s="672"/>
      <c r="BC725" s="673"/>
    </row>
    <row r="726" spans="29:55" ht="15" thickBot="1">
      <c r="AD726" s="677"/>
      <c r="AE726" s="61"/>
      <c r="AF726" s="674" t="s">
        <v>561</v>
      </c>
      <c r="AG726" s="670" t="s">
        <v>560</v>
      </c>
      <c r="AH726" s="670"/>
      <c r="AI726" s="671"/>
      <c r="AJ726" s="674" t="s">
        <v>561</v>
      </c>
      <c r="AK726" s="670" t="s">
        <v>560</v>
      </c>
      <c r="AL726" s="670"/>
      <c r="AM726" s="671"/>
      <c r="AN726" s="674" t="s">
        <v>561</v>
      </c>
      <c r="AO726" s="670" t="s">
        <v>560</v>
      </c>
      <c r="AP726" s="670"/>
      <c r="AQ726" s="671"/>
      <c r="AR726" s="674" t="s">
        <v>561</v>
      </c>
      <c r="AS726" s="670" t="s">
        <v>560</v>
      </c>
      <c r="AT726" s="670"/>
      <c r="AU726" s="671"/>
      <c r="AV726" s="674" t="s">
        <v>561</v>
      </c>
      <c r="AW726" s="670" t="s">
        <v>560</v>
      </c>
      <c r="AX726" s="670"/>
      <c r="AY726" s="671"/>
      <c r="AZ726" s="674" t="s">
        <v>561</v>
      </c>
      <c r="BA726" s="670" t="s">
        <v>560</v>
      </c>
      <c r="BB726" s="670"/>
      <c r="BC726" s="671"/>
    </row>
    <row r="727" spans="29:55">
      <c r="AD727" s="677"/>
      <c r="AE727" s="62"/>
      <c r="AF727" s="674"/>
      <c r="AG727" s="63" t="s">
        <v>76</v>
      </c>
      <c r="AH727" s="63">
        <v>0</v>
      </c>
      <c r="AI727" s="64" t="s">
        <v>77</v>
      </c>
      <c r="AJ727" s="674"/>
      <c r="AK727" s="63" t="s">
        <v>76</v>
      </c>
      <c r="AL727" s="63">
        <v>0</v>
      </c>
      <c r="AM727" s="64" t="s">
        <v>77</v>
      </c>
      <c r="AN727" s="674"/>
      <c r="AO727" s="63" t="s">
        <v>76</v>
      </c>
      <c r="AP727" s="63">
        <v>0</v>
      </c>
      <c r="AQ727" s="64" t="s">
        <v>77</v>
      </c>
      <c r="AR727" s="674"/>
      <c r="AS727" s="63" t="s">
        <v>76</v>
      </c>
      <c r="AT727" s="63">
        <v>0</v>
      </c>
      <c r="AU727" s="64" t="s">
        <v>77</v>
      </c>
      <c r="AV727" s="674"/>
      <c r="AW727" s="63" t="s">
        <v>76</v>
      </c>
      <c r="AX727" s="63">
        <v>0</v>
      </c>
      <c r="AY727" s="64" t="s">
        <v>77</v>
      </c>
      <c r="AZ727" s="674"/>
      <c r="BA727" s="63" t="s">
        <v>76</v>
      </c>
      <c r="BB727" s="63">
        <v>0</v>
      </c>
      <c r="BC727" s="64" t="s">
        <v>77</v>
      </c>
    </row>
    <row r="728" spans="29:55">
      <c r="AD728" s="65" t="str">
        <f t="array" ref="AD728:AD751">TRANSPOSE($C$5:$Z$5)</f>
        <v>00</v>
      </c>
      <c r="AE728" s="66">
        <f t="array" ref="AE728:AE751">TRANSPOSE(skemA1!$C$29:$Z$29)</f>
        <v>134.9</v>
      </c>
      <c r="AF728" s="66">
        <f t="array" ref="AF728:AF751">TRANSPOSE($C$6:$Z$6)</f>
        <v>-1</v>
      </c>
      <c r="AG728" s="66" t="str">
        <f>IF(AF728&gt;0,AF728*$AE728,"")</f>
        <v/>
      </c>
      <c r="AH728" s="66" t="str">
        <f>IF(AF728=0,AF728*$AE728,"")</f>
        <v/>
      </c>
      <c r="AI728" s="67">
        <f>IF(AF728&lt;0,AF728*$AE728,"")</f>
        <v>-134.9</v>
      </c>
      <c r="AJ728" s="66">
        <f t="array" ref="AJ728:AJ751">TRANSPOSE($C$7:$Z$7)</f>
        <v>-1</v>
      </c>
      <c r="AK728" s="66" t="str">
        <f>IF(AJ728&gt;0,AJ728*$AE728,"")</f>
        <v/>
      </c>
      <c r="AL728" s="66" t="str">
        <f>IF(AJ728=0,AJ728*$AE728,"")</f>
        <v/>
      </c>
      <c r="AM728" s="67">
        <f>IF(AJ728&lt;0,AJ728*$AE728,"")</f>
        <v>-134.9</v>
      </c>
      <c r="AN728" s="66">
        <f t="array" ref="AN728:AN751">TRANSPOSE($C$8:$Z$8)</f>
        <v>1</v>
      </c>
      <c r="AO728" s="66">
        <f>IF(AN728&gt;0,AN728*$AE728,"")</f>
        <v>134.9</v>
      </c>
      <c r="AP728" s="66" t="str">
        <f>IF(AN728=0,AN728*$AE728,"")</f>
        <v/>
      </c>
      <c r="AQ728" s="67" t="str">
        <f>IF(AN728&lt;0,AN728*$AE728,"")</f>
        <v/>
      </c>
      <c r="AR728" s="66">
        <f t="array" ref="AR728:AR751">TRANSPOSE($C$9:$Z$9)</f>
        <v>1</v>
      </c>
      <c r="AS728" s="66">
        <f>IF(AR728&gt;0,AR728*$AE728,"")</f>
        <v>134.9</v>
      </c>
      <c r="AT728" s="66" t="str">
        <f>IF(AR728=0,AR728*$AE728,"")</f>
        <v/>
      </c>
      <c r="AU728" s="67" t="str">
        <f>IF(AR728&lt;0,AR728*$AE728,"")</f>
        <v/>
      </c>
      <c r="AV728" s="66">
        <f t="array" ref="AV728:AV751">TRANSPOSE($C$10:$Z$10)</f>
        <v>1</v>
      </c>
      <c r="AW728" s="66">
        <f t="shared" ref="AW728:AW751" si="432">IF(AV728&gt;0,AV728*$AE728,"")</f>
        <v>134.9</v>
      </c>
      <c r="AX728" s="66" t="str">
        <f t="shared" ref="AX728:AX751" si="433">IF(AV728=0,AV728*$AE728,"")</f>
        <v/>
      </c>
      <c r="AY728" s="67" t="str">
        <f t="shared" ref="AY728:AY751" si="434">IF(AV728&lt;0,AV728*$AE728,"")</f>
        <v/>
      </c>
      <c r="AZ728" s="66">
        <f t="array" ref="AZ728:AZ751">TRANSPOSE($C$11:$Z$11)</f>
        <v>1</v>
      </c>
      <c r="BA728" s="66">
        <f t="shared" ref="BA728:BA751" si="435">IF(AZ728&gt;0,AZ728*$AE728,"")</f>
        <v>134.9</v>
      </c>
      <c r="BB728" s="66" t="str">
        <f t="shared" ref="BB728:BB751" si="436">IF(AZ728=0,AZ728*$AE728,"")</f>
        <v/>
      </c>
      <c r="BC728" s="67" t="str">
        <f t="shared" ref="BC728:BC751" si="437">IF(AZ728&lt;0,AZ728*$AE728,"")</f>
        <v/>
      </c>
    </row>
    <row r="729" spans="29:55">
      <c r="AD729" s="68" t="str">
        <v>01</v>
      </c>
      <c r="AE729" s="61">
        <v>121.9</v>
      </c>
      <c r="AF729" s="61">
        <v>-1</v>
      </c>
      <c r="AG729" s="66" t="str">
        <f t="shared" ref="AG729:AG751" si="438">IF(AF729&gt;0,AF729*$AE729,"")</f>
        <v/>
      </c>
      <c r="AH729" s="66" t="str">
        <f t="shared" ref="AH729:AH751" si="439">IF(AF729=0,AF729*$AE729,"")</f>
        <v/>
      </c>
      <c r="AI729" s="67">
        <f t="shared" ref="AI729:AI751" si="440">IF(AF729&lt;0,AF729*$AE729,"")</f>
        <v>-121.9</v>
      </c>
      <c r="AJ729" s="61">
        <v>-1</v>
      </c>
      <c r="AK729" s="66" t="str">
        <f t="shared" ref="AK729:AK751" si="441">IF(AJ729&gt;0,AJ729*$AE729,"")</f>
        <v/>
      </c>
      <c r="AL729" s="66" t="str">
        <f t="shared" ref="AL729:AL751" si="442">IF(AJ729=0,AJ729*$AE729,"")</f>
        <v/>
      </c>
      <c r="AM729" s="67">
        <f t="shared" ref="AM729:AM751" si="443">IF(AJ729&lt;0,AJ729*$AE729,"")</f>
        <v>-121.9</v>
      </c>
      <c r="AN729" s="61">
        <v>1</v>
      </c>
      <c r="AO729" s="66">
        <f t="shared" ref="AO729:AO751" si="444">IF(AN729&gt;0,AN729*$AE729,"")</f>
        <v>121.9</v>
      </c>
      <c r="AP729" s="66" t="str">
        <f t="shared" ref="AP729:AP751" si="445">IF(AN729=0,AN729*$AE729,"")</f>
        <v/>
      </c>
      <c r="AQ729" s="67" t="str">
        <f t="shared" ref="AQ729:AQ751" si="446">IF(AN729&lt;0,AN729*$AE729,"")</f>
        <v/>
      </c>
      <c r="AR729" s="61">
        <v>1</v>
      </c>
      <c r="AS729" s="66">
        <f t="shared" ref="AS729:AS751" si="447">IF(AR729&gt;0,AR729*$AE729,"")</f>
        <v>121.9</v>
      </c>
      <c r="AT729" s="66" t="str">
        <f t="shared" ref="AT729:AT751" si="448">IF(AR729=0,AR729*$AE729,"")</f>
        <v/>
      </c>
      <c r="AU729" s="67" t="str">
        <f t="shared" ref="AU729:AU751" si="449">IF(AR729&lt;0,AR729*$AE729,"")</f>
        <v/>
      </c>
      <c r="AV729" s="61">
        <v>0</v>
      </c>
      <c r="AW729" s="66" t="str">
        <f t="shared" si="432"/>
        <v/>
      </c>
      <c r="AX729" s="66">
        <f t="shared" si="433"/>
        <v>0</v>
      </c>
      <c r="AY729" s="67" t="str">
        <f t="shared" si="434"/>
        <v/>
      </c>
      <c r="AZ729" s="61">
        <v>1</v>
      </c>
      <c r="BA729" s="66">
        <f t="shared" si="435"/>
        <v>121.9</v>
      </c>
      <c r="BB729" s="66" t="str">
        <f t="shared" si="436"/>
        <v/>
      </c>
      <c r="BC729" s="67" t="str">
        <f t="shared" si="437"/>
        <v/>
      </c>
    </row>
    <row r="730" spans="29:55">
      <c r="AD730" s="68" t="str">
        <v>02</v>
      </c>
      <c r="AE730" s="61">
        <v>111.60000000000001</v>
      </c>
      <c r="AF730" s="61">
        <v>-1</v>
      </c>
      <c r="AG730" s="66" t="str">
        <f t="shared" si="438"/>
        <v/>
      </c>
      <c r="AH730" s="66" t="str">
        <f t="shared" si="439"/>
        <v/>
      </c>
      <c r="AI730" s="67">
        <f t="shared" si="440"/>
        <v>-111.60000000000001</v>
      </c>
      <c r="AJ730" s="61">
        <v>-1</v>
      </c>
      <c r="AK730" s="66" t="str">
        <f t="shared" si="441"/>
        <v/>
      </c>
      <c r="AL730" s="66" t="str">
        <f t="shared" si="442"/>
        <v/>
      </c>
      <c r="AM730" s="67">
        <f t="shared" si="443"/>
        <v>-111.60000000000001</v>
      </c>
      <c r="AN730" s="61">
        <v>1</v>
      </c>
      <c r="AO730" s="66">
        <f t="shared" si="444"/>
        <v>111.60000000000001</v>
      </c>
      <c r="AP730" s="66" t="str">
        <f t="shared" si="445"/>
        <v/>
      </c>
      <c r="AQ730" s="67" t="str">
        <f t="shared" si="446"/>
        <v/>
      </c>
      <c r="AR730" s="61">
        <v>1</v>
      </c>
      <c r="AS730" s="66">
        <f t="shared" si="447"/>
        <v>111.60000000000001</v>
      </c>
      <c r="AT730" s="66" t="str">
        <f t="shared" si="448"/>
        <v/>
      </c>
      <c r="AU730" s="67" t="str">
        <f t="shared" si="449"/>
        <v/>
      </c>
      <c r="AV730" s="61">
        <v>-1</v>
      </c>
      <c r="AW730" s="66" t="str">
        <f t="shared" si="432"/>
        <v/>
      </c>
      <c r="AX730" s="66" t="str">
        <f t="shared" si="433"/>
        <v/>
      </c>
      <c r="AY730" s="67">
        <f t="shared" si="434"/>
        <v>-111.60000000000001</v>
      </c>
      <c r="AZ730" s="61">
        <v>1</v>
      </c>
      <c r="BA730" s="66">
        <f t="shared" si="435"/>
        <v>111.60000000000001</v>
      </c>
      <c r="BB730" s="66" t="str">
        <f t="shared" si="436"/>
        <v/>
      </c>
      <c r="BC730" s="67" t="str">
        <f t="shared" si="437"/>
        <v/>
      </c>
    </row>
    <row r="731" spans="29:55">
      <c r="AD731" s="68" t="str">
        <v>03</v>
      </c>
      <c r="AE731" s="61">
        <v>113.9</v>
      </c>
      <c r="AF731" s="61">
        <v>-1</v>
      </c>
      <c r="AG731" s="66" t="str">
        <f t="shared" si="438"/>
        <v/>
      </c>
      <c r="AH731" s="66" t="str">
        <f t="shared" si="439"/>
        <v/>
      </c>
      <c r="AI731" s="67">
        <f t="shared" si="440"/>
        <v>-113.9</v>
      </c>
      <c r="AJ731" s="61">
        <v>-1</v>
      </c>
      <c r="AK731" s="66" t="str">
        <f t="shared" si="441"/>
        <v/>
      </c>
      <c r="AL731" s="66" t="str">
        <f t="shared" si="442"/>
        <v/>
      </c>
      <c r="AM731" s="67">
        <f t="shared" si="443"/>
        <v>-113.9</v>
      </c>
      <c r="AN731" s="61">
        <v>-1</v>
      </c>
      <c r="AO731" s="66" t="str">
        <f t="shared" si="444"/>
        <v/>
      </c>
      <c r="AP731" s="66" t="str">
        <f t="shared" si="445"/>
        <v/>
      </c>
      <c r="AQ731" s="67">
        <f t="shared" si="446"/>
        <v>-113.9</v>
      </c>
      <c r="AR731" s="61">
        <v>1</v>
      </c>
      <c r="AS731" s="66">
        <f t="shared" si="447"/>
        <v>113.9</v>
      </c>
      <c r="AT731" s="66" t="str">
        <f t="shared" si="448"/>
        <v/>
      </c>
      <c r="AU731" s="67" t="str">
        <f t="shared" si="449"/>
        <v/>
      </c>
      <c r="AV731" s="61">
        <v>-1</v>
      </c>
      <c r="AW731" s="66" t="str">
        <f t="shared" si="432"/>
        <v/>
      </c>
      <c r="AX731" s="66" t="str">
        <f t="shared" si="433"/>
        <v/>
      </c>
      <c r="AY731" s="67">
        <f t="shared" si="434"/>
        <v>-113.9</v>
      </c>
      <c r="AZ731" s="61">
        <v>-1</v>
      </c>
      <c r="BA731" s="66" t="str">
        <f t="shared" si="435"/>
        <v/>
      </c>
      <c r="BB731" s="66" t="str">
        <f t="shared" si="436"/>
        <v/>
      </c>
      <c r="BC731" s="67">
        <f t="shared" si="437"/>
        <v>-113.9</v>
      </c>
    </row>
    <row r="732" spans="29:55">
      <c r="AD732" s="68" t="str">
        <v>04</v>
      </c>
      <c r="AE732" s="61">
        <v>122</v>
      </c>
      <c r="AF732" s="61">
        <v>-1</v>
      </c>
      <c r="AG732" s="66" t="str">
        <f t="shared" si="438"/>
        <v/>
      </c>
      <c r="AH732" s="66" t="str">
        <f t="shared" si="439"/>
        <v/>
      </c>
      <c r="AI732" s="67">
        <f t="shared" si="440"/>
        <v>-122</v>
      </c>
      <c r="AJ732" s="61">
        <v>-1</v>
      </c>
      <c r="AK732" s="66" t="str">
        <f t="shared" si="441"/>
        <v/>
      </c>
      <c r="AL732" s="66" t="str">
        <f t="shared" si="442"/>
        <v/>
      </c>
      <c r="AM732" s="67">
        <f t="shared" si="443"/>
        <v>-122</v>
      </c>
      <c r="AN732" s="61">
        <v>-1</v>
      </c>
      <c r="AO732" s="66" t="str">
        <f t="shared" si="444"/>
        <v/>
      </c>
      <c r="AP732" s="66" t="str">
        <f t="shared" si="445"/>
        <v/>
      </c>
      <c r="AQ732" s="67">
        <f t="shared" si="446"/>
        <v>-122</v>
      </c>
      <c r="AR732" s="61">
        <v>1</v>
      </c>
      <c r="AS732" s="66">
        <f t="shared" si="447"/>
        <v>122</v>
      </c>
      <c r="AT732" s="66" t="str">
        <f t="shared" si="448"/>
        <v/>
      </c>
      <c r="AU732" s="67" t="str">
        <f t="shared" si="449"/>
        <v/>
      </c>
      <c r="AV732" s="61">
        <v>0</v>
      </c>
      <c r="AW732" s="66" t="str">
        <f t="shared" si="432"/>
        <v/>
      </c>
      <c r="AX732" s="66">
        <f t="shared" si="433"/>
        <v>0</v>
      </c>
      <c r="AY732" s="67" t="str">
        <f t="shared" si="434"/>
        <v/>
      </c>
      <c r="AZ732" s="61">
        <v>-1</v>
      </c>
      <c r="BA732" s="66" t="str">
        <f t="shared" si="435"/>
        <v/>
      </c>
      <c r="BB732" s="66" t="str">
        <f t="shared" si="436"/>
        <v/>
      </c>
      <c r="BC732" s="67">
        <f t="shared" si="437"/>
        <v>-122</v>
      </c>
    </row>
    <row r="733" spans="29:55">
      <c r="AD733" s="68" t="str">
        <v>05</v>
      </c>
      <c r="AE733" s="61">
        <v>143.5</v>
      </c>
      <c r="AF733" s="61">
        <v>-1</v>
      </c>
      <c r="AG733" s="66" t="str">
        <f t="shared" si="438"/>
        <v/>
      </c>
      <c r="AH733" s="66" t="str">
        <f t="shared" si="439"/>
        <v/>
      </c>
      <c r="AI733" s="67">
        <f t="shared" si="440"/>
        <v>-143.5</v>
      </c>
      <c r="AJ733" s="61">
        <v>-1</v>
      </c>
      <c r="AK733" s="66" t="str">
        <f t="shared" si="441"/>
        <v/>
      </c>
      <c r="AL733" s="66" t="str">
        <f t="shared" si="442"/>
        <v/>
      </c>
      <c r="AM733" s="67">
        <f t="shared" si="443"/>
        <v>-143.5</v>
      </c>
      <c r="AN733" s="61">
        <v>-1</v>
      </c>
      <c r="AO733" s="66" t="str">
        <f t="shared" si="444"/>
        <v/>
      </c>
      <c r="AP733" s="66" t="str">
        <f t="shared" si="445"/>
        <v/>
      </c>
      <c r="AQ733" s="67">
        <f t="shared" si="446"/>
        <v>-143.5</v>
      </c>
      <c r="AR733" s="61">
        <v>1</v>
      </c>
      <c r="AS733" s="66">
        <f t="shared" si="447"/>
        <v>143.5</v>
      </c>
      <c r="AT733" s="66" t="str">
        <f t="shared" si="448"/>
        <v/>
      </c>
      <c r="AU733" s="67" t="str">
        <f t="shared" si="449"/>
        <v/>
      </c>
      <c r="AV733" s="61">
        <v>1</v>
      </c>
      <c r="AW733" s="66">
        <f t="shared" si="432"/>
        <v>143.5</v>
      </c>
      <c r="AX733" s="66" t="str">
        <f t="shared" si="433"/>
        <v/>
      </c>
      <c r="AY733" s="67" t="str">
        <f t="shared" si="434"/>
        <v/>
      </c>
      <c r="AZ733" s="61">
        <v>-1</v>
      </c>
      <c r="BA733" s="66" t="str">
        <f t="shared" si="435"/>
        <v/>
      </c>
      <c r="BB733" s="66" t="str">
        <f t="shared" si="436"/>
        <v/>
      </c>
      <c r="BC733" s="67">
        <f t="shared" si="437"/>
        <v>-143.5</v>
      </c>
    </row>
    <row r="734" spans="29:55">
      <c r="AD734" s="68" t="str">
        <v>06</v>
      </c>
      <c r="AE734" s="61">
        <v>176.8</v>
      </c>
      <c r="AF734" s="61">
        <v>1</v>
      </c>
      <c r="AG734" s="66">
        <f t="shared" si="438"/>
        <v>176.8</v>
      </c>
      <c r="AH734" s="66" t="str">
        <f t="shared" si="439"/>
        <v/>
      </c>
      <c r="AI734" s="67" t="str">
        <f t="shared" si="440"/>
        <v/>
      </c>
      <c r="AJ734" s="61">
        <v>-1</v>
      </c>
      <c r="AK734" s="66" t="str">
        <f t="shared" si="441"/>
        <v/>
      </c>
      <c r="AL734" s="66" t="str">
        <f t="shared" si="442"/>
        <v/>
      </c>
      <c r="AM734" s="67">
        <f t="shared" si="443"/>
        <v>-176.8</v>
      </c>
      <c r="AN734" s="61">
        <v>-1</v>
      </c>
      <c r="AO734" s="66" t="str">
        <f t="shared" si="444"/>
        <v/>
      </c>
      <c r="AP734" s="66" t="str">
        <f t="shared" si="445"/>
        <v/>
      </c>
      <c r="AQ734" s="67">
        <f t="shared" si="446"/>
        <v>-176.8</v>
      </c>
      <c r="AR734" s="61">
        <v>-1</v>
      </c>
      <c r="AS734" s="66" t="str">
        <f t="shared" si="447"/>
        <v/>
      </c>
      <c r="AT734" s="66" t="str">
        <f t="shared" si="448"/>
        <v/>
      </c>
      <c r="AU734" s="67">
        <f t="shared" si="449"/>
        <v>-176.8</v>
      </c>
      <c r="AV734" s="61">
        <v>1</v>
      </c>
      <c r="AW734" s="66">
        <f t="shared" si="432"/>
        <v>176.8</v>
      </c>
      <c r="AX734" s="66" t="str">
        <f t="shared" si="433"/>
        <v/>
      </c>
      <c r="AY734" s="67" t="str">
        <f t="shared" si="434"/>
        <v/>
      </c>
      <c r="AZ734" s="61">
        <v>1</v>
      </c>
      <c r="BA734" s="66">
        <f t="shared" si="435"/>
        <v>176.8</v>
      </c>
      <c r="BB734" s="66" t="str">
        <f t="shared" si="436"/>
        <v/>
      </c>
      <c r="BC734" s="67" t="str">
        <f t="shared" si="437"/>
        <v/>
      </c>
    </row>
    <row r="735" spans="29:55">
      <c r="AD735" s="68" t="str">
        <v>07</v>
      </c>
      <c r="AE735" s="61">
        <v>208.8</v>
      </c>
      <c r="AF735" s="61">
        <v>1</v>
      </c>
      <c r="AG735" s="66">
        <f t="shared" si="438"/>
        <v>208.8</v>
      </c>
      <c r="AH735" s="66" t="str">
        <f t="shared" si="439"/>
        <v/>
      </c>
      <c r="AI735" s="67" t="str">
        <f t="shared" si="440"/>
        <v/>
      </c>
      <c r="AJ735" s="61">
        <v>-1</v>
      </c>
      <c r="AK735" s="66" t="str">
        <f t="shared" si="441"/>
        <v/>
      </c>
      <c r="AL735" s="66" t="str">
        <f t="shared" si="442"/>
        <v/>
      </c>
      <c r="AM735" s="67">
        <f t="shared" si="443"/>
        <v>-208.8</v>
      </c>
      <c r="AN735" s="61">
        <v>-1</v>
      </c>
      <c r="AO735" s="66" t="str">
        <f t="shared" si="444"/>
        <v/>
      </c>
      <c r="AP735" s="66" t="str">
        <f t="shared" si="445"/>
        <v/>
      </c>
      <c r="AQ735" s="67">
        <f t="shared" si="446"/>
        <v>-208.8</v>
      </c>
      <c r="AR735" s="61">
        <v>-1</v>
      </c>
      <c r="AS735" s="66" t="str">
        <f t="shared" si="447"/>
        <v/>
      </c>
      <c r="AT735" s="66" t="str">
        <f t="shared" si="448"/>
        <v/>
      </c>
      <c r="AU735" s="67">
        <f t="shared" si="449"/>
        <v>-208.8</v>
      </c>
      <c r="AV735" s="61">
        <v>0</v>
      </c>
      <c r="AW735" s="66" t="str">
        <f t="shared" si="432"/>
        <v/>
      </c>
      <c r="AX735" s="66">
        <f t="shared" si="433"/>
        <v>0</v>
      </c>
      <c r="AY735" s="67" t="str">
        <f t="shared" si="434"/>
        <v/>
      </c>
      <c r="AZ735" s="61">
        <v>1</v>
      </c>
      <c r="BA735" s="66">
        <f t="shared" si="435"/>
        <v>208.8</v>
      </c>
      <c r="BB735" s="66" t="str">
        <f t="shared" si="436"/>
        <v/>
      </c>
      <c r="BC735" s="67" t="str">
        <f t="shared" si="437"/>
        <v/>
      </c>
    </row>
    <row r="736" spans="29:55">
      <c r="AD736" s="68" t="str">
        <v>08</v>
      </c>
      <c r="AE736" s="61">
        <v>230.29999999999998</v>
      </c>
      <c r="AF736" s="61">
        <v>1</v>
      </c>
      <c r="AG736" s="66">
        <f t="shared" si="438"/>
        <v>230.29999999999998</v>
      </c>
      <c r="AH736" s="66" t="str">
        <f t="shared" si="439"/>
        <v/>
      </c>
      <c r="AI736" s="67" t="str">
        <f t="shared" si="440"/>
        <v/>
      </c>
      <c r="AJ736" s="61">
        <v>-1</v>
      </c>
      <c r="AK736" s="66" t="str">
        <f t="shared" si="441"/>
        <v/>
      </c>
      <c r="AL736" s="66" t="str">
        <f t="shared" si="442"/>
        <v/>
      </c>
      <c r="AM736" s="67">
        <f t="shared" si="443"/>
        <v>-230.29999999999998</v>
      </c>
      <c r="AN736" s="61">
        <v>-1</v>
      </c>
      <c r="AO736" s="66" t="str">
        <f t="shared" si="444"/>
        <v/>
      </c>
      <c r="AP736" s="66" t="str">
        <f t="shared" si="445"/>
        <v/>
      </c>
      <c r="AQ736" s="67">
        <f t="shared" si="446"/>
        <v>-230.29999999999998</v>
      </c>
      <c r="AR736" s="61">
        <v>-1</v>
      </c>
      <c r="AS736" s="66" t="str">
        <f t="shared" si="447"/>
        <v/>
      </c>
      <c r="AT736" s="66" t="str">
        <f t="shared" si="448"/>
        <v/>
      </c>
      <c r="AU736" s="67">
        <f t="shared" si="449"/>
        <v>-230.29999999999998</v>
      </c>
      <c r="AV736" s="61">
        <v>-1</v>
      </c>
      <c r="AW736" s="66" t="str">
        <f t="shared" si="432"/>
        <v/>
      </c>
      <c r="AX736" s="66" t="str">
        <f t="shared" si="433"/>
        <v/>
      </c>
      <c r="AY736" s="67">
        <f t="shared" si="434"/>
        <v>-230.29999999999998</v>
      </c>
      <c r="AZ736" s="61">
        <v>1</v>
      </c>
      <c r="BA736" s="66">
        <f t="shared" si="435"/>
        <v>230.29999999999998</v>
      </c>
      <c r="BB736" s="66" t="str">
        <f t="shared" si="436"/>
        <v/>
      </c>
      <c r="BC736" s="67" t="str">
        <f t="shared" si="437"/>
        <v/>
      </c>
    </row>
    <row r="737" spans="29:55">
      <c r="AD737" s="68" t="str">
        <v>09</v>
      </c>
      <c r="AE737" s="61">
        <v>237.9</v>
      </c>
      <c r="AF737" s="61">
        <v>1</v>
      </c>
      <c r="AG737" s="66">
        <f t="shared" si="438"/>
        <v>237.9</v>
      </c>
      <c r="AH737" s="66" t="str">
        <f t="shared" si="439"/>
        <v/>
      </c>
      <c r="AI737" s="67" t="str">
        <f t="shared" si="440"/>
        <v/>
      </c>
      <c r="AJ737" s="61">
        <v>-1</v>
      </c>
      <c r="AK737" s="66" t="str">
        <f t="shared" si="441"/>
        <v/>
      </c>
      <c r="AL737" s="66" t="str">
        <f t="shared" si="442"/>
        <v/>
      </c>
      <c r="AM737" s="67">
        <f t="shared" si="443"/>
        <v>-237.9</v>
      </c>
      <c r="AN737" s="61">
        <v>1</v>
      </c>
      <c r="AO737" s="66">
        <f t="shared" si="444"/>
        <v>237.9</v>
      </c>
      <c r="AP737" s="66" t="str">
        <f t="shared" si="445"/>
        <v/>
      </c>
      <c r="AQ737" s="67" t="str">
        <f t="shared" si="446"/>
        <v/>
      </c>
      <c r="AR737" s="61">
        <v>-1</v>
      </c>
      <c r="AS737" s="66" t="str">
        <f t="shared" si="447"/>
        <v/>
      </c>
      <c r="AT737" s="66" t="str">
        <f t="shared" si="448"/>
        <v/>
      </c>
      <c r="AU737" s="67">
        <f t="shared" si="449"/>
        <v>-237.9</v>
      </c>
      <c r="AV737" s="61">
        <v>-1</v>
      </c>
      <c r="AW737" s="66" t="str">
        <f t="shared" si="432"/>
        <v/>
      </c>
      <c r="AX737" s="66" t="str">
        <f t="shared" si="433"/>
        <v/>
      </c>
      <c r="AY737" s="67">
        <f t="shared" si="434"/>
        <v>-237.9</v>
      </c>
      <c r="AZ737" s="61">
        <v>-1</v>
      </c>
      <c r="BA737" s="66" t="str">
        <f t="shared" si="435"/>
        <v/>
      </c>
      <c r="BB737" s="66" t="str">
        <f t="shared" si="436"/>
        <v/>
      </c>
      <c r="BC737" s="67">
        <f t="shared" si="437"/>
        <v>-237.9</v>
      </c>
    </row>
    <row r="738" spans="29:55">
      <c r="AD738" s="68" t="str">
        <v>10</v>
      </c>
      <c r="AE738" s="61">
        <v>233.8</v>
      </c>
      <c r="AF738" s="61">
        <v>1</v>
      </c>
      <c r="AG738" s="66">
        <f t="shared" si="438"/>
        <v>233.8</v>
      </c>
      <c r="AH738" s="66" t="str">
        <f t="shared" si="439"/>
        <v/>
      </c>
      <c r="AI738" s="67" t="str">
        <f t="shared" si="440"/>
        <v/>
      </c>
      <c r="AJ738" s="61">
        <v>-1</v>
      </c>
      <c r="AK738" s="66" t="str">
        <f t="shared" si="441"/>
        <v/>
      </c>
      <c r="AL738" s="66" t="str">
        <f t="shared" si="442"/>
        <v/>
      </c>
      <c r="AM738" s="67">
        <f t="shared" si="443"/>
        <v>-233.8</v>
      </c>
      <c r="AN738" s="61">
        <v>1</v>
      </c>
      <c r="AO738" s="66">
        <f t="shared" si="444"/>
        <v>233.8</v>
      </c>
      <c r="AP738" s="66" t="str">
        <f t="shared" si="445"/>
        <v/>
      </c>
      <c r="AQ738" s="67" t="str">
        <f t="shared" si="446"/>
        <v/>
      </c>
      <c r="AR738" s="61">
        <v>-1</v>
      </c>
      <c r="AS738" s="66" t="str">
        <f t="shared" si="447"/>
        <v/>
      </c>
      <c r="AT738" s="66" t="str">
        <f t="shared" si="448"/>
        <v/>
      </c>
      <c r="AU738" s="67">
        <f t="shared" si="449"/>
        <v>-233.8</v>
      </c>
      <c r="AV738" s="61">
        <v>0</v>
      </c>
      <c r="AW738" s="66" t="str">
        <f t="shared" si="432"/>
        <v/>
      </c>
      <c r="AX738" s="66">
        <f t="shared" si="433"/>
        <v>0</v>
      </c>
      <c r="AY738" s="67" t="str">
        <f t="shared" si="434"/>
        <v/>
      </c>
      <c r="AZ738" s="61">
        <v>-1</v>
      </c>
      <c r="BA738" s="66" t="str">
        <f t="shared" si="435"/>
        <v/>
      </c>
      <c r="BB738" s="66" t="str">
        <f t="shared" si="436"/>
        <v/>
      </c>
      <c r="BC738" s="67">
        <f t="shared" si="437"/>
        <v>-233.8</v>
      </c>
    </row>
    <row r="739" spans="29:55">
      <c r="AD739" s="68" t="str">
        <v>11</v>
      </c>
      <c r="AE739" s="61">
        <v>222.10000000000002</v>
      </c>
      <c r="AF739" s="61">
        <v>1</v>
      </c>
      <c r="AG739" s="66">
        <f t="shared" si="438"/>
        <v>222.10000000000002</v>
      </c>
      <c r="AH739" s="66" t="str">
        <f t="shared" si="439"/>
        <v/>
      </c>
      <c r="AI739" s="67" t="str">
        <f t="shared" si="440"/>
        <v/>
      </c>
      <c r="AJ739" s="61">
        <v>-1</v>
      </c>
      <c r="AK739" s="66" t="str">
        <f t="shared" si="441"/>
        <v/>
      </c>
      <c r="AL739" s="66" t="str">
        <f t="shared" si="442"/>
        <v/>
      </c>
      <c r="AM739" s="67">
        <f t="shared" si="443"/>
        <v>-222.10000000000002</v>
      </c>
      <c r="AN739" s="61">
        <v>1</v>
      </c>
      <c r="AO739" s="66">
        <f t="shared" si="444"/>
        <v>222.10000000000002</v>
      </c>
      <c r="AP739" s="66" t="str">
        <f t="shared" si="445"/>
        <v/>
      </c>
      <c r="AQ739" s="67" t="str">
        <f t="shared" si="446"/>
        <v/>
      </c>
      <c r="AR739" s="61">
        <v>-1</v>
      </c>
      <c r="AS739" s="66" t="str">
        <f t="shared" si="447"/>
        <v/>
      </c>
      <c r="AT739" s="66" t="str">
        <f t="shared" si="448"/>
        <v/>
      </c>
      <c r="AU739" s="67">
        <f t="shared" si="449"/>
        <v>-222.10000000000002</v>
      </c>
      <c r="AV739" s="61">
        <v>1</v>
      </c>
      <c r="AW739" s="66">
        <f t="shared" si="432"/>
        <v>222.10000000000002</v>
      </c>
      <c r="AX739" s="66" t="str">
        <f t="shared" si="433"/>
        <v/>
      </c>
      <c r="AY739" s="67" t="str">
        <f t="shared" si="434"/>
        <v/>
      </c>
      <c r="AZ739" s="61">
        <v>-1</v>
      </c>
      <c r="BA739" s="66" t="str">
        <f t="shared" si="435"/>
        <v/>
      </c>
      <c r="BB739" s="66" t="str">
        <f t="shared" si="436"/>
        <v/>
      </c>
      <c r="BC739" s="67">
        <f t="shared" si="437"/>
        <v>-222.10000000000002</v>
      </c>
    </row>
    <row r="740" spans="29:55">
      <c r="AD740" s="68" t="str">
        <v>12</v>
      </c>
      <c r="AE740" s="61">
        <v>204.2</v>
      </c>
      <c r="AF740" s="61">
        <v>1</v>
      </c>
      <c r="AG740" s="66">
        <f t="shared" si="438"/>
        <v>204.2</v>
      </c>
      <c r="AH740" s="66" t="str">
        <f t="shared" si="439"/>
        <v/>
      </c>
      <c r="AI740" s="67" t="str">
        <f t="shared" si="440"/>
        <v/>
      </c>
      <c r="AJ740" s="61">
        <v>1</v>
      </c>
      <c r="AK740" s="66">
        <f t="shared" si="441"/>
        <v>204.2</v>
      </c>
      <c r="AL740" s="66" t="str">
        <f t="shared" si="442"/>
        <v/>
      </c>
      <c r="AM740" s="67" t="str">
        <f t="shared" si="443"/>
        <v/>
      </c>
      <c r="AN740" s="61">
        <v>1</v>
      </c>
      <c r="AO740" s="66">
        <f t="shared" si="444"/>
        <v>204.2</v>
      </c>
      <c r="AP740" s="66" t="str">
        <f t="shared" si="445"/>
        <v/>
      </c>
      <c r="AQ740" s="67" t="str">
        <f t="shared" si="446"/>
        <v/>
      </c>
      <c r="AR740" s="61">
        <v>1</v>
      </c>
      <c r="AS740" s="66">
        <f t="shared" si="447"/>
        <v>204.2</v>
      </c>
      <c r="AT740" s="66" t="str">
        <f t="shared" si="448"/>
        <v/>
      </c>
      <c r="AU740" s="67" t="str">
        <f t="shared" si="449"/>
        <v/>
      </c>
      <c r="AV740" s="61">
        <v>1</v>
      </c>
      <c r="AW740" s="66">
        <f t="shared" si="432"/>
        <v>204.2</v>
      </c>
      <c r="AX740" s="66" t="str">
        <f t="shared" si="433"/>
        <v/>
      </c>
      <c r="AY740" s="67" t="str">
        <f t="shared" si="434"/>
        <v/>
      </c>
      <c r="AZ740" s="61">
        <v>1</v>
      </c>
      <c r="BA740" s="66">
        <f t="shared" si="435"/>
        <v>204.2</v>
      </c>
      <c r="BB740" s="66" t="str">
        <f t="shared" si="436"/>
        <v/>
      </c>
      <c r="BC740" s="67" t="str">
        <f t="shared" si="437"/>
        <v/>
      </c>
    </row>
    <row r="741" spans="29:55">
      <c r="AD741" s="68" t="str">
        <v>13</v>
      </c>
      <c r="AE741" s="61">
        <v>184.9</v>
      </c>
      <c r="AF741" s="61">
        <v>1</v>
      </c>
      <c r="AG741" s="66">
        <f t="shared" si="438"/>
        <v>184.9</v>
      </c>
      <c r="AH741" s="66" t="str">
        <f t="shared" si="439"/>
        <v/>
      </c>
      <c r="AI741" s="67" t="str">
        <f t="shared" si="440"/>
        <v/>
      </c>
      <c r="AJ741" s="61">
        <v>1</v>
      </c>
      <c r="AK741" s="66">
        <f t="shared" si="441"/>
        <v>184.9</v>
      </c>
      <c r="AL741" s="66" t="str">
        <f t="shared" si="442"/>
        <v/>
      </c>
      <c r="AM741" s="67" t="str">
        <f t="shared" si="443"/>
        <v/>
      </c>
      <c r="AN741" s="61">
        <v>1</v>
      </c>
      <c r="AO741" s="66">
        <f t="shared" si="444"/>
        <v>184.9</v>
      </c>
      <c r="AP741" s="66" t="str">
        <f t="shared" si="445"/>
        <v/>
      </c>
      <c r="AQ741" s="67" t="str">
        <f t="shared" si="446"/>
        <v/>
      </c>
      <c r="AR741" s="61">
        <v>1</v>
      </c>
      <c r="AS741" s="66">
        <f t="shared" si="447"/>
        <v>184.9</v>
      </c>
      <c r="AT741" s="66" t="str">
        <f t="shared" si="448"/>
        <v/>
      </c>
      <c r="AU741" s="67" t="str">
        <f t="shared" si="449"/>
        <v/>
      </c>
      <c r="AV741" s="61">
        <v>0</v>
      </c>
      <c r="AW741" s="66" t="str">
        <f t="shared" si="432"/>
        <v/>
      </c>
      <c r="AX741" s="66">
        <f t="shared" si="433"/>
        <v>0</v>
      </c>
      <c r="AY741" s="67" t="str">
        <f t="shared" si="434"/>
        <v/>
      </c>
      <c r="AZ741" s="61">
        <v>1</v>
      </c>
      <c r="BA741" s="66">
        <f t="shared" si="435"/>
        <v>184.9</v>
      </c>
      <c r="BB741" s="66" t="str">
        <f t="shared" si="436"/>
        <v/>
      </c>
      <c r="BC741" s="67" t="str">
        <f t="shared" si="437"/>
        <v/>
      </c>
    </row>
    <row r="742" spans="29:55">
      <c r="AD742" s="68" t="str">
        <v>14</v>
      </c>
      <c r="AE742" s="61">
        <v>161.4</v>
      </c>
      <c r="AF742" s="61">
        <v>1</v>
      </c>
      <c r="AG742" s="66">
        <f t="shared" si="438"/>
        <v>161.4</v>
      </c>
      <c r="AH742" s="66" t="str">
        <f t="shared" si="439"/>
        <v/>
      </c>
      <c r="AI742" s="67" t="str">
        <f t="shared" si="440"/>
        <v/>
      </c>
      <c r="AJ742" s="61">
        <v>1</v>
      </c>
      <c r="AK742" s="66">
        <f t="shared" si="441"/>
        <v>161.4</v>
      </c>
      <c r="AL742" s="66" t="str">
        <f t="shared" si="442"/>
        <v/>
      </c>
      <c r="AM742" s="67" t="str">
        <f t="shared" si="443"/>
        <v/>
      </c>
      <c r="AN742" s="61">
        <v>1</v>
      </c>
      <c r="AO742" s="66">
        <f t="shared" si="444"/>
        <v>161.4</v>
      </c>
      <c r="AP742" s="66" t="str">
        <f t="shared" si="445"/>
        <v/>
      </c>
      <c r="AQ742" s="67" t="str">
        <f t="shared" si="446"/>
        <v/>
      </c>
      <c r="AR742" s="61">
        <v>1</v>
      </c>
      <c r="AS742" s="66">
        <f t="shared" si="447"/>
        <v>161.4</v>
      </c>
      <c r="AT742" s="66" t="str">
        <f t="shared" si="448"/>
        <v/>
      </c>
      <c r="AU742" s="67" t="str">
        <f t="shared" si="449"/>
        <v/>
      </c>
      <c r="AV742" s="61">
        <v>-1</v>
      </c>
      <c r="AW742" s="66" t="str">
        <f t="shared" si="432"/>
        <v/>
      </c>
      <c r="AX742" s="66" t="str">
        <f t="shared" si="433"/>
        <v/>
      </c>
      <c r="AY742" s="67">
        <f t="shared" si="434"/>
        <v>-161.4</v>
      </c>
      <c r="AZ742" s="61">
        <v>1</v>
      </c>
      <c r="BA742" s="66">
        <f t="shared" si="435"/>
        <v>161.4</v>
      </c>
      <c r="BB742" s="66" t="str">
        <f t="shared" si="436"/>
        <v/>
      </c>
      <c r="BC742" s="67" t="str">
        <f t="shared" si="437"/>
        <v/>
      </c>
    </row>
    <row r="743" spans="29:55">
      <c r="AD743" s="68" t="str">
        <v>15</v>
      </c>
      <c r="AE743" s="61">
        <v>142.5</v>
      </c>
      <c r="AF743" s="61">
        <v>1</v>
      </c>
      <c r="AG743" s="66">
        <f t="shared" si="438"/>
        <v>142.5</v>
      </c>
      <c r="AH743" s="66" t="str">
        <f t="shared" si="439"/>
        <v/>
      </c>
      <c r="AI743" s="67" t="str">
        <f t="shared" si="440"/>
        <v/>
      </c>
      <c r="AJ743" s="61">
        <v>1</v>
      </c>
      <c r="AK743" s="66">
        <f t="shared" si="441"/>
        <v>142.5</v>
      </c>
      <c r="AL743" s="66" t="str">
        <f t="shared" si="442"/>
        <v/>
      </c>
      <c r="AM743" s="67" t="str">
        <f t="shared" si="443"/>
        <v/>
      </c>
      <c r="AN743" s="61">
        <v>-1</v>
      </c>
      <c r="AO743" s="66" t="str">
        <f t="shared" si="444"/>
        <v/>
      </c>
      <c r="AP743" s="66" t="str">
        <f t="shared" si="445"/>
        <v/>
      </c>
      <c r="AQ743" s="67">
        <f t="shared" si="446"/>
        <v>-142.5</v>
      </c>
      <c r="AR743" s="61">
        <v>1</v>
      </c>
      <c r="AS743" s="66">
        <f t="shared" si="447"/>
        <v>142.5</v>
      </c>
      <c r="AT743" s="66" t="str">
        <f t="shared" si="448"/>
        <v/>
      </c>
      <c r="AU743" s="67" t="str">
        <f t="shared" si="449"/>
        <v/>
      </c>
      <c r="AV743" s="61">
        <v>-1</v>
      </c>
      <c r="AW743" s="66" t="str">
        <f t="shared" si="432"/>
        <v/>
      </c>
      <c r="AX743" s="66" t="str">
        <f t="shared" si="433"/>
        <v/>
      </c>
      <c r="AY743" s="67">
        <f t="shared" si="434"/>
        <v>-142.5</v>
      </c>
      <c r="AZ743" s="61">
        <v>-1</v>
      </c>
      <c r="BA743" s="66" t="str">
        <f t="shared" si="435"/>
        <v/>
      </c>
      <c r="BB743" s="66" t="str">
        <f t="shared" si="436"/>
        <v/>
      </c>
      <c r="BC743" s="67">
        <f t="shared" si="437"/>
        <v>-142.5</v>
      </c>
    </row>
    <row r="744" spans="29:55">
      <c r="AD744" s="68" t="str">
        <v>16</v>
      </c>
      <c r="AE744" s="61">
        <v>137.9</v>
      </c>
      <c r="AF744" s="61">
        <v>1</v>
      </c>
      <c r="AG744" s="66">
        <f t="shared" si="438"/>
        <v>137.9</v>
      </c>
      <c r="AH744" s="66" t="str">
        <f t="shared" si="439"/>
        <v/>
      </c>
      <c r="AI744" s="67" t="str">
        <f t="shared" si="440"/>
        <v/>
      </c>
      <c r="AJ744" s="61">
        <v>1</v>
      </c>
      <c r="AK744" s="66">
        <f t="shared" si="441"/>
        <v>137.9</v>
      </c>
      <c r="AL744" s="66" t="str">
        <f t="shared" si="442"/>
        <v/>
      </c>
      <c r="AM744" s="67" t="str">
        <f t="shared" si="443"/>
        <v/>
      </c>
      <c r="AN744" s="61">
        <v>-1</v>
      </c>
      <c r="AO744" s="66" t="str">
        <f t="shared" si="444"/>
        <v/>
      </c>
      <c r="AP744" s="66" t="str">
        <f t="shared" si="445"/>
        <v/>
      </c>
      <c r="AQ744" s="67">
        <f t="shared" si="446"/>
        <v>-137.9</v>
      </c>
      <c r="AR744" s="61">
        <v>1</v>
      </c>
      <c r="AS744" s="66">
        <f t="shared" si="447"/>
        <v>137.9</v>
      </c>
      <c r="AT744" s="66" t="str">
        <f t="shared" si="448"/>
        <v/>
      </c>
      <c r="AU744" s="67" t="str">
        <f t="shared" si="449"/>
        <v/>
      </c>
      <c r="AV744" s="61">
        <v>0</v>
      </c>
      <c r="AW744" s="66" t="str">
        <f t="shared" si="432"/>
        <v/>
      </c>
      <c r="AX744" s="66">
        <f t="shared" si="433"/>
        <v>0</v>
      </c>
      <c r="AY744" s="67" t="str">
        <f t="shared" si="434"/>
        <v/>
      </c>
      <c r="AZ744" s="61">
        <v>-1</v>
      </c>
      <c r="BA744" s="66" t="str">
        <f t="shared" si="435"/>
        <v/>
      </c>
      <c r="BB744" s="66" t="str">
        <f t="shared" si="436"/>
        <v/>
      </c>
      <c r="BC744" s="67">
        <f t="shared" si="437"/>
        <v>-137.9</v>
      </c>
    </row>
    <row r="745" spans="29:55">
      <c r="AD745" s="68" t="str">
        <v>17</v>
      </c>
      <c r="AE745" s="61">
        <v>143.1</v>
      </c>
      <c r="AF745" s="61">
        <v>1</v>
      </c>
      <c r="AG745" s="66">
        <f t="shared" si="438"/>
        <v>143.1</v>
      </c>
      <c r="AH745" s="66" t="str">
        <f t="shared" si="439"/>
        <v/>
      </c>
      <c r="AI745" s="67" t="str">
        <f t="shared" si="440"/>
        <v/>
      </c>
      <c r="AJ745" s="61">
        <v>1</v>
      </c>
      <c r="AK745" s="66">
        <f t="shared" si="441"/>
        <v>143.1</v>
      </c>
      <c r="AL745" s="66" t="str">
        <f t="shared" si="442"/>
        <v/>
      </c>
      <c r="AM745" s="67" t="str">
        <f t="shared" si="443"/>
        <v/>
      </c>
      <c r="AN745" s="61">
        <v>-1</v>
      </c>
      <c r="AO745" s="66" t="str">
        <f t="shared" si="444"/>
        <v/>
      </c>
      <c r="AP745" s="66" t="str">
        <f t="shared" si="445"/>
        <v/>
      </c>
      <c r="AQ745" s="67">
        <f t="shared" si="446"/>
        <v>-143.1</v>
      </c>
      <c r="AR745" s="61">
        <v>1</v>
      </c>
      <c r="AS745" s="66">
        <f t="shared" si="447"/>
        <v>143.1</v>
      </c>
      <c r="AT745" s="66" t="str">
        <f t="shared" si="448"/>
        <v/>
      </c>
      <c r="AU745" s="67" t="str">
        <f t="shared" si="449"/>
        <v/>
      </c>
      <c r="AV745" s="61">
        <v>1</v>
      </c>
      <c r="AW745" s="66">
        <f t="shared" si="432"/>
        <v>143.1</v>
      </c>
      <c r="AX745" s="66" t="str">
        <f t="shared" si="433"/>
        <v/>
      </c>
      <c r="AY745" s="67" t="str">
        <f t="shared" si="434"/>
        <v/>
      </c>
      <c r="AZ745" s="61">
        <v>-1</v>
      </c>
      <c r="BA745" s="66" t="str">
        <f t="shared" si="435"/>
        <v/>
      </c>
      <c r="BB745" s="66" t="str">
        <f t="shared" si="436"/>
        <v/>
      </c>
      <c r="BC745" s="67">
        <f t="shared" si="437"/>
        <v>-143.1</v>
      </c>
    </row>
    <row r="746" spans="29:55">
      <c r="AD746" s="68" t="str">
        <v>18</v>
      </c>
      <c r="AE746" s="61">
        <v>152.4</v>
      </c>
      <c r="AF746" s="61">
        <v>-1</v>
      </c>
      <c r="AG746" s="66" t="str">
        <f t="shared" si="438"/>
        <v/>
      </c>
      <c r="AH746" s="66" t="str">
        <f t="shared" si="439"/>
        <v/>
      </c>
      <c r="AI746" s="67">
        <f t="shared" si="440"/>
        <v>-152.4</v>
      </c>
      <c r="AJ746" s="61">
        <v>1</v>
      </c>
      <c r="AK746" s="66">
        <f t="shared" si="441"/>
        <v>152.4</v>
      </c>
      <c r="AL746" s="66" t="str">
        <f t="shared" si="442"/>
        <v/>
      </c>
      <c r="AM746" s="67" t="str">
        <f t="shared" si="443"/>
        <v/>
      </c>
      <c r="AN746" s="61">
        <v>-1</v>
      </c>
      <c r="AO746" s="66" t="str">
        <f t="shared" si="444"/>
        <v/>
      </c>
      <c r="AP746" s="66" t="str">
        <f t="shared" si="445"/>
        <v/>
      </c>
      <c r="AQ746" s="67">
        <f t="shared" si="446"/>
        <v>-152.4</v>
      </c>
      <c r="AR746" s="61">
        <v>-1</v>
      </c>
      <c r="AS746" s="66" t="str">
        <f t="shared" si="447"/>
        <v/>
      </c>
      <c r="AT746" s="66" t="str">
        <f t="shared" si="448"/>
        <v/>
      </c>
      <c r="AU746" s="67">
        <f t="shared" si="449"/>
        <v>-152.4</v>
      </c>
      <c r="AV746" s="61">
        <v>1</v>
      </c>
      <c r="AW746" s="66">
        <f t="shared" si="432"/>
        <v>152.4</v>
      </c>
      <c r="AX746" s="66" t="str">
        <f t="shared" si="433"/>
        <v/>
      </c>
      <c r="AY746" s="67" t="str">
        <f t="shared" si="434"/>
        <v/>
      </c>
      <c r="AZ746" s="61">
        <v>1</v>
      </c>
      <c r="BA746" s="66">
        <f t="shared" si="435"/>
        <v>152.4</v>
      </c>
      <c r="BB746" s="66" t="str">
        <f t="shared" si="436"/>
        <v/>
      </c>
      <c r="BC746" s="67" t="str">
        <f t="shared" si="437"/>
        <v/>
      </c>
    </row>
    <row r="747" spans="29:55">
      <c r="AD747" s="68" t="str">
        <v>19</v>
      </c>
      <c r="AE747" s="61">
        <v>167.6</v>
      </c>
      <c r="AF747" s="61">
        <v>-1</v>
      </c>
      <c r="AG747" s="66" t="str">
        <f t="shared" si="438"/>
        <v/>
      </c>
      <c r="AH747" s="66" t="str">
        <f t="shared" si="439"/>
        <v/>
      </c>
      <c r="AI747" s="67">
        <f t="shared" si="440"/>
        <v>-167.6</v>
      </c>
      <c r="AJ747" s="61">
        <v>1</v>
      </c>
      <c r="AK747" s="66">
        <f t="shared" si="441"/>
        <v>167.6</v>
      </c>
      <c r="AL747" s="66" t="str">
        <f t="shared" si="442"/>
        <v/>
      </c>
      <c r="AM747" s="67" t="str">
        <f t="shared" si="443"/>
        <v/>
      </c>
      <c r="AN747" s="61">
        <v>-1</v>
      </c>
      <c r="AO747" s="66" t="str">
        <f t="shared" si="444"/>
        <v/>
      </c>
      <c r="AP747" s="66" t="str">
        <f t="shared" si="445"/>
        <v/>
      </c>
      <c r="AQ747" s="67">
        <f t="shared" si="446"/>
        <v>-167.6</v>
      </c>
      <c r="AR747" s="61">
        <v>-1</v>
      </c>
      <c r="AS747" s="66" t="str">
        <f t="shared" si="447"/>
        <v/>
      </c>
      <c r="AT747" s="66" t="str">
        <f t="shared" si="448"/>
        <v/>
      </c>
      <c r="AU747" s="67">
        <f t="shared" si="449"/>
        <v>-167.6</v>
      </c>
      <c r="AV747" s="61">
        <v>0</v>
      </c>
      <c r="AW747" s="66" t="str">
        <f t="shared" si="432"/>
        <v/>
      </c>
      <c r="AX747" s="66">
        <f t="shared" si="433"/>
        <v>0</v>
      </c>
      <c r="AY747" s="67" t="str">
        <f t="shared" si="434"/>
        <v/>
      </c>
      <c r="AZ747" s="61">
        <v>1</v>
      </c>
      <c r="BA747" s="66">
        <f t="shared" si="435"/>
        <v>167.6</v>
      </c>
      <c r="BB747" s="66" t="str">
        <f t="shared" si="436"/>
        <v/>
      </c>
      <c r="BC747" s="67" t="str">
        <f t="shared" si="437"/>
        <v/>
      </c>
    </row>
    <row r="748" spans="29:55">
      <c r="AD748" s="68" t="str">
        <v>20</v>
      </c>
      <c r="AE748" s="61">
        <v>178</v>
      </c>
      <c r="AF748" s="61">
        <v>-1</v>
      </c>
      <c r="AG748" s="66" t="str">
        <f t="shared" si="438"/>
        <v/>
      </c>
      <c r="AH748" s="66" t="str">
        <f t="shared" si="439"/>
        <v/>
      </c>
      <c r="AI748" s="67">
        <f t="shared" si="440"/>
        <v>-178</v>
      </c>
      <c r="AJ748" s="61">
        <v>1</v>
      </c>
      <c r="AK748" s="66">
        <f t="shared" si="441"/>
        <v>178</v>
      </c>
      <c r="AL748" s="66" t="str">
        <f t="shared" si="442"/>
        <v/>
      </c>
      <c r="AM748" s="67" t="str">
        <f t="shared" si="443"/>
        <v/>
      </c>
      <c r="AN748" s="61">
        <v>-1</v>
      </c>
      <c r="AO748" s="66" t="str">
        <f t="shared" si="444"/>
        <v/>
      </c>
      <c r="AP748" s="66" t="str">
        <f t="shared" si="445"/>
        <v/>
      </c>
      <c r="AQ748" s="67">
        <f t="shared" si="446"/>
        <v>-178</v>
      </c>
      <c r="AR748" s="61">
        <v>-1</v>
      </c>
      <c r="AS748" s="66" t="str">
        <f t="shared" si="447"/>
        <v/>
      </c>
      <c r="AT748" s="66" t="str">
        <f t="shared" si="448"/>
        <v/>
      </c>
      <c r="AU748" s="67">
        <f t="shared" si="449"/>
        <v>-178</v>
      </c>
      <c r="AV748" s="61">
        <v>-1</v>
      </c>
      <c r="AW748" s="66" t="str">
        <f t="shared" si="432"/>
        <v/>
      </c>
      <c r="AX748" s="66" t="str">
        <f t="shared" si="433"/>
        <v/>
      </c>
      <c r="AY748" s="67">
        <f t="shared" si="434"/>
        <v>-178</v>
      </c>
      <c r="AZ748" s="61">
        <v>1</v>
      </c>
      <c r="BA748" s="66">
        <f t="shared" si="435"/>
        <v>178</v>
      </c>
      <c r="BB748" s="66" t="str">
        <f t="shared" si="436"/>
        <v/>
      </c>
      <c r="BC748" s="67" t="str">
        <f t="shared" si="437"/>
        <v/>
      </c>
    </row>
    <row r="749" spans="29:55">
      <c r="AD749" s="68" t="str">
        <v>21</v>
      </c>
      <c r="AE749" s="61">
        <v>183.1</v>
      </c>
      <c r="AF749" s="61">
        <v>-1</v>
      </c>
      <c r="AG749" s="66" t="str">
        <f t="shared" si="438"/>
        <v/>
      </c>
      <c r="AH749" s="66" t="str">
        <f t="shared" si="439"/>
        <v/>
      </c>
      <c r="AI749" s="67">
        <f t="shared" si="440"/>
        <v>-183.1</v>
      </c>
      <c r="AJ749" s="61">
        <v>1</v>
      </c>
      <c r="AK749" s="66">
        <f t="shared" si="441"/>
        <v>183.1</v>
      </c>
      <c r="AL749" s="66" t="str">
        <f t="shared" si="442"/>
        <v/>
      </c>
      <c r="AM749" s="67" t="str">
        <f t="shared" si="443"/>
        <v/>
      </c>
      <c r="AN749" s="61">
        <v>1</v>
      </c>
      <c r="AO749" s="66">
        <f t="shared" si="444"/>
        <v>183.1</v>
      </c>
      <c r="AP749" s="66" t="str">
        <f t="shared" si="445"/>
        <v/>
      </c>
      <c r="AQ749" s="67" t="str">
        <f t="shared" si="446"/>
        <v/>
      </c>
      <c r="AR749" s="61">
        <v>-1</v>
      </c>
      <c r="AS749" s="66" t="str">
        <f t="shared" si="447"/>
        <v/>
      </c>
      <c r="AT749" s="66" t="str">
        <f t="shared" si="448"/>
        <v/>
      </c>
      <c r="AU749" s="67">
        <f t="shared" si="449"/>
        <v>-183.1</v>
      </c>
      <c r="AV749" s="61">
        <v>-1</v>
      </c>
      <c r="AW749" s="66" t="str">
        <f t="shared" si="432"/>
        <v/>
      </c>
      <c r="AX749" s="66" t="str">
        <f t="shared" si="433"/>
        <v/>
      </c>
      <c r="AY749" s="67">
        <f t="shared" si="434"/>
        <v>-183.1</v>
      </c>
      <c r="AZ749" s="61">
        <v>-1</v>
      </c>
      <c r="BA749" s="66" t="str">
        <f t="shared" si="435"/>
        <v/>
      </c>
      <c r="BB749" s="66" t="str">
        <f t="shared" si="436"/>
        <v/>
      </c>
      <c r="BC749" s="67">
        <f t="shared" si="437"/>
        <v>-183.1</v>
      </c>
    </row>
    <row r="750" spans="29:55">
      <c r="AD750" s="68" t="str">
        <v>22</v>
      </c>
      <c r="AE750" s="61">
        <v>181</v>
      </c>
      <c r="AF750" s="61">
        <v>-1</v>
      </c>
      <c r="AG750" s="66" t="str">
        <f t="shared" si="438"/>
        <v/>
      </c>
      <c r="AH750" s="66" t="str">
        <f t="shared" si="439"/>
        <v/>
      </c>
      <c r="AI750" s="67">
        <f t="shared" si="440"/>
        <v>-181</v>
      </c>
      <c r="AJ750" s="61">
        <v>1</v>
      </c>
      <c r="AK750" s="66">
        <f t="shared" si="441"/>
        <v>181</v>
      </c>
      <c r="AL750" s="66" t="str">
        <f t="shared" si="442"/>
        <v/>
      </c>
      <c r="AM750" s="67" t="str">
        <f t="shared" si="443"/>
        <v/>
      </c>
      <c r="AN750" s="61">
        <v>1</v>
      </c>
      <c r="AO750" s="66">
        <f t="shared" si="444"/>
        <v>181</v>
      </c>
      <c r="AP750" s="66" t="str">
        <f t="shared" si="445"/>
        <v/>
      </c>
      <c r="AQ750" s="67" t="str">
        <f t="shared" si="446"/>
        <v/>
      </c>
      <c r="AR750" s="61">
        <v>-1</v>
      </c>
      <c r="AS750" s="66" t="str">
        <f t="shared" si="447"/>
        <v/>
      </c>
      <c r="AT750" s="66" t="str">
        <f t="shared" si="448"/>
        <v/>
      </c>
      <c r="AU750" s="67">
        <f t="shared" si="449"/>
        <v>-181</v>
      </c>
      <c r="AV750" s="61">
        <v>0</v>
      </c>
      <c r="AW750" s="66" t="str">
        <f t="shared" si="432"/>
        <v/>
      </c>
      <c r="AX750" s="66">
        <f t="shared" si="433"/>
        <v>0</v>
      </c>
      <c r="AY750" s="67" t="str">
        <f t="shared" si="434"/>
        <v/>
      </c>
      <c r="AZ750" s="61">
        <v>-1</v>
      </c>
      <c r="BA750" s="66" t="str">
        <f t="shared" si="435"/>
        <v/>
      </c>
      <c r="BB750" s="66" t="str">
        <f t="shared" si="436"/>
        <v/>
      </c>
      <c r="BC750" s="67">
        <f t="shared" si="437"/>
        <v>-181</v>
      </c>
    </row>
    <row r="751" spans="29:55">
      <c r="AD751" s="68" t="str">
        <v>23</v>
      </c>
      <c r="AE751" s="61">
        <v>167.9</v>
      </c>
      <c r="AF751" s="61">
        <v>-1</v>
      </c>
      <c r="AG751" s="66" t="str">
        <f t="shared" si="438"/>
        <v/>
      </c>
      <c r="AH751" s="66" t="str">
        <f t="shared" si="439"/>
        <v/>
      </c>
      <c r="AI751" s="67">
        <f t="shared" si="440"/>
        <v>-167.9</v>
      </c>
      <c r="AJ751" s="61">
        <v>1</v>
      </c>
      <c r="AK751" s="66">
        <f t="shared" si="441"/>
        <v>167.9</v>
      </c>
      <c r="AL751" s="66" t="str">
        <f t="shared" si="442"/>
        <v/>
      </c>
      <c r="AM751" s="67" t="str">
        <f t="shared" si="443"/>
        <v/>
      </c>
      <c r="AN751" s="61">
        <v>1</v>
      </c>
      <c r="AO751" s="66">
        <f t="shared" si="444"/>
        <v>167.9</v>
      </c>
      <c r="AP751" s="66" t="str">
        <f t="shared" si="445"/>
        <v/>
      </c>
      <c r="AQ751" s="67" t="str">
        <f t="shared" si="446"/>
        <v/>
      </c>
      <c r="AR751" s="61">
        <v>-1</v>
      </c>
      <c r="AS751" s="66" t="str">
        <f t="shared" si="447"/>
        <v/>
      </c>
      <c r="AT751" s="66" t="str">
        <f t="shared" si="448"/>
        <v/>
      </c>
      <c r="AU751" s="67">
        <f t="shared" si="449"/>
        <v>-167.9</v>
      </c>
      <c r="AV751" s="61">
        <v>1</v>
      </c>
      <c r="AW751" s="66">
        <f t="shared" si="432"/>
        <v>167.9</v>
      </c>
      <c r="AX751" s="66" t="str">
        <f t="shared" si="433"/>
        <v/>
      </c>
      <c r="AY751" s="67" t="str">
        <f t="shared" si="434"/>
        <v/>
      </c>
      <c r="AZ751" s="61">
        <v>-1</v>
      </c>
      <c r="BA751" s="66" t="str">
        <f t="shared" si="435"/>
        <v/>
      </c>
      <c r="BB751" s="66" t="str">
        <f t="shared" si="436"/>
        <v/>
      </c>
      <c r="BC751" s="67">
        <f t="shared" si="437"/>
        <v>-167.9</v>
      </c>
    </row>
    <row r="752" spans="29:55" ht="15.75" thickBot="1">
      <c r="AC752" s="476">
        <f>AD724</f>
        <v>44733</v>
      </c>
      <c r="AD752" s="69" t="s">
        <v>85</v>
      </c>
      <c r="AE752" s="70">
        <f>SUM(AE728:AE751)</f>
        <v>4061.5</v>
      </c>
      <c r="AF752" s="70"/>
      <c r="AG752" s="71">
        <f>ABS(SUM(AG728:AG751))</f>
        <v>2283.6999999999998</v>
      </c>
      <c r="AH752" s="70"/>
      <c r="AI752" s="72">
        <f>ABS(SUM(AI728:AI751))</f>
        <v>1777.8</v>
      </c>
      <c r="AJ752" s="70"/>
      <c r="AK752" s="71">
        <f>ABS(SUM(AK728:AK751))</f>
        <v>2004</v>
      </c>
      <c r="AL752" s="70"/>
      <c r="AM752" s="72">
        <f>ABS(SUM(AM728:AM751))</f>
        <v>2057.5</v>
      </c>
      <c r="AN752" s="70"/>
      <c r="AO752" s="71">
        <f>ABS(SUM(AO728:AO751))</f>
        <v>2144.7000000000003</v>
      </c>
      <c r="AP752" s="70"/>
      <c r="AQ752" s="72">
        <f>ABS(SUM(AQ728:AQ751))</f>
        <v>1916.8</v>
      </c>
      <c r="AR752" s="70"/>
      <c r="AS752" s="71">
        <f>ABS(SUM(AS728:AS751))</f>
        <v>1721.8000000000002</v>
      </c>
      <c r="AT752" s="70"/>
      <c r="AU752" s="72">
        <f>ABS(SUM(AU728:AU751))</f>
        <v>2339.6999999999998</v>
      </c>
      <c r="AV752" s="70"/>
      <c r="AW752" s="71">
        <f>ABS(SUM(AW728:AW751))</f>
        <v>1344.9</v>
      </c>
      <c r="AX752" s="70"/>
      <c r="AY752" s="72">
        <f>ABS(SUM(AY728:AY751))</f>
        <v>1358.6999999999998</v>
      </c>
      <c r="AZ752" s="70"/>
      <c r="BA752" s="71">
        <f>ABS(SUM(BA728:BA751))</f>
        <v>2032.8000000000002</v>
      </c>
      <c r="BB752" s="70"/>
      <c r="BC752" s="72">
        <f>ABS(SUM(BC728:BC751))</f>
        <v>2028.6999999999998</v>
      </c>
    </row>
    <row r="754" spans="30:55" ht="15" thickBot="1">
      <c r="AD754" s="476">
        <f>skemA1!B30</f>
        <v>44734</v>
      </c>
    </row>
    <row r="755" spans="30:55" ht="15" thickBot="1">
      <c r="AD755" s="677" t="s">
        <v>75</v>
      </c>
      <c r="AE755" s="60" t="s">
        <v>558</v>
      </c>
      <c r="AF755" s="672" t="s">
        <v>559</v>
      </c>
      <c r="AG755" s="672"/>
      <c r="AH755" s="672"/>
      <c r="AI755" s="673"/>
      <c r="AJ755" s="672" t="s">
        <v>562</v>
      </c>
      <c r="AK755" s="672"/>
      <c r="AL755" s="672"/>
      <c r="AM755" s="673"/>
      <c r="AN755" s="672" t="s">
        <v>563</v>
      </c>
      <c r="AO755" s="672"/>
      <c r="AP755" s="672"/>
      <c r="AQ755" s="673"/>
      <c r="AR755" s="672" t="s">
        <v>564</v>
      </c>
      <c r="AS755" s="672"/>
      <c r="AT755" s="672"/>
      <c r="AU755" s="673"/>
      <c r="AV755" s="672" t="s">
        <v>565</v>
      </c>
      <c r="AW755" s="672"/>
      <c r="AX755" s="672"/>
      <c r="AY755" s="673"/>
      <c r="AZ755" s="672" t="s">
        <v>566</v>
      </c>
      <c r="BA755" s="672"/>
      <c r="BB755" s="672"/>
      <c r="BC755" s="673"/>
    </row>
    <row r="756" spans="30:55" ht="15" thickBot="1">
      <c r="AD756" s="677"/>
      <c r="AE756" s="61"/>
      <c r="AF756" s="674" t="s">
        <v>561</v>
      </c>
      <c r="AG756" s="670" t="s">
        <v>560</v>
      </c>
      <c r="AH756" s="670"/>
      <c r="AI756" s="671"/>
      <c r="AJ756" s="674" t="s">
        <v>561</v>
      </c>
      <c r="AK756" s="670" t="s">
        <v>560</v>
      </c>
      <c r="AL756" s="670"/>
      <c r="AM756" s="671"/>
      <c r="AN756" s="674" t="s">
        <v>561</v>
      </c>
      <c r="AO756" s="670" t="s">
        <v>560</v>
      </c>
      <c r="AP756" s="670"/>
      <c r="AQ756" s="671"/>
      <c r="AR756" s="674" t="s">
        <v>561</v>
      </c>
      <c r="AS756" s="670" t="s">
        <v>560</v>
      </c>
      <c r="AT756" s="670"/>
      <c r="AU756" s="671"/>
      <c r="AV756" s="674" t="s">
        <v>561</v>
      </c>
      <c r="AW756" s="670" t="s">
        <v>560</v>
      </c>
      <c r="AX756" s="670"/>
      <c r="AY756" s="671"/>
      <c r="AZ756" s="674" t="s">
        <v>561</v>
      </c>
      <c r="BA756" s="670" t="s">
        <v>560</v>
      </c>
      <c r="BB756" s="670"/>
      <c r="BC756" s="671"/>
    </row>
    <row r="757" spans="30:55">
      <c r="AD757" s="677"/>
      <c r="AE757" s="62"/>
      <c r="AF757" s="674"/>
      <c r="AG757" s="63" t="s">
        <v>76</v>
      </c>
      <c r="AH757" s="63">
        <v>0</v>
      </c>
      <c r="AI757" s="64" t="s">
        <v>77</v>
      </c>
      <c r="AJ757" s="674"/>
      <c r="AK757" s="63" t="s">
        <v>76</v>
      </c>
      <c r="AL757" s="63">
        <v>0</v>
      </c>
      <c r="AM757" s="64" t="s">
        <v>77</v>
      </c>
      <c r="AN757" s="674"/>
      <c r="AO757" s="63" t="s">
        <v>76</v>
      </c>
      <c r="AP757" s="63">
        <v>0</v>
      </c>
      <c r="AQ757" s="64" t="s">
        <v>77</v>
      </c>
      <c r="AR757" s="674"/>
      <c r="AS757" s="63" t="s">
        <v>76</v>
      </c>
      <c r="AT757" s="63">
        <v>0</v>
      </c>
      <c r="AU757" s="64" t="s">
        <v>77</v>
      </c>
      <c r="AV757" s="674"/>
      <c r="AW757" s="63" t="s">
        <v>76</v>
      </c>
      <c r="AX757" s="63">
        <v>0</v>
      </c>
      <c r="AY757" s="64" t="s">
        <v>77</v>
      </c>
      <c r="AZ757" s="674"/>
      <c r="BA757" s="63" t="s">
        <v>76</v>
      </c>
      <c r="BB757" s="63">
        <v>0</v>
      </c>
      <c r="BC757" s="64" t="s">
        <v>77</v>
      </c>
    </row>
    <row r="758" spans="30:55">
      <c r="AD758" s="65" t="str">
        <f t="array" ref="AD758:AD781">TRANSPOSE($C$5:$Z$5)</f>
        <v>00</v>
      </c>
      <c r="AE758" s="66">
        <f t="array" ref="AE758:AE781">TRANSPOSE(skemA1!$C$30:$Z$30)</f>
        <v>156.9</v>
      </c>
      <c r="AF758" s="66">
        <f t="array" ref="AF758:AF781">TRANSPOSE($C$6:$Z$6)</f>
        <v>-1</v>
      </c>
      <c r="AG758" s="66" t="str">
        <f>IF(AF758&gt;0,AF758*$AE758,"")</f>
        <v/>
      </c>
      <c r="AH758" s="66" t="str">
        <f>IF(AF758=0,AF758*$AE758,"")</f>
        <v/>
      </c>
      <c r="AI758" s="67">
        <f>IF(AF758&lt;0,AF758*$AE758,"")</f>
        <v>-156.9</v>
      </c>
      <c r="AJ758" s="66">
        <f t="array" ref="AJ758:AJ781">TRANSPOSE($C$7:$Z$7)</f>
        <v>-1</v>
      </c>
      <c r="AK758" s="66" t="str">
        <f>IF(AJ758&gt;0,AJ758*$AE758,"")</f>
        <v/>
      </c>
      <c r="AL758" s="66" t="str">
        <f>IF(AJ758=0,AJ758*$AE758,"")</f>
        <v/>
      </c>
      <c r="AM758" s="67">
        <f>IF(AJ758&lt;0,AJ758*$AE758,"")</f>
        <v>-156.9</v>
      </c>
      <c r="AN758" s="66">
        <f t="array" ref="AN758:AN781">TRANSPOSE($C$8:$Z$8)</f>
        <v>1</v>
      </c>
      <c r="AO758" s="66">
        <f>IF(AN758&gt;0,AN758*$AE758,"")</f>
        <v>156.9</v>
      </c>
      <c r="AP758" s="66" t="str">
        <f>IF(AN758=0,AN758*$AE758,"")</f>
        <v/>
      </c>
      <c r="AQ758" s="67" t="str">
        <f>IF(AN758&lt;0,AN758*$AE758,"")</f>
        <v/>
      </c>
      <c r="AR758" s="66">
        <f t="array" ref="AR758:AR781">TRANSPOSE($C$9:$Z$9)</f>
        <v>1</v>
      </c>
      <c r="AS758" s="66">
        <f>IF(AR758&gt;0,AR758*$AE758,"")</f>
        <v>156.9</v>
      </c>
      <c r="AT758" s="66" t="str">
        <f>IF(AR758=0,AR758*$AE758,"")</f>
        <v/>
      </c>
      <c r="AU758" s="67" t="str">
        <f>IF(AR758&lt;0,AR758*$AE758,"")</f>
        <v/>
      </c>
      <c r="AV758" s="66">
        <f t="array" ref="AV758:AV781">TRANSPOSE($C$10:$Z$10)</f>
        <v>1</v>
      </c>
      <c r="AW758" s="66">
        <f t="shared" ref="AW758:AW781" si="450">IF(AV758&gt;0,AV758*$AE758,"")</f>
        <v>156.9</v>
      </c>
      <c r="AX758" s="66" t="str">
        <f t="shared" ref="AX758:AX781" si="451">IF(AV758=0,AV758*$AE758,"")</f>
        <v/>
      </c>
      <c r="AY758" s="67" t="str">
        <f t="shared" ref="AY758:AY781" si="452">IF(AV758&lt;0,AV758*$AE758,"")</f>
        <v/>
      </c>
      <c r="AZ758" s="66">
        <f t="array" ref="AZ758:AZ781">TRANSPOSE($C$11:$Z$11)</f>
        <v>1</v>
      </c>
      <c r="BA758" s="66">
        <f t="shared" ref="BA758:BA781" si="453">IF(AZ758&gt;0,AZ758*$AE758,"")</f>
        <v>156.9</v>
      </c>
      <c r="BB758" s="66" t="str">
        <f t="shared" ref="BB758:BB781" si="454">IF(AZ758=0,AZ758*$AE758,"")</f>
        <v/>
      </c>
      <c r="BC758" s="67" t="str">
        <f t="shared" ref="BC758:BC781" si="455">IF(AZ758&lt;0,AZ758*$AE758,"")</f>
        <v/>
      </c>
    </row>
    <row r="759" spans="30:55">
      <c r="AD759" s="68" t="str">
        <v>01</v>
      </c>
      <c r="AE759" s="61">
        <v>143.30000000000001</v>
      </c>
      <c r="AF759" s="61">
        <v>-1</v>
      </c>
      <c r="AG759" s="66" t="str">
        <f t="shared" ref="AG759:AG781" si="456">IF(AF759&gt;0,AF759*$AE759,"")</f>
        <v/>
      </c>
      <c r="AH759" s="66" t="str">
        <f t="shared" ref="AH759:AH781" si="457">IF(AF759=0,AF759*$AE759,"")</f>
        <v/>
      </c>
      <c r="AI759" s="67">
        <f t="shared" ref="AI759:AI781" si="458">IF(AF759&lt;0,AF759*$AE759,"")</f>
        <v>-143.30000000000001</v>
      </c>
      <c r="AJ759" s="61">
        <v>-1</v>
      </c>
      <c r="AK759" s="66" t="str">
        <f t="shared" ref="AK759:AK781" si="459">IF(AJ759&gt;0,AJ759*$AE759,"")</f>
        <v/>
      </c>
      <c r="AL759" s="66" t="str">
        <f t="shared" ref="AL759:AL781" si="460">IF(AJ759=0,AJ759*$AE759,"")</f>
        <v/>
      </c>
      <c r="AM759" s="67">
        <f t="shared" ref="AM759:AM781" si="461">IF(AJ759&lt;0,AJ759*$AE759,"")</f>
        <v>-143.30000000000001</v>
      </c>
      <c r="AN759" s="61">
        <v>1</v>
      </c>
      <c r="AO759" s="66">
        <f t="shared" ref="AO759:AO781" si="462">IF(AN759&gt;0,AN759*$AE759,"")</f>
        <v>143.30000000000001</v>
      </c>
      <c r="AP759" s="66" t="str">
        <f t="shared" ref="AP759:AP781" si="463">IF(AN759=0,AN759*$AE759,"")</f>
        <v/>
      </c>
      <c r="AQ759" s="67" t="str">
        <f t="shared" ref="AQ759:AQ781" si="464">IF(AN759&lt;0,AN759*$AE759,"")</f>
        <v/>
      </c>
      <c r="AR759" s="61">
        <v>1</v>
      </c>
      <c r="AS759" s="66">
        <f t="shared" ref="AS759:AS781" si="465">IF(AR759&gt;0,AR759*$AE759,"")</f>
        <v>143.30000000000001</v>
      </c>
      <c r="AT759" s="66" t="str">
        <f t="shared" ref="AT759:AT781" si="466">IF(AR759=0,AR759*$AE759,"")</f>
        <v/>
      </c>
      <c r="AU759" s="67" t="str">
        <f t="shared" ref="AU759:AU781" si="467">IF(AR759&lt;0,AR759*$AE759,"")</f>
        <v/>
      </c>
      <c r="AV759" s="61">
        <v>0</v>
      </c>
      <c r="AW759" s="66" t="str">
        <f t="shared" si="450"/>
        <v/>
      </c>
      <c r="AX759" s="66">
        <f t="shared" si="451"/>
        <v>0</v>
      </c>
      <c r="AY759" s="67" t="str">
        <f t="shared" si="452"/>
        <v/>
      </c>
      <c r="AZ759" s="61">
        <v>1</v>
      </c>
      <c r="BA759" s="66">
        <f t="shared" si="453"/>
        <v>143.30000000000001</v>
      </c>
      <c r="BB759" s="66" t="str">
        <f t="shared" si="454"/>
        <v/>
      </c>
      <c r="BC759" s="67" t="str">
        <f t="shared" si="455"/>
        <v/>
      </c>
    </row>
    <row r="760" spans="30:55">
      <c r="AD760" s="68" t="str">
        <v>02</v>
      </c>
      <c r="AE760" s="61">
        <v>133.80000000000001</v>
      </c>
      <c r="AF760" s="61">
        <v>-1</v>
      </c>
      <c r="AG760" s="66" t="str">
        <f t="shared" si="456"/>
        <v/>
      </c>
      <c r="AH760" s="66" t="str">
        <f t="shared" si="457"/>
        <v/>
      </c>
      <c r="AI760" s="67">
        <f t="shared" si="458"/>
        <v>-133.80000000000001</v>
      </c>
      <c r="AJ760" s="61">
        <v>-1</v>
      </c>
      <c r="AK760" s="66" t="str">
        <f t="shared" si="459"/>
        <v/>
      </c>
      <c r="AL760" s="66" t="str">
        <f t="shared" si="460"/>
        <v/>
      </c>
      <c r="AM760" s="67">
        <f t="shared" si="461"/>
        <v>-133.80000000000001</v>
      </c>
      <c r="AN760" s="61">
        <v>1</v>
      </c>
      <c r="AO760" s="66">
        <f t="shared" si="462"/>
        <v>133.80000000000001</v>
      </c>
      <c r="AP760" s="66" t="str">
        <f t="shared" si="463"/>
        <v/>
      </c>
      <c r="AQ760" s="67" t="str">
        <f t="shared" si="464"/>
        <v/>
      </c>
      <c r="AR760" s="61">
        <v>1</v>
      </c>
      <c r="AS760" s="66">
        <f t="shared" si="465"/>
        <v>133.80000000000001</v>
      </c>
      <c r="AT760" s="66" t="str">
        <f t="shared" si="466"/>
        <v/>
      </c>
      <c r="AU760" s="67" t="str">
        <f t="shared" si="467"/>
        <v/>
      </c>
      <c r="AV760" s="61">
        <v>-1</v>
      </c>
      <c r="AW760" s="66" t="str">
        <f t="shared" si="450"/>
        <v/>
      </c>
      <c r="AX760" s="66" t="str">
        <f t="shared" si="451"/>
        <v/>
      </c>
      <c r="AY760" s="67">
        <f t="shared" si="452"/>
        <v>-133.80000000000001</v>
      </c>
      <c r="AZ760" s="61">
        <v>1</v>
      </c>
      <c r="BA760" s="66">
        <f t="shared" si="453"/>
        <v>133.80000000000001</v>
      </c>
      <c r="BB760" s="66" t="str">
        <f t="shared" si="454"/>
        <v/>
      </c>
      <c r="BC760" s="67" t="str">
        <f t="shared" si="455"/>
        <v/>
      </c>
    </row>
    <row r="761" spans="30:55">
      <c r="AD761" s="68" t="str">
        <v>03</v>
      </c>
      <c r="AE761" s="61">
        <v>134</v>
      </c>
      <c r="AF761" s="61">
        <v>-1</v>
      </c>
      <c r="AG761" s="66" t="str">
        <f t="shared" si="456"/>
        <v/>
      </c>
      <c r="AH761" s="66" t="str">
        <f t="shared" si="457"/>
        <v/>
      </c>
      <c r="AI761" s="67">
        <f t="shared" si="458"/>
        <v>-134</v>
      </c>
      <c r="AJ761" s="61">
        <v>-1</v>
      </c>
      <c r="AK761" s="66" t="str">
        <f t="shared" si="459"/>
        <v/>
      </c>
      <c r="AL761" s="66" t="str">
        <f t="shared" si="460"/>
        <v/>
      </c>
      <c r="AM761" s="67">
        <f t="shared" si="461"/>
        <v>-134</v>
      </c>
      <c r="AN761" s="61">
        <v>-1</v>
      </c>
      <c r="AO761" s="66" t="str">
        <f t="shared" si="462"/>
        <v/>
      </c>
      <c r="AP761" s="66" t="str">
        <f t="shared" si="463"/>
        <v/>
      </c>
      <c r="AQ761" s="67">
        <f t="shared" si="464"/>
        <v>-134</v>
      </c>
      <c r="AR761" s="61">
        <v>1</v>
      </c>
      <c r="AS761" s="66">
        <f t="shared" si="465"/>
        <v>134</v>
      </c>
      <c r="AT761" s="66" t="str">
        <f t="shared" si="466"/>
        <v/>
      </c>
      <c r="AU761" s="67" t="str">
        <f t="shared" si="467"/>
        <v/>
      </c>
      <c r="AV761" s="61">
        <v>-1</v>
      </c>
      <c r="AW761" s="66" t="str">
        <f t="shared" si="450"/>
        <v/>
      </c>
      <c r="AX761" s="66" t="str">
        <f t="shared" si="451"/>
        <v/>
      </c>
      <c r="AY761" s="67">
        <f t="shared" si="452"/>
        <v>-134</v>
      </c>
      <c r="AZ761" s="61">
        <v>-1</v>
      </c>
      <c r="BA761" s="66" t="str">
        <f t="shared" si="453"/>
        <v/>
      </c>
      <c r="BB761" s="66" t="str">
        <f t="shared" si="454"/>
        <v/>
      </c>
      <c r="BC761" s="67">
        <f t="shared" si="455"/>
        <v>-134</v>
      </c>
    </row>
    <row r="762" spans="30:55">
      <c r="AD762" s="68" t="str">
        <v>04</v>
      </c>
      <c r="AE762" s="61">
        <v>138.1</v>
      </c>
      <c r="AF762" s="61">
        <v>-1</v>
      </c>
      <c r="AG762" s="66" t="str">
        <f t="shared" si="456"/>
        <v/>
      </c>
      <c r="AH762" s="66" t="str">
        <f t="shared" si="457"/>
        <v/>
      </c>
      <c r="AI762" s="67">
        <f t="shared" si="458"/>
        <v>-138.1</v>
      </c>
      <c r="AJ762" s="61">
        <v>-1</v>
      </c>
      <c r="AK762" s="66" t="str">
        <f t="shared" si="459"/>
        <v/>
      </c>
      <c r="AL762" s="66" t="str">
        <f t="shared" si="460"/>
        <v/>
      </c>
      <c r="AM762" s="67">
        <f t="shared" si="461"/>
        <v>-138.1</v>
      </c>
      <c r="AN762" s="61">
        <v>-1</v>
      </c>
      <c r="AO762" s="66" t="str">
        <f t="shared" si="462"/>
        <v/>
      </c>
      <c r="AP762" s="66" t="str">
        <f t="shared" si="463"/>
        <v/>
      </c>
      <c r="AQ762" s="67">
        <f t="shared" si="464"/>
        <v>-138.1</v>
      </c>
      <c r="AR762" s="61">
        <v>1</v>
      </c>
      <c r="AS762" s="66">
        <f t="shared" si="465"/>
        <v>138.1</v>
      </c>
      <c r="AT762" s="66" t="str">
        <f t="shared" si="466"/>
        <v/>
      </c>
      <c r="AU762" s="67" t="str">
        <f t="shared" si="467"/>
        <v/>
      </c>
      <c r="AV762" s="61">
        <v>0</v>
      </c>
      <c r="AW762" s="66" t="str">
        <f t="shared" si="450"/>
        <v/>
      </c>
      <c r="AX762" s="66">
        <f t="shared" si="451"/>
        <v>0</v>
      </c>
      <c r="AY762" s="67" t="str">
        <f t="shared" si="452"/>
        <v/>
      </c>
      <c r="AZ762" s="61">
        <v>-1</v>
      </c>
      <c r="BA762" s="66" t="str">
        <f t="shared" si="453"/>
        <v/>
      </c>
      <c r="BB762" s="66" t="str">
        <f t="shared" si="454"/>
        <v/>
      </c>
      <c r="BC762" s="67">
        <f t="shared" si="455"/>
        <v>-138.1</v>
      </c>
    </row>
    <row r="763" spans="30:55">
      <c r="AD763" s="68" t="str">
        <v>05</v>
      </c>
      <c r="AE763" s="61">
        <v>146.70000000000002</v>
      </c>
      <c r="AF763" s="61">
        <v>-1</v>
      </c>
      <c r="AG763" s="66" t="str">
        <f t="shared" si="456"/>
        <v/>
      </c>
      <c r="AH763" s="66" t="str">
        <f t="shared" si="457"/>
        <v/>
      </c>
      <c r="AI763" s="67">
        <f t="shared" si="458"/>
        <v>-146.70000000000002</v>
      </c>
      <c r="AJ763" s="61">
        <v>-1</v>
      </c>
      <c r="AK763" s="66" t="str">
        <f t="shared" si="459"/>
        <v/>
      </c>
      <c r="AL763" s="66" t="str">
        <f t="shared" si="460"/>
        <v/>
      </c>
      <c r="AM763" s="67">
        <f t="shared" si="461"/>
        <v>-146.70000000000002</v>
      </c>
      <c r="AN763" s="61">
        <v>-1</v>
      </c>
      <c r="AO763" s="66" t="str">
        <f t="shared" si="462"/>
        <v/>
      </c>
      <c r="AP763" s="66" t="str">
        <f t="shared" si="463"/>
        <v/>
      </c>
      <c r="AQ763" s="67">
        <f t="shared" si="464"/>
        <v>-146.70000000000002</v>
      </c>
      <c r="AR763" s="61">
        <v>1</v>
      </c>
      <c r="AS763" s="66">
        <f t="shared" si="465"/>
        <v>146.70000000000002</v>
      </c>
      <c r="AT763" s="66" t="str">
        <f t="shared" si="466"/>
        <v/>
      </c>
      <c r="AU763" s="67" t="str">
        <f t="shared" si="467"/>
        <v/>
      </c>
      <c r="AV763" s="61">
        <v>1</v>
      </c>
      <c r="AW763" s="66">
        <f t="shared" si="450"/>
        <v>146.70000000000002</v>
      </c>
      <c r="AX763" s="66" t="str">
        <f t="shared" si="451"/>
        <v/>
      </c>
      <c r="AY763" s="67" t="str">
        <f t="shared" si="452"/>
        <v/>
      </c>
      <c r="AZ763" s="61">
        <v>-1</v>
      </c>
      <c r="BA763" s="66" t="str">
        <f t="shared" si="453"/>
        <v/>
      </c>
      <c r="BB763" s="66" t="str">
        <f t="shared" si="454"/>
        <v/>
      </c>
      <c r="BC763" s="67">
        <f t="shared" si="455"/>
        <v>-146.70000000000002</v>
      </c>
    </row>
    <row r="764" spans="30:55">
      <c r="AD764" s="68" t="str">
        <v>06</v>
      </c>
      <c r="AE764" s="61">
        <v>165.7</v>
      </c>
      <c r="AF764" s="61">
        <v>1</v>
      </c>
      <c r="AG764" s="66">
        <f t="shared" si="456"/>
        <v>165.7</v>
      </c>
      <c r="AH764" s="66" t="str">
        <f t="shared" si="457"/>
        <v/>
      </c>
      <c r="AI764" s="67" t="str">
        <f t="shared" si="458"/>
        <v/>
      </c>
      <c r="AJ764" s="61">
        <v>-1</v>
      </c>
      <c r="AK764" s="66" t="str">
        <f t="shared" si="459"/>
        <v/>
      </c>
      <c r="AL764" s="66" t="str">
        <f t="shared" si="460"/>
        <v/>
      </c>
      <c r="AM764" s="67">
        <f t="shared" si="461"/>
        <v>-165.7</v>
      </c>
      <c r="AN764" s="61">
        <v>-1</v>
      </c>
      <c r="AO764" s="66" t="str">
        <f t="shared" si="462"/>
        <v/>
      </c>
      <c r="AP764" s="66" t="str">
        <f t="shared" si="463"/>
        <v/>
      </c>
      <c r="AQ764" s="67">
        <f t="shared" si="464"/>
        <v>-165.7</v>
      </c>
      <c r="AR764" s="61">
        <v>-1</v>
      </c>
      <c r="AS764" s="66" t="str">
        <f t="shared" si="465"/>
        <v/>
      </c>
      <c r="AT764" s="66" t="str">
        <f t="shared" si="466"/>
        <v/>
      </c>
      <c r="AU764" s="67">
        <f t="shared" si="467"/>
        <v>-165.7</v>
      </c>
      <c r="AV764" s="61">
        <v>1</v>
      </c>
      <c r="AW764" s="66">
        <f t="shared" si="450"/>
        <v>165.7</v>
      </c>
      <c r="AX764" s="66" t="str">
        <f t="shared" si="451"/>
        <v/>
      </c>
      <c r="AY764" s="67" t="str">
        <f t="shared" si="452"/>
        <v/>
      </c>
      <c r="AZ764" s="61">
        <v>1</v>
      </c>
      <c r="BA764" s="66">
        <f t="shared" si="453"/>
        <v>165.7</v>
      </c>
      <c r="BB764" s="66" t="str">
        <f t="shared" si="454"/>
        <v/>
      </c>
      <c r="BC764" s="67" t="str">
        <f t="shared" si="455"/>
        <v/>
      </c>
    </row>
    <row r="765" spans="30:55">
      <c r="AD765" s="68" t="str">
        <v>07</v>
      </c>
      <c r="AE765" s="61">
        <v>191.2</v>
      </c>
      <c r="AF765" s="61">
        <v>1</v>
      </c>
      <c r="AG765" s="66">
        <f t="shared" si="456"/>
        <v>191.2</v>
      </c>
      <c r="AH765" s="66" t="str">
        <f t="shared" si="457"/>
        <v/>
      </c>
      <c r="AI765" s="67" t="str">
        <f t="shared" si="458"/>
        <v/>
      </c>
      <c r="AJ765" s="61">
        <v>-1</v>
      </c>
      <c r="AK765" s="66" t="str">
        <f t="shared" si="459"/>
        <v/>
      </c>
      <c r="AL765" s="66" t="str">
        <f t="shared" si="460"/>
        <v/>
      </c>
      <c r="AM765" s="67">
        <f t="shared" si="461"/>
        <v>-191.2</v>
      </c>
      <c r="AN765" s="61">
        <v>-1</v>
      </c>
      <c r="AO765" s="66" t="str">
        <f t="shared" si="462"/>
        <v/>
      </c>
      <c r="AP765" s="66" t="str">
        <f t="shared" si="463"/>
        <v/>
      </c>
      <c r="AQ765" s="67">
        <f t="shared" si="464"/>
        <v>-191.2</v>
      </c>
      <c r="AR765" s="61">
        <v>-1</v>
      </c>
      <c r="AS765" s="66" t="str">
        <f t="shared" si="465"/>
        <v/>
      </c>
      <c r="AT765" s="66" t="str">
        <f t="shared" si="466"/>
        <v/>
      </c>
      <c r="AU765" s="67">
        <f t="shared" si="467"/>
        <v>-191.2</v>
      </c>
      <c r="AV765" s="61">
        <v>0</v>
      </c>
      <c r="AW765" s="66" t="str">
        <f t="shared" si="450"/>
        <v/>
      </c>
      <c r="AX765" s="66">
        <f t="shared" si="451"/>
        <v>0</v>
      </c>
      <c r="AY765" s="67" t="str">
        <f t="shared" si="452"/>
        <v/>
      </c>
      <c r="AZ765" s="61">
        <v>1</v>
      </c>
      <c r="BA765" s="66">
        <f t="shared" si="453"/>
        <v>191.2</v>
      </c>
      <c r="BB765" s="66" t="str">
        <f t="shared" si="454"/>
        <v/>
      </c>
      <c r="BC765" s="67" t="str">
        <f t="shared" si="455"/>
        <v/>
      </c>
    </row>
    <row r="766" spans="30:55">
      <c r="AD766" s="68" t="str">
        <v>08</v>
      </c>
      <c r="AE766" s="61">
        <v>208.70000000000002</v>
      </c>
      <c r="AF766" s="61">
        <v>1</v>
      </c>
      <c r="AG766" s="66">
        <f t="shared" si="456"/>
        <v>208.70000000000002</v>
      </c>
      <c r="AH766" s="66" t="str">
        <f t="shared" si="457"/>
        <v/>
      </c>
      <c r="AI766" s="67" t="str">
        <f t="shared" si="458"/>
        <v/>
      </c>
      <c r="AJ766" s="61">
        <v>-1</v>
      </c>
      <c r="AK766" s="66" t="str">
        <f t="shared" si="459"/>
        <v/>
      </c>
      <c r="AL766" s="66" t="str">
        <f t="shared" si="460"/>
        <v/>
      </c>
      <c r="AM766" s="67">
        <f t="shared" si="461"/>
        <v>-208.70000000000002</v>
      </c>
      <c r="AN766" s="61">
        <v>-1</v>
      </c>
      <c r="AO766" s="66" t="str">
        <f t="shared" si="462"/>
        <v/>
      </c>
      <c r="AP766" s="66" t="str">
        <f t="shared" si="463"/>
        <v/>
      </c>
      <c r="AQ766" s="67">
        <f t="shared" si="464"/>
        <v>-208.70000000000002</v>
      </c>
      <c r="AR766" s="61">
        <v>-1</v>
      </c>
      <c r="AS766" s="66" t="str">
        <f t="shared" si="465"/>
        <v/>
      </c>
      <c r="AT766" s="66" t="str">
        <f t="shared" si="466"/>
        <v/>
      </c>
      <c r="AU766" s="67">
        <f t="shared" si="467"/>
        <v>-208.70000000000002</v>
      </c>
      <c r="AV766" s="61">
        <v>-1</v>
      </c>
      <c r="AW766" s="66" t="str">
        <f t="shared" si="450"/>
        <v/>
      </c>
      <c r="AX766" s="66" t="str">
        <f t="shared" si="451"/>
        <v/>
      </c>
      <c r="AY766" s="67">
        <f t="shared" si="452"/>
        <v>-208.70000000000002</v>
      </c>
      <c r="AZ766" s="61">
        <v>1</v>
      </c>
      <c r="BA766" s="66">
        <f t="shared" si="453"/>
        <v>208.70000000000002</v>
      </c>
      <c r="BB766" s="66" t="str">
        <f t="shared" si="454"/>
        <v/>
      </c>
      <c r="BC766" s="67" t="str">
        <f t="shared" si="455"/>
        <v/>
      </c>
    </row>
    <row r="767" spans="30:55">
      <c r="AD767" s="68" t="str">
        <v>09</v>
      </c>
      <c r="AE767" s="61">
        <v>218.5</v>
      </c>
      <c r="AF767" s="61">
        <v>1</v>
      </c>
      <c r="AG767" s="66">
        <f t="shared" si="456"/>
        <v>218.5</v>
      </c>
      <c r="AH767" s="66" t="str">
        <f t="shared" si="457"/>
        <v/>
      </c>
      <c r="AI767" s="67" t="str">
        <f t="shared" si="458"/>
        <v/>
      </c>
      <c r="AJ767" s="61">
        <v>-1</v>
      </c>
      <c r="AK767" s="66" t="str">
        <f t="shared" si="459"/>
        <v/>
      </c>
      <c r="AL767" s="66" t="str">
        <f t="shared" si="460"/>
        <v/>
      </c>
      <c r="AM767" s="67">
        <f t="shared" si="461"/>
        <v>-218.5</v>
      </c>
      <c r="AN767" s="61">
        <v>1</v>
      </c>
      <c r="AO767" s="66">
        <f t="shared" si="462"/>
        <v>218.5</v>
      </c>
      <c r="AP767" s="66" t="str">
        <f t="shared" si="463"/>
        <v/>
      </c>
      <c r="AQ767" s="67" t="str">
        <f t="shared" si="464"/>
        <v/>
      </c>
      <c r="AR767" s="61">
        <v>-1</v>
      </c>
      <c r="AS767" s="66" t="str">
        <f t="shared" si="465"/>
        <v/>
      </c>
      <c r="AT767" s="66" t="str">
        <f t="shared" si="466"/>
        <v/>
      </c>
      <c r="AU767" s="67">
        <f t="shared" si="467"/>
        <v>-218.5</v>
      </c>
      <c r="AV767" s="61">
        <v>-1</v>
      </c>
      <c r="AW767" s="66" t="str">
        <f t="shared" si="450"/>
        <v/>
      </c>
      <c r="AX767" s="66" t="str">
        <f t="shared" si="451"/>
        <v/>
      </c>
      <c r="AY767" s="67">
        <f t="shared" si="452"/>
        <v>-218.5</v>
      </c>
      <c r="AZ767" s="61">
        <v>-1</v>
      </c>
      <c r="BA767" s="66" t="str">
        <f t="shared" si="453"/>
        <v/>
      </c>
      <c r="BB767" s="66" t="str">
        <f t="shared" si="454"/>
        <v/>
      </c>
      <c r="BC767" s="67">
        <f t="shared" si="455"/>
        <v>-218.5</v>
      </c>
    </row>
    <row r="768" spans="30:55">
      <c r="AD768" s="68" t="str">
        <v>10</v>
      </c>
      <c r="AE768" s="61">
        <v>221.89999999999998</v>
      </c>
      <c r="AF768" s="61">
        <v>1</v>
      </c>
      <c r="AG768" s="66">
        <f t="shared" si="456"/>
        <v>221.89999999999998</v>
      </c>
      <c r="AH768" s="66" t="str">
        <f t="shared" si="457"/>
        <v/>
      </c>
      <c r="AI768" s="67" t="str">
        <f t="shared" si="458"/>
        <v/>
      </c>
      <c r="AJ768" s="61">
        <v>-1</v>
      </c>
      <c r="AK768" s="66" t="str">
        <f t="shared" si="459"/>
        <v/>
      </c>
      <c r="AL768" s="66" t="str">
        <f t="shared" si="460"/>
        <v/>
      </c>
      <c r="AM768" s="67">
        <f t="shared" si="461"/>
        <v>-221.89999999999998</v>
      </c>
      <c r="AN768" s="61">
        <v>1</v>
      </c>
      <c r="AO768" s="66">
        <f t="shared" si="462"/>
        <v>221.89999999999998</v>
      </c>
      <c r="AP768" s="66" t="str">
        <f t="shared" si="463"/>
        <v/>
      </c>
      <c r="AQ768" s="67" t="str">
        <f t="shared" si="464"/>
        <v/>
      </c>
      <c r="AR768" s="61">
        <v>-1</v>
      </c>
      <c r="AS768" s="66" t="str">
        <f t="shared" si="465"/>
        <v/>
      </c>
      <c r="AT768" s="66" t="str">
        <f t="shared" si="466"/>
        <v/>
      </c>
      <c r="AU768" s="67">
        <f t="shared" si="467"/>
        <v>-221.89999999999998</v>
      </c>
      <c r="AV768" s="61">
        <v>0</v>
      </c>
      <c r="AW768" s="66" t="str">
        <f t="shared" si="450"/>
        <v/>
      </c>
      <c r="AX768" s="66">
        <f t="shared" si="451"/>
        <v>0</v>
      </c>
      <c r="AY768" s="67" t="str">
        <f t="shared" si="452"/>
        <v/>
      </c>
      <c r="AZ768" s="61">
        <v>-1</v>
      </c>
      <c r="BA768" s="66" t="str">
        <f t="shared" si="453"/>
        <v/>
      </c>
      <c r="BB768" s="66" t="str">
        <f t="shared" si="454"/>
        <v/>
      </c>
      <c r="BC768" s="67">
        <f t="shared" si="455"/>
        <v>-221.89999999999998</v>
      </c>
    </row>
    <row r="769" spans="29:55">
      <c r="AD769" s="68" t="str">
        <v>11</v>
      </c>
      <c r="AE769" s="61">
        <v>217</v>
      </c>
      <c r="AF769" s="61">
        <v>1</v>
      </c>
      <c r="AG769" s="66">
        <f t="shared" si="456"/>
        <v>217</v>
      </c>
      <c r="AH769" s="66" t="str">
        <f t="shared" si="457"/>
        <v/>
      </c>
      <c r="AI769" s="67" t="str">
        <f t="shared" si="458"/>
        <v/>
      </c>
      <c r="AJ769" s="61">
        <v>-1</v>
      </c>
      <c r="AK769" s="66" t="str">
        <f t="shared" si="459"/>
        <v/>
      </c>
      <c r="AL769" s="66" t="str">
        <f t="shared" si="460"/>
        <v/>
      </c>
      <c r="AM769" s="67">
        <f t="shared" si="461"/>
        <v>-217</v>
      </c>
      <c r="AN769" s="61">
        <v>1</v>
      </c>
      <c r="AO769" s="66">
        <f t="shared" si="462"/>
        <v>217</v>
      </c>
      <c r="AP769" s="66" t="str">
        <f t="shared" si="463"/>
        <v/>
      </c>
      <c r="AQ769" s="67" t="str">
        <f t="shared" si="464"/>
        <v/>
      </c>
      <c r="AR769" s="61">
        <v>-1</v>
      </c>
      <c r="AS769" s="66" t="str">
        <f t="shared" si="465"/>
        <v/>
      </c>
      <c r="AT769" s="66" t="str">
        <f t="shared" si="466"/>
        <v/>
      </c>
      <c r="AU769" s="67">
        <f t="shared" si="467"/>
        <v>-217</v>
      </c>
      <c r="AV769" s="61">
        <v>1</v>
      </c>
      <c r="AW769" s="66">
        <f t="shared" si="450"/>
        <v>217</v>
      </c>
      <c r="AX769" s="66" t="str">
        <f t="shared" si="451"/>
        <v/>
      </c>
      <c r="AY769" s="67" t="str">
        <f t="shared" si="452"/>
        <v/>
      </c>
      <c r="AZ769" s="61">
        <v>-1</v>
      </c>
      <c r="BA769" s="66" t="str">
        <f t="shared" si="453"/>
        <v/>
      </c>
      <c r="BB769" s="66" t="str">
        <f t="shared" si="454"/>
        <v/>
      </c>
      <c r="BC769" s="67">
        <f t="shared" si="455"/>
        <v>-217</v>
      </c>
    </row>
    <row r="770" spans="29:55">
      <c r="AD770" s="68" t="str">
        <v>12</v>
      </c>
      <c r="AE770" s="61">
        <v>205.7</v>
      </c>
      <c r="AF770" s="61">
        <v>1</v>
      </c>
      <c r="AG770" s="66">
        <f t="shared" si="456"/>
        <v>205.7</v>
      </c>
      <c r="AH770" s="66" t="str">
        <f t="shared" si="457"/>
        <v/>
      </c>
      <c r="AI770" s="67" t="str">
        <f t="shared" si="458"/>
        <v/>
      </c>
      <c r="AJ770" s="61">
        <v>1</v>
      </c>
      <c r="AK770" s="66">
        <f t="shared" si="459"/>
        <v>205.7</v>
      </c>
      <c r="AL770" s="66" t="str">
        <f t="shared" si="460"/>
        <v/>
      </c>
      <c r="AM770" s="67" t="str">
        <f t="shared" si="461"/>
        <v/>
      </c>
      <c r="AN770" s="61">
        <v>1</v>
      </c>
      <c r="AO770" s="66">
        <f t="shared" si="462"/>
        <v>205.7</v>
      </c>
      <c r="AP770" s="66" t="str">
        <f t="shared" si="463"/>
        <v/>
      </c>
      <c r="AQ770" s="67" t="str">
        <f t="shared" si="464"/>
        <v/>
      </c>
      <c r="AR770" s="61">
        <v>1</v>
      </c>
      <c r="AS770" s="66">
        <f t="shared" si="465"/>
        <v>205.7</v>
      </c>
      <c r="AT770" s="66" t="str">
        <f t="shared" si="466"/>
        <v/>
      </c>
      <c r="AU770" s="67" t="str">
        <f t="shared" si="467"/>
        <v/>
      </c>
      <c r="AV770" s="61">
        <v>1</v>
      </c>
      <c r="AW770" s="66">
        <f t="shared" si="450"/>
        <v>205.7</v>
      </c>
      <c r="AX770" s="66" t="str">
        <f t="shared" si="451"/>
        <v/>
      </c>
      <c r="AY770" s="67" t="str">
        <f t="shared" si="452"/>
        <v/>
      </c>
      <c r="AZ770" s="61">
        <v>1</v>
      </c>
      <c r="BA770" s="66">
        <f t="shared" si="453"/>
        <v>205.7</v>
      </c>
      <c r="BB770" s="66" t="str">
        <f t="shared" si="454"/>
        <v/>
      </c>
      <c r="BC770" s="67" t="str">
        <f t="shared" si="455"/>
        <v/>
      </c>
    </row>
    <row r="771" spans="29:55">
      <c r="AD771" s="68" t="str">
        <v>13</v>
      </c>
      <c r="AE771" s="61">
        <v>185.5</v>
      </c>
      <c r="AF771" s="61">
        <v>1</v>
      </c>
      <c r="AG771" s="66">
        <f t="shared" si="456"/>
        <v>185.5</v>
      </c>
      <c r="AH771" s="66" t="str">
        <f t="shared" si="457"/>
        <v/>
      </c>
      <c r="AI771" s="67" t="str">
        <f t="shared" si="458"/>
        <v/>
      </c>
      <c r="AJ771" s="61">
        <v>1</v>
      </c>
      <c r="AK771" s="66">
        <f t="shared" si="459"/>
        <v>185.5</v>
      </c>
      <c r="AL771" s="66" t="str">
        <f t="shared" si="460"/>
        <v/>
      </c>
      <c r="AM771" s="67" t="str">
        <f t="shared" si="461"/>
        <v/>
      </c>
      <c r="AN771" s="61">
        <v>1</v>
      </c>
      <c r="AO771" s="66">
        <f t="shared" si="462"/>
        <v>185.5</v>
      </c>
      <c r="AP771" s="66" t="str">
        <f t="shared" si="463"/>
        <v/>
      </c>
      <c r="AQ771" s="67" t="str">
        <f t="shared" si="464"/>
        <v/>
      </c>
      <c r="AR771" s="61">
        <v>1</v>
      </c>
      <c r="AS771" s="66">
        <f t="shared" si="465"/>
        <v>185.5</v>
      </c>
      <c r="AT771" s="66" t="str">
        <f t="shared" si="466"/>
        <v/>
      </c>
      <c r="AU771" s="67" t="str">
        <f t="shared" si="467"/>
        <v/>
      </c>
      <c r="AV771" s="61">
        <v>0</v>
      </c>
      <c r="AW771" s="66" t="str">
        <f t="shared" si="450"/>
        <v/>
      </c>
      <c r="AX771" s="66">
        <f t="shared" si="451"/>
        <v>0</v>
      </c>
      <c r="AY771" s="67" t="str">
        <f t="shared" si="452"/>
        <v/>
      </c>
      <c r="AZ771" s="61">
        <v>1</v>
      </c>
      <c r="BA771" s="66">
        <f t="shared" si="453"/>
        <v>185.5</v>
      </c>
      <c r="BB771" s="66" t="str">
        <f t="shared" si="454"/>
        <v/>
      </c>
      <c r="BC771" s="67" t="str">
        <f t="shared" si="455"/>
        <v/>
      </c>
    </row>
    <row r="772" spans="29:55">
      <c r="AD772" s="68" t="str">
        <v>14</v>
      </c>
      <c r="AE772" s="61">
        <v>165.3</v>
      </c>
      <c r="AF772" s="61">
        <v>1</v>
      </c>
      <c r="AG772" s="66">
        <f t="shared" si="456"/>
        <v>165.3</v>
      </c>
      <c r="AH772" s="66" t="str">
        <f t="shared" si="457"/>
        <v/>
      </c>
      <c r="AI772" s="67" t="str">
        <f t="shared" si="458"/>
        <v/>
      </c>
      <c r="AJ772" s="61">
        <v>1</v>
      </c>
      <c r="AK772" s="66">
        <f t="shared" si="459"/>
        <v>165.3</v>
      </c>
      <c r="AL772" s="66" t="str">
        <f t="shared" si="460"/>
        <v/>
      </c>
      <c r="AM772" s="67" t="str">
        <f t="shared" si="461"/>
        <v/>
      </c>
      <c r="AN772" s="61">
        <v>1</v>
      </c>
      <c r="AO772" s="66">
        <f t="shared" si="462"/>
        <v>165.3</v>
      </c>
      <c r="AP772" s="66" t="str">
        <f t="shared" si="463"/>
        <v/>
      </c>
      <c r="AQ772" s="67" t="str">
        <f t="shared" si="464"/>
        <v/>
      </c>
      <c r="AR772" s="61">
        <v>1</v>
      </c>
      <c r="AS772" s="66">
        <f t="shared" si="465"/>
        <v>165.3</v>
      </c>
      <c r="AT772" s="66" t="str">
        <f t="shared" si="466"/>
        <v/>
      </c>
      <c r="AU772" s="67" t="str">
        <f t="shared" si="467"/>
        <v/>
      </c>
      <c r="AV772" s="61">
        <v>-1</v>
      </c>
      <c r="AW772" s="66" t="str">
        <f t="shared" si="450"/>
        <v/>
      </c>
      <c r="AX772" s="66" t="str">
        <f t="shared" si="451"/>
        <v/>
      </c>
      <c r="AY772" s="67">
        <f t="shared" si="452"/>
        <v>-165.3</v>
      </c>
      <c r="AZ772" s="61">
        <v>1</v>
      </c>
      <c r="BA772" s="66">
        <f t="shared" si="453"/>
        <v>165.3</v>
      </c>
      <c r="BB772" s="66" t="str">
        <f t="shared" si="454"/>
        <v/>
      </c>
      <c r="BC772" s="67" t="str">
        <f t="shared" si="455"/>
        <v/>
      </c>
    </row>
    <row r="773" spans="29:55">
      <c r="AD773" s="68" t="str">
        <v>15</v>
      </c>
      <c r="AE773" s="61">
        <v>146.4</v>
      </c>
      <c r="AF773" s="61">
        <v>1</v>
      </c>
      <c r="AG773" s="66">
        <f t="shared" si="456"/>
        <v>146.4</v>
      </c>
      <c r="AH773" s="66" t="str">
        <f t="shared" si="457"/>
        <v/>
      </c>
      <c r="AI773" s="67" t="str">
        <f t="shared" si="458"/>
        <v/>
      </c>
      <c r="AJ773" s="61">
        <v>1</v>
      </c>
      <c r="AK773" s="66">
        <f t="shared" si="459"/>
        <v>146.4</v>
      </c>
      <c r="AL773" s="66" t="str">
        <f t="shared" si="460"/>
        <v/>
      </c>
      <c r="AM773" s="67" t="str">
        <f t="shared" si="461"/>
        <v/>
      </c>
      <c r="AN773" s="61">
        <v>-1</v>
      </c>
      <c r="AO773" s="66" t="str">
        <f t="shared" si="462"/>
        <v/>
      </c>
      <c r="AP773" s="66" t="str">
        <f t="shared" si="463"/>
        <v/>
      </c>
      <c r="AQ773" s="67">
        <f t="shared" si="464"/>
        <v>-146.4</v>
      </c>
      <c r="AR773" s="61">
        <v>1</v>
      </c>
      <c r="AS773" s="66">
        <f t="shared" si="465"/>
        <v>146.4</v>
      </c>
      <c r="AT773" s="66" t="str">
        <f t="shared" si="466"/>
        <v/>
      </c>
      <c r="AU773" s="67" t="str">
        <f t="shared" si="467"/>
        <v/>
      </c>
      <c r="AV773" s="61">
        <v>-1</v>
      </c>
      <c r="AW773" s="66" t="str">
        <f t="shared" si="450"/>
        <v/>
      </c>
      <c r="AX773" s="66" t="str">
        <f t="shared" si="451"/>
        <v/>
      </c>
      <c r="AY773" s="67">
        <f t="shared" si="452"/>
        <v>-146.4</v>
      </c>
      <c r="AZ773" s="61">
        <v>-1</v>
      </c>
      <c r="BA773" s="66" t="str">
        <f t="shared" si="453"/>
        <v/>
      </c>
      <c r="BB773" s="66" t="str">
        <f t="shared" si="454"/>
        <v/>
      </c>
      <c r="BC773" s="67">
        <f t="shared" si="455"/>
        <v>-146.4</v>
      </c>
    </row>
    <row r="774" spans="29:55">
      <c r="AD774" s="68" t="str">
        <v>16</v>
      </c>
      <c r="AE774" s="61">
        <v>133.4</v>
      </c>
      <c r="AF774" s="61">
        <v>1</v>
      </c>
      <c r="AG774" s="66">
        <f t="shared" si="456"/>
        <v>133.4</v>
      </c>
      <c r="AH774" s="66" t="str">
        <f t="shared" si="457"/>
        <v/>
      </c>
      <c r="AI774" s="67" t="str">
        <f t="shared" si="458"/>
        <v/>
      </c>
      <c r="AJ774" s="61">
        <v>1</v>
      </c>
      <c r="AK774" s="66">
        <f t="shared" si="459"/>
        <v>133.4</v>
      </c>
      <c r="AL774" s="66" t="str">
        <f t="shared" si="460"/>
        <v/>
      </c>
      <c r="AM774" s="67" t="str">
        <f t="shared" si="461"/>
        <v/>
      </c>
      <c r="AN774" s="61">
        <v>-1</v>
      </c>
      <c r="AO774" s="66" t="str">
        <f t="shared" si="462"/>
        <v/>
      </c>
      <c r="AP774" s="66" t="str">
        <f t="shared" si="463"/>
        <v/>
      </c>
      <c r="AQ774" s="67">
        <f t="shared" si="464"/>
        <v>-133.4</v>
      </c>
      <c r="AR774" s="61">
        <v>1</v>
      </c>
      <c r="AS774" s="66">
        <f t="shared" si="465"/>
        <v>133.4</v>
      </c>
      <c r="AT774" s="66" t="str">
        <f t="shared" si="466"/>
        <v/>
      </c>
      <c r="AU774" s="67" t="str">
        <f t="shared" si="467"/>
        <v/>
      </c>
      <c r="AV774" s="61">
        <v>0</v>
      </c>
      <c r="AW774" s="66" t="str">
        <f t="shared" si="450"/>
        <v/>
      </c>
      <c r="AX774" s="66">
        <f t="shared" si="451"/>
        <v>0</v>
      </c>
      <c r="AY774" s="67" t="str">
        <f t="shared" si="452"/>
        <v/>
      </c>
      <c r="AZ774" s="61">
        <v>-1</v>
      </c>
      <c r="BA774" s="66" t="str">
        <f t="shared" si="453"/>
        <v/>
      </c>
      <c r="BB774" s="66" t="str">
        <f t="shared" si="454"/>
        <v/>
      </c>
      <c r="BC774" s="67">
        <f t="shared" si="455"/>
        <v>-133.4</v>
      </c>
    </row>
    <row r="775" spans="29:55">
      <c r="AD775" s="68" t="str">
        <v>17</v>
      </c>
      <c r="AE775" s="61">
        <v>127.89999999999999</v>
      </c>
      <c r="AF775" s="61">
        <v>1</v>
      </c>
      <c r="AG775" s="66">
        <f t="shared" si="456"/>
        <v>127.89999999999999</v>
      </c>
      <c r="AH775" s="66" t="str">
        <f t="shared" si="457"/>
        <v/>
      </c>
      <c r="AI775" s="67" t="str">
        <f t="shared" si="458"/>
        <v/>
      </c>
      <c r="AJ775" s="61">
        <v>1</v>
      </c>
      <c r="AK775" s="66">
        <f t="shared" si="459"/>
        <v>127.89999999999999</v>
      </c>
      <c r="AL775" s="66" t="str">
        <f t="shared" si="460"/>
        <v/>
      </c>
      <c r="AM775" s="67" t="str">
        <f t="shared" si="461"/>
        <v/>
      </c>
      <c r="AN775" s="61">
        <v>-1</v>
      </c>
      <c r="AO775" s="66" t="str">
        <f t="shared" si="462"/>
        <v/>
      </c>
      <c r="AP775" s="66" t="str">
        <f t="shared" si="463"/>
        <v/>
      </c>
      <c r="AQ775" s="67">
        <f t="shared" si="464"/>
        <v>-127.89999999999999</v>
      </c>
      <c r="AR775" s="61">
        <v>1</v>
      </c>
      <c r="AS775" s="66">
        <f t="shared" si="465"/>
        <v>127.89999999999999</v>
      </c>
      <c r="AT775" s="66" t="str">
        <f t="shared" si="466"/>
        <v/>
      </c>
      <c r="AU775" s="67" t="str">
        <f t="shared" si="467"/>
        <v/>
      </c>
      <c r="AV775" s="61">
        <v>1</v>
      </c>
      <c r="AW775" s="66">
        <f t="shared" si="450"/>
        <v>127.89999999999999</v>
      </c>
      <c r="AX775" s="66" t="str">
        <f t="shared" si="451"/>
        <v/>
      </c>
      <c r="AY775" s="67" t="str">
        <f t="shared" si="452"/>
        <v/>
      </c>
      <c r="AZ775" s="61">
        <v>-1</v>
      </c>
      <c r="BA775" s="66" t="str">
        <f t="shared" si="453"/>
        <v/>
      </c>
      <c r="BB775" s="66" t="str">
        <f t="shared" si="454"/>
        <v/>
      </c>
      <c r="BC775" s="67">
        <f t="shared" si="455"/>
        <v>-127.89999999999999</v>
      </c>
    </row>
    <row r="776" spans="29:55">
      <c r="AD776" s="68" t="str">
        <v>18</v>
      </c>
      <c r="AE776" s="61">
        <v>133.69999999999999</v>
      </c>
      <c r="AF776" s="61">
        <v>-1</v>
      </c>
      <c r="AG776" s="66" t="str">
        <f t="shared" si="456"/>
        <v/>
      </c>
      <c r="AH776" s="66" t="str">
        <f t="shared" si="457"/>
        <v/>
      </c>
      <c r="AI776" s="67">
        <f t="shared" si="458"/>
        <v>-133.69999999999999</v>
      </c>
      <c r="AJ776" s="61">
        <v>1</v>
      </c>
      <c r="AK776" s="66">
        <f t="shared" si="459"/>
        <v>133.69999999999999</v>
      </c>
      <c r="AL776" s="66" t="str">
        <f t="shared" si="460"/>
        <v/>
      </c>
      <c r="AM776" s="67" t="str">
        <f t="shared" si="461"/>
        <v/>
      </c>
      <c r="AN776" s="61">
        <v>-1</v>
      </c>
      <c r="AO776" s="66" t="str">
        <f t="shared" si="462"/>
        <v/>
      </c>
      <c r="AP776" s="66" t="str">
        <f t="shared" si="463"/>
        <v/>
      </c>
      <c r="AQ776" s="67">
        <f t="shared" si="464"/>
        <v>-133.69999999999999</v>
      </c>
      <c r="AR776" s="61">
        <v>-1</v>
      </c>
      <c r="AS776" s="66" t="str">
        <f t="shared" si="465"/>
        <v/>
      </c>
      <c r="AT776" s="66" t="str">
        <f t="shared" si="466"/>
        <v/>
      </c>
      <c r="AU776" s="67">
        <f t="shared" si="467"/>
        <v>-133.69999999999999</v>
      </c>
      <c r="AV776" s="61">
        <v>1</v>
      </c>
      <c r="AW776" s="66">
        <f t="shared" si="450"/>
        <v>133.69999999999999</v>
      </c>
      <c r="AX776" s="66" t="str">
        <f t="shared" si="451"/>
        <v/>
      </c>
      <c r="AY776" s="67" t="str">
        <f t="shared" si="452"/>
        <v/>
      </c>
      <c r="AZ776" s="61">
        <v>1</v>
      </c>
      <c r="BA776" s="66">
        <f t="shared" si="453"/>
        <v>133.69999999999999</v>
      </c>
      <c r="BB776" s="66" t="str">
        <f t="shared" si="454"/>
        <v/>
      </c>
      <c r="BC776" s="67" t="str">
        <f t="shared" si="455"/>
        <v/>
      </c>
    </row>
    <row r="777" spans="29:55">
      <c r="AD777" s="68" t="str">
        <v>19</v>
      </c>
      <c r="AE777" s="61">
        <v>142.9</v>
      </c>
      <c r="AF777" s="61">
        <v>-1</v>
      </c>
      <c r="AG777" s="66" t="str">
        <f t="shared" si="456"/>
        <v/>
      </c>
      <c r="AH777" s="66" t="str">
        <f t="shared" si="457"/>
        <v/>
      </c>
      <c r="AI777" s="67">
        <f t="shared" si="458"/>
        <v>-142.9</v>
      </c>
      <c r="AJ777" s="61">
        <v>1</v>
      </c>
      <c r="AK777" s="66">
        <f t="shared" si="459"/>
        <v>142.9</v>
      </c>
      <c r="AL777" s="66" t="str">
        <f t="shared" si="460"/>
        <v/>
      </c>
      <c r="AM777" s="67" t="str">
        <f t="shared" si="461"/>
        <v/>
      </c>
      <c r="AN777" s="61">
        <v>-1</v>
      </c>
      <c r="AO777" s="66" t="str">
        <f t="shared" si="462"/>
        <v/>
      </c>
      <c r="AP777" s="66" t="str">
        <f t="shared" si="463"/>
        <v/>
      </c>
      <c r="AQ777" s="67">
        <f t="shared" si="464"/>
        <v>-142.9</v>
      </c>
      <c r="AR777" s="61">
        <v>-1</v>
      </c>
      <c r="AS777" s="66" t="str">
        <f t="shared" si="465"/>
        <v/>
      </c>
      <c r="AT777" s="66" t="str">
        <f t="shared" si="466"/>
        <v/>
      </c>
      <c r="AU777" s="67">
        <f t="shared" si="467"/>
        <v>-142.9</v>
      </c>
      <c r="AV777" s="61">
        <v>0</v>
      </c>
      <c r="AW777" s="66" t="str">
        <f t="shared" si="450"/>
        <v/>
      </c>
      <c r="AX777" s="66">
        <f t="shared" si="451"/>
        <v>0</v>
      </c>
      <c r="AY777" s="67" t="str">
        <f t="shared" si="452"/>
        <v/>
      </c>
      <c r="AZ777" s="61">
        <v>1</v>
      </c>
      <c r="BA777" s="66">
        <f t="shared" si="453"/>
        <v>142.9</v>
      </c>
      <c r="BB777" s="66" t="str">
        <f t="shared" si="454"/>
        <v/>
      </c>
      <c r="BC777" s="67" t="str">
        <f t="shared" si="455"/>
        <v/>
      </c>
    </row>
    <row r="778" spans="29:55">
      <c r="AD778" s="68" t="str">
        <v>20</v>
      </c>
      <c r="AE778" s="61">
        <v>154</v>
      </c>
      <c r="AF778" s="61">
        <v>-1</v>
      </c>
      <c r="AG778" s="66" t="str">
        <f t="shared" si="456"/>
        <v/>
      </c>
      <c r="AH778" s="66" t="str">
        <f t="shared" si="457"/>
        <v/>
      </c>
      <c r="AI778" s="67">
        <f t="shared" si="458"/>
        <v>-154</v>
      </c>
      <c r="AJ778" s="61">
        <v>1</v>
      </c>
      <c r="AK778" s="66">
        <f t="shared" si="459"/>
        <v>154</v>
      </c>
      <c r="AL778" s="66" t="str">
        <f t="shared" si="460"/>
        <v/>
      </c>
      <c r="AM778" s="67" t="str">
        <f t="shared" si="461"/>
        <v/>
      </c>
      <c r="AN778" s="61">
        <v>-1</v>
      </c>
      <c r="AO778" s="66" t="str">
        <f t="shared" si="462"/>
        <v/>
      </c>
      <c r="AP778" s="66" t="str">
        <f t="shared" si="463"/>
        <v/>
      </c>
      <c r="AQ778" s="67">
        <f t="shared" si="464"/>
        <v>-154</v>
      </c>
      <c r="AR778" s="61">
        <v>-1</v>
      </c>
      <c r="AS778" s="66" t="str">
        <f t="shared" si="465"/>
        <v/>
      </c>
      <c r="AT778" s="66" t="str">
        <f t="shared" si="466"/>
        <v/>
      </c>
      <c r="AU778" s="67">
        <f t="shared" si="467"/>
        <v>-154</v>
      </c>
      <c r="AV778" s="61">
        <v>-1</v>
      </c>
      <c r="AW778" s="66" t="str">
        <f t="shared" si="450"/>
        <v/>
      </c>
      <c r="AX778" s="66" t="str">
        <f t="shared" si="451"/>
        <v/>
      </c>
      <c r="AY778" s="67">
        <f t="shared" si="452"/>
        <v>-154</v>
      </c>
      <c r="AZ778" s="61">
        <v>1</v>
      </c>
      <c r="BA778" s="66">
        <f t="shared" si="453"/>
        <v>154</v>
      </c>
      <c r="BB778" s="66" t="str">
        <f t="shared" si="454"/>
        <v/>
      </c>
      <c r="BC778" s="67" t="str">
        <f t="shared" si="455"/>
        <v/>
      </c>
    </row>
    <row r="779" spans="29:55">
      <c r="AD779" s="68" t="str">
        <v>21</v>
      </c>
      <c r="AE779" s="61">
        <v>164.39999999999998</v>
      </c>
      <c r="AF779" s="61">
        <v>-1</v>
      </c>
      <c r="AG779" s="66" t="str">
        <f t="shared" si="456"/>
        <v/>
      </c>
      <c r="AH779" s="66" t="str">
        <f t="shared" si="457"/>
        <v/>
      </c>
      <c r="AI779" s="67">
        <f t="shared" si="458"/>
        <v>-164.39999999999998</v>
      </c>
      <c r="AJ779" s="61">
        <v>1</v>
      </c>
      <c r="AK779" s="66">
        <f t="shared" si="459"/>
        <v>164.39999999999998</v>
      </c>
      <c r="AL779" s="66" t="str">
        <f t="shared" si="460"/>
        <v/>
      </c>
      <c r="AM779" s="67" t="str">
        <f t="shared" si="461"/>
        <v/>
      </c>
      <c r="AN779" s="61">
        <v>1</v>
      </c>
      <c r="AO779" s="66">
        <f t="shared" si="462"/>
        <v>164.39999999999998</v>
      </c>
      <c r="AP779" s="66" t="str">
        <f t="shared" si="463"/>
        <v/>
      </c>
      <c r="AQ779" s="67" t="str">
        <f t="shared" si="464"/>
        <v/>
      </c>
      <c r="AR779" s="61">
        <v>-1</v>
      </c>
      <c r="AS779" s="66" t="str">
        <f t="shared" si="465"/>
        <v/>
      </c>
      <c r="AT779" s="66" t="str">
        <f t="shared" si="466"/>
        <v/>
      </c>
      <c r="AU779" s="67">
        <f t="shared" si="467"/>
        <v>-164.39999999999998</v>
      </c>
      <c r="AV779" s="61">
        <v>-1</v>
      </c>
      <c r="AW779" s="66" t="str">
        <f t="shared" si="450"/>
        <v/>
      </c>
      <c r="AX779" s="66" t="str">
        <f t="shared" si="451"/>
        <v/>
      </c>
      <c r="AY779" s="67">
        <f t="shared" si="452"/>
        <v>-164.39999999999998</v>
      </c>
      <c r="AZ779" s="61">
        <v>-1</v>
      </c>
      <c r="BA779" s="66" t="str">
        <f t="shared" si="453"/>
        <v/>
      </c>
      <c r="BB779" s="66" t="str">
        <f t="shared" si="454"/>
        <v/>
      </c>
      <c r="BC779" s="67">
        <f t="shared" si="455"/>
        <v>-164.39999999999998</v>
      </c>
    </row>
    <row r="780" spans="29:55">
      <c r="AD780" s="68" t="str">
        <v>22</v>
      </c>
      <c r="AE780" s="61">
        <v>176.1</v>
      </c>
      <c r="AF780" s="61">
        <v>-1</v>
      </c>
      <c r="AG780" s="66" t="str">
        <f t="shared" si="456"/>
        <v/>
      </c>
      <c r="AH780" s="66" t="str">
        <f t="shared" si="457"/>
        <v/>
      </c>
      <c r="AI780" s="67">
        <f t="shared" si="458"/>
        <v>-176.1</v>
      </c>
      <c r="AJ780" s="61">
        <v>1</v>
      </c>
      <c r="AK780" s="66">
        <f t="shared" si="459"/>
        <v>176.1</v>
      </c>
      <c r="AL780" s="66" t="str">
        <f t="shared" si="460"/>
        <v/>
      </c>
      <c r="AM780" s="67" t="str">
        <f t="shared" si="461"/>
        <v/>
      </c>
      <c r="AN780" s="61">
        <v>1</v>
      </c>
      <c r="AO780" s="66">
        <f t="shared" si="462"/>
        <v>176.1</v>
      </c>
      <c r="AP780" s="66" t="str">
        <f t="shared" si="463"/>
        <v/>
      </c>
      <c r="AQ780" s="67" t="str">
        <f t="shared" si="464"/>
        <v/>
      </c>
      <c r="AR780" s="61">
        <v>-1</v>
      </c>
      <c r="AS780" s="66" t="str">
        <f t="shared" si="465"/>
        <v/>
      </c>
      <c r="AT780" s="66" t="str">
        <f t="shared" si="466"/>
        <v/>
      </c>
      <c r="AU780" s="67">
        <f t="shared" si="467"/>
        <v>-176.1</v>
      </c>
      <c r="AV780" s="61">
        <v>0</v>
      </c>
      <c r="AW780" s="66" t="str">
        <f t="shared" si="450"/>
        <v/>
      </c>
      <c r="AX780" s="66">
        <f t="shared" si="451"/>
        <v>0</v>
      </c>
      <c r="AY780" s="67" t="str">
        <f t="shared" si="452"/>
        <v/>
      </c>
      <c r="AZ780" s="61">
        <v>-1</v>
      </c>
      <c r="BA780" s="66" t="str">
        <f t="shared" si="453"/>
        <v/>
      </c>
      <c r="BB780" s="66" t="str">
        <f t="shared" si="454"/>
        <v/>
      </c>
      <c r="BC780" s="67">
        <f t="shared" si="455"/>
        <v>-176.1</v>
      </c>
    </row>
    <row r="781" spans="29:55">
      <c r="AD781" s="68" t="str">
        <v>23</v>
      </c>
      <c r="AE781" s="61">
        <v>179.6</v>
      </c>
      <c r="AF781" s="61">
        <v>-1</v>
      </c>
      <c r="AG781" s="66" t="str">
        <f t="shared" si="456"/>
        <v/>
      </c>
      <c r="AH781" s="66" t="str">
        <f t="shared" si="457"/>
        <v/>
      </c>
      <c r="AI781" s="67">
        <f t="shared" si="458"/>
        <v>-179.6</v>
      </c>
      <c r="AJ781" s="61">
        <v>1</v>
      </c>
      <c r="AK781" s="66">
        <f t="shared" si="459"/>
        <v>179.6</v>
      </c>
      <c r="AL781" s="66" t="str">
        <f t="shared" si="460"/>
        <v/>
      </c>
      <c r="AM781" s="67" t="str">
        <f t="shared" si="461"/>
        <v/>
      </c>
      <c r="AN781" s="61">
        <v>1</v>
      </c>
      <c r="AO781" s="66">
        <f t="shared" si="462"/>
        <v>179.6</v>
      </c>
      <c r="AP781" s="66" t="str">
        <f t="shared" si="463"/>
        <v/>
      </c>
      <c r="AQ781" s="67" t="str">
        <f t="shared" si="464"/>
        <v/>
      </c>
      <c r="AR781" s="61">
        <v>-1</v>
      </c>
      <c r="AS781" s="66" t="str">
        <f t="shared" si="465"/>
        <v/>
      </c>
      <c r="AT781" s="66" t="str">
        <f t="shared" si="466"/>
        <v/>
      </c>
      <c r="AU781" s="67">
        <f t="shared" si="467"/>
        <v>-179.6</v>
      </c>
      <c r="AV781" s="61">
        <v>1</v>
      </c>
      <c r="AW781" s="66">
        <f t="shared" si="450"/>
        <v>179.6</v>
      </c>
      <c r="AX781" s="66" t="str">
        <f t="shared" si="451"/>
        <v/>
      </c>
      <c r="AY781" s="67" t="str">
        <f t="shared" si="452"/>
        <v/>
      </c>
      <c r="AZ781" s="61">
        <v>-1</v>
      </c>
      <c r="BA781" s="66" t="str">
        <f t="shared" si="453"/>
        <v/>
      </c>
      <c r="BB781" s="66" t="str">
        <f t="shared" si="454"/>
        <v/>
      </c>
      <c r="BC781" s="67">
        <f t="shared" si="455"/>
        <v>-179.6</v>
      </c>
    </row>
    <row r="782" spans="29:55" ht="15.75" thickBot="1">
      <c r="AC782" s="476">
        <f>AD754</f>
        <v>44734</v>
      </c>
      <c r="AD782" s="69" t="s">
        <v>85</v>
      </c>
      <c r="AE782" s="70">
        <f>SUM(AE758:AE781)</f>
        <v>3990.7000000000003</v>
      </c>
      <c r="AF782" s="70"/>
      <c r="AG782" s="71">
        <f>ABS(SUM(AG758:AG781))</f>
        <v>2187.2000000000003</v>
      </c>
      <c r="AH782" s="70"/>
      <c r="AI782" s="72">
        <f>ABS(SUM(AI758:AI781))</f>
        <v>1803.5</v>
      </c>
      <c r="AJ782" s="70"/>
      <c r="AK782" s="71">
        <f>ABS(SUM(AK758:AK781))</f>
        <v>1914.8999999999996</v>
      </c>
      <c r="AL782" s="70"/>
      <c r="AM782" s="72">
        <f>ABS(SUM(AM758:AM781))</f>
        <v>2075.8000000000002</v>
      </c>
      <c r="AN782" s="70"/>
      <c r="AO782" s="71">
        <f>ABS(SUM(AO758:AO781))</f>
        <v>2168</v>
      </c>
      <c r="AP782" s="70"/>
      <c r="AQ782" s="72">
        <f>ABS(SUM(AQ758:AQ781))</f>
        <v>1822.7000000000005</v>
      </c>
      <c r="AR782" s="70"/>
      <c r="AS782" s="71">
        <f>ABS(SUM(AS758:AS781))</f>
        <v>1817.0000000000002</v>
      </c>
      <c r="AT782" s="70"/>
      <c r="AU782" s="72">
        <f>ABS(SUM(AU758:AU781))</f>
        <v>2173.6999999999998</v>
      </c>
      <c r="AV782" s="70"/>
      <c r="AW782" s="71">
        <f>ABS(SUM(AW758:AW781))</f>
        <v>1333.1999999999998</v>
      </c>
      <c r="AX782" s="70"/>
      <c r="AY782" s="72">
        <f>ABS(SUM(AY758:AY781))</f>
        <v>1325.1</v>
      </c>
      <c r="AZ782" s="70"/>
      <c r="BA782" s="71">
        <f>ABS(SUM(BA758:BA781))</f>
        <v>1986.7000000000003</v>
      </c>
      <c r="BB782" s="70"/>
      <c r="BC782" s="72">
        <f>ABS(SUM(BC758:BC781))</f>
        <v>2004</v>
      </c>
    </row>
    <row r="784" spans="29:55" ht="15" thickBot="1">
      <c r="AD784" s="476">
        <f>skemA1!B31</f>
        <v>44735</v>
      </c>
    </row>
    <row r="785" spans="30:55" ht="15" thickBot="1">
      <c r="AD785" s="677" t="s">
        <v>75</v>
      </c>
      <c r="AE785" s="60" t="s">
        <v>558</v>
      </c>
      <c r="AF785" s="672" t="s">
        <v>559</v>
      </c>
      <c r="AG785" s="672"/>
      <c r="AH785" s="672"/>
      <c r="AI785" s="673"/>
      <c r="AJ785" s="672" t="s">
        <v>562</v>
      </c>
      <c r="AK785" s="672"/>
      <c r="AL785" s="672"/>
      <c r="AM785" s="673"/>
      <c r="AN785" s="672" t="s">
        <v>563</v>
      </c>
      <c r="AO785" s="672"/>
      <c r="AP785" s="672"/>
      <c r="AQ785" s="673"/>
      <c r="AR785" s="672" t="s">
        <v>564</v>
      </c>
      <c r="AS785" s="672"/>
      <c r="AT785" s="672"/>
      <c r="AU785" s="673"/>
      <c r="AV785" s="672" t="s">
        <v>565</v>
      </c>
      <c r="AW785" s="672"/>
      <c r="AX785" s="672"/>
      <c r="AY785" s="673"/>
      <c r="AZ785" s="672" t="s">
        <v>566</v>
      </c>
      <c r="BA785" s="672"/>
      <c r="BB785" s="672"/>
      <c r="BC785" s="673"/>
    </row>
    <row r="786" spans="30:55" ht="15" thickBot="1">
      <c r="AD786" s="677"/>
      <c r="AE786" s="61"/>
      <c r="AF786" s="674" t="s">
        <v>561</v>
      </c>
      <c r="AG786" s="670" t="s">
        <v>560</v>
      </c>
      <c r="AH786" s="670"/>
      <c r="AI786" s="671"/>
      <c r="AJ786" s="674" t="s">
        <v>561</v>
      </c>
      <c r="AK786" s="670" t="s">
        <v>560</v>
      </c>
      <c r="AL786" s="670"/>
      <c r="AM786" s="671"/>
      <c r="AN786" s="674" t="s">
        <v>561</v>
      </c>
      <c r="AO786" s="670" t="s">
        <v>560</v>
      </c>
      <c r="AP786" s="670"/>
      <c r="AQ786" s="671"/>
      <c r="AR786" s="674" t="s">
        <v>561</v>
      </c>
      <c r="AS786" s="670" t="s">
        <v>560</v>
      </c>
      <c r="AT786" s="670"/>
      <c r="AU786" s="671"/>
      <c r="AV786" s="674" t="s">
        <v>561</v>
      </c>
      <c r="AW786" s="670" t="s">
        <v>560</v>
      </c>
      <c r="AX786" s="670"/>
      <c r="AY786" s="671"/>
      <c r="AZ786" s="674" t="s">
        <v>561</v>
      </c>
      <c r="BA786" s="670" t="s">
        <v>560</v>
      </c>
      <c r="BB786" s="670"/>
      <c r="BC786" s="671"/>
    </row>
    <row r="787" spans="30:55">
      <c r="AD787" s="677"/>
      <c r="AE787" s="62"/>
      <c r="AF787" s="674"/>
      <c r="AG787" s="63" t="s">
        <v>76</v>
      </c>
      <c r="AH787" s="63">
        <v>0</v>
      </c>
      <c r="AI787" s="64" t="s">
        <v>77</v>
      </c>
      <c r="AJ787" s="674"/>
      <c r="AK787" s="63" t="s">
        <v>76</v>
      </c>
      <c r="AL787" s="63">
        <v>0</v>
      </c>
      <c r="AM787" s="64" t="s">
        <v>77</v>
      </c>
      <c r="AN787" s="674"/>
      <c r="AO787" s="63" t="s">
        <v>76</v>
      </c>
      <c r="AP787" s="63">
        <v>0</v>
      </c>
      <c r="AQ787" s="64" t="s">
        <v>77</v>
      </c>
      <c r="AR787" s="674"/>
      <c r="AS787" s="63" t="s">
        <v>76</v>
      </c>
      <c r="AT787" s="63">
        <v>0</v>
      </c>
      <c r="AU787" s="64" t="s">
        <v>77</v>
      </c>
      <c r="AV787" s="674"/>
      <c r="AW787" s="63" t="s">
        <v>76</v>
      </c>
      <c r="AX787" s="63">
        <v>0</v>
      </c>
      <c r="AY787" s="64" t="s">
        <v>77</v>
      </c>
      <c r="AZ787" s="674"/>
      <c r="BA787" s="63" t="s">
        <v>76</v>
      </c>
      <c r="BB787" s="63">
        <v>0</v>
      </c>
      <c r="BC787" s="64" t="s">
        <v>77</v>
      </c>
    </row>
    <row r="788" spans="30:55">
      <c r="AD788" s="65" t="str">
        <f t="array" ref="AD788:AD811">TRANSPOSE($C$5:$Z$5)</f>
        <v>00</v>
      </c>
      <c r="AE788" s="66">
        <f t="array" ref="AE788:AE811">TRANSPOSE(skemA1!$C$31:$Z$31)</f>
        <v>179</v>
      </c>
      <c r="AF788" s="66">
        <f t="array" ref="AF788:AF811">TRANSPOSE($C$6:$Z$6)</f>
        <v>-1</v>
      </c>
      <c r="AG788" s="66" t="str">
        <f>IF(AF788&gt;0,AF788*$AE788,"")</f>
        <v/>
      </c>
      <c r="AH788" s="66" t="str">
        <f>IF(AF788=0,AF788*$AE788,"")</f>
        <v/>
      </c>
      <c r="AI788" s="67">
        <f>IF(AF788&lt;0,AF788*$AE788,"")</f>
        <v>-179</v>
      </c>
      <c r="AJ788" s="66">
        <f t="array" ref="AJ788:AJ811">TRANSPOSE($C$7:$Z$7)</f>
        <v>-1</v>
      </c>
      <c r="AK788" s="66" t="str">
        <f>IF(AJ788&gt;0,AJ788*$AE788,"")</f>
        <v/>
      </c>
      <c r="AL788" s="66" t="str">
        <f>IF(AJ788=0,AJ788*$AE788,"")</f>
        <v/>
      </c>
      <c r="AM788" s="67">
        <f>IF(AJ788&lt;0,AJ788*$AE788,"")</f>
        <v>-179</v>
      </c>
      <c r="AN788" s="66">
        <f t="array" ref="AN788:AN811">TRANSPOSE($C$8:$Z$8)</f>
        <v>1</v>
      </c>
      <c r="AO788" s="66">
        <f>IF(AN788&gt;0,AN788*$AE788,"")</f>
        <v>179</v>
      </c>
      <c r="AP788" s="66" t="str">
        <f>IF(AN788=0,AN788*$AE788,"")</f>
        <v/>
      </c>
      <c r="AQ788" s="67" t="str">
        <f>IF(AN788&lt;0,AN788*$AE788,"")</f>
        <v/>
      </c>
      <c r="AR788" s="66">
        <f t="array" ref="AR788:AR811">TRANSPOSE($C$9:$Z$9)</f>
        <v>1</v>
      </c>
      <c r="AS788" s="66">
        <f>IF(AR788&gt;0,AR788*$AE788,"")</f>
        <v>179</v>
      </c>
      <c r="AT788" s="66" t="str">
        <f>IF(AR788=0,AR788*$AE788,"")</f>
        <v/>
      </c>
      <c r="AU788" s="67" t="str">
        <f>IF(AR788&lt;0,AR788*$AE788,"")</f>
        <v/>
      </c>
      <c r="AV788" s="66">
        <f t="array" ref="AV788:AV811">TRANSPOSE($C$10:$Z$10)</f>
        <v>1</v>
      </c>
      <c r="AW788" s="66">
        <f t="shared" ref="AW788:AW811" si="468">IF(AV788&gt;0,AV788*$AE788,"")</f>
        <v>179</v>
      </c>
      <c r="AX788" s="66" t="str">
        <f t="shared" ref="AX788:AX811" si="469">IF(AV788=0,AV788*$AE788,"")</f>
        <v/>
      </c>
      <c r="AY788" s="67" t="str">
        <f t="shared" ref="AY788:AY811" si="470">IF(AV788&lt;0,AV788*$AE788,"")</f>
        <v/>
      </c>
      <c r="AZ788" s="66">
        <f t="array" ref="AZ788:AZ811">TRANSPOSE($C$11:$Z$11)</f>
        <v>1</v>
      </c>
      <c r="BA788" s="66">
        <f t="shared" ref="BA788:BA811" si="471">IF(AZ788&gt;0,AZ788*$AE788,"")</f>
        <v>179</v>
      </c>
      <c r="BB788" s="66" t="str">
        <f t="shared" ref="BB788:BB811" si="472">IF(AZ788=0,AZ788*$AE788,"")</f>
        <v/>
      </c>
      <c r="BC788" s="67" t="str">
        <f t="shared" ref="BC788:BC811" si="473">IF(AZ788&lt;0,AZ788*$AE788,"")</f>
        <v/>
      </c>
    </row>
    <row r="789" spans="30:55">
      <c r="AD789" s="68" t="str">
        <v>01</v>
      </c>
      <c r="AE789" s="61">
        <v>172.4</v>
      </c>
      <c r="AF789" s="61">
        <v>-1</v>
      </c>
      <c r="AG789" s="66" t="str">
        <f t="shared" ref="AG789:AG811" si="474">IF(AF789&gt;0,AF789*$AE789,"")</f>
        <v/>
      </c>
      <c r="AH789" s="66" t="str">
        <f t="shared" ref="AH789:AH811" si="475">IF(AF789=0,AF789*$AE789,"")</f>
        <v/>
      </c>
      <c r="AI789" s="67">
        <f t="shared" ref="AI789:AI811" si="476">IF(AF789&lt;0,AF789*$AE789,"")</f>
        <v>-172.4</v>
      </c>
      <c r="AJ789" s="61">
        <v>-1</v>
      </c>
      <c r="AK789" s="66" t="str">
        <f t="shared" ref="AK789:AK811" si="477">IF(AJ789&gt;0,AJ789*$AE789,"")</f>
        <v/>
      </c>
      <c r="AL789" s="66" t="str">
        <f t="shared" ref="AL789:AL811" si="478">IF(AJ789=0,AJ789*$AE789,"")</f>
        <v/>
      </c>
      <c r="AM789" s="67">
        <f t="shared" ref="AM789:AM811" si="479">IF(AJ789&lt;0,AJ789*$AE789,"")</f>
        <v>-172.4</v>
      </c>
      <c r="AN789" s="61">
        <v>1</v>
      </c>
      <c r="AO789" s="66">
        <f t="shared" ref="AO789:AO811" si="480">IF(AN789&gt;0,AN789*$AE789,"")</f>
        <v>172.4</v>
      </c>
      <c r="AP789" s="66" t="str">
        <f t="shared" ref="AP789:AP811" si="481">IF(AN789=0,AN789*$AE789,"")</f>
        <v/>
      </c>
      <c r="AQ789" s="67" t="str">
        <f t="shared" ref="AQ789:AQ811" si="482">IF(AN789&lt;0,AN789*$AE789,"")</f>
        <v/>
      </c>
      <c r="AR789" s="61">
        <v>1</v>
      </c>
      <c r="AS789" s="66">
        <f t="shared" ref="AS789:AS811" si="483">IF(AR789&gt;0,AR789*$AE789,"")</f>
        <v>172.4</v>
      </c>
      <c r="AT789" s="66" t="str">
        <f t="shared" ref="AT789:AT811" si="484">IF(AR789=0,AR789*$AE789,"")</f>
        <v/>
      </c>
      <c r="AU789" s="67" t="str">
        <f t="shared" ref="AU789:AU811" si="485">IF(AR789&lt;0,AR789*$AE789,"")</f>
        <v/>
      </c>
      <c r="AV789" s="61">
        <v>0</v>
      </c>
      <c r="AW789" s="66" t="str">
        <f t="shared" si="468"/>
        <v/>
      </c>
      <c r="AX789" s="66">
        <f t="shared" si="469"/>
        <v>0</v>
      </c>
      <c r="AY789" s="67" t="str">
        <f t="shared" si="470"/>
        <v/>
      </c>
      <c r="AZ789" s="61">
        <v>1</v>
      </c>
      <c r="BA789" s="66">
        <f t="shared" si="471"/>
        <v>172.4</v>
      </c>
      <c r="BB789" s="66" t="str">
        <f t="shared" si="472"/>
        <v/>
      </c>
      <c r="BC789" s="67" t="str">
        <f t="shared" si="473"/>
        <v/>
      </c>
    </row>
    <row r="790" spans="30:55">
      <c r="AD790" s="68" t="str">
        <v>02</v>
      </c>
      <c r="AE790" s="61">
        <v>161.69999999999999</v>
      </c>
      <c r="AF790" s="61">
        <v>-1</v>
      </c>
      <c r="AG790" s="66" t="str">
        <f t="shared" si="474"/>
        <v/>
      </c>
      <c r="AH790" s="66" t="str">
        <f t="shared" si="475"/>
        <v/>
      </c>
      <c r="AI790" s="67">
        <f t="shared" si="476"/>
        <v>-161.69999999999999</v>
      </c>
      <c r="AJ790" s="61">
        <v>-1</v>
      </c>
      <c r="AK790" s="66" t="str">
        <f t="shared" si="477"/>
        <v/>
      </c>
      <c r="AL790" s="66" t="str">
        <f t="shared" si="478"/>
        <v/>
      </c>
      <c r="AM790" s="67">
        <f t="shared" si="479"/>
        <v>-161.69999999999999</v>
      </c>
      <c r="AN790" s="61">
        <v>1</v>
      </c>
      <c r="AO790" s="66">
        <f t="shared" si="480"/>
        <v>161.69999999999999</v>
      </c>
      <c r="AP790" s="66" t="str">
        <f t="shared" si="481"/>
        <v/>
      </c>
      <c r="AQ790" s="67" t="str">
        <f t="shared" si="482"/>
        <v/>
      </c>
      <c r="AR790" s="61">
        <v>1</v>
      </c>
      <c r="AS790" s="66">
        <f t="shared" si="483"/>
        <v>161.69999999999999</v>
      </c>
      <c r="AT790" s="66" t="str">
        <f t="shared" si="484"/>
        <v/>
      </c>
      <c r="AU790" s="67" t="str">
        <f t="shared" si="485"/>
        <v/>
      </c>
      <c r="AV790" s="61">
        <v>-1</v>
      </c>
      <c r="AW790" s="66" t="str">
        <f t="shared" si="468"/>
        <v/>
      </c>
      <c r="AX790" s="66" t="str">
        <f t="shared" si="469"/>
        <v/>
      </c>
      <c r="AY790" s="67">
        <f t="shared" si="470"/>
        <v>-161.69999999999999</v>
      </c>
      <c r="AZ790" s="61">
        <v>1</v>
      </c>
      <c r="BA790" s="66">
        <f t="shared" si="471"/>
        <v>161.69999999999999</v>
      </c>
      <c r="BB790" s="66" t="str">
        <f t="shared" si="472"/>
        <v/>
      </c>
      <c r="BC790" s="67" t="str">
        <f t="shared" si="473"/>
        <v/>
      </c>
    </row>
    <row r="791" spans="30:55">
      <c r="AD791" s="68" t="str">
        <v>03</v>
      </c>
      <c r="AE791" s="61">
        <v>156.6</v>
      </c>
      <c r="AF791" s="61">
        <v>-1</v>
      </c>
      <c r="AG791" s="66" t="str">
        <f t="shared" si="474"/>
        <v/>
      </c>
      <c r="AH791" s="66" t="str">
        <f t="shared" si="475"/>
        <v/>
      </c>
      <c r="AI791" s="67">
        <f t="shared" si="476"/>
        <v>-156.6</v>
      </c>
      <c r="AJ791" s="61">
        <v>-1</v>
      </c>
      <c r="AK791" s="66" t="str">
        <f t="shared" si="477"/>
        <v/>
      </c>
      <c r="AL791" s="66" t="str">
        <f t="shared" si="478"/>
        <v/>
      </c>
      <c r="AM791" s="67">
        <f t="shared" si="479"/>
        <v>-156.6</v>
      </c>
      <c r="AN791" s="61">
        <v>-1</v>
      </c>
      <c r="AO791" s="66" t="str">
        <f t="shared" si="480"/>
        <v/>
      </c>
      <c r="AP791" s="66" t="str">
        <f t="shared" si="481"/>
        <v/>
      </c>
      <c r="AQ791" s="67">
        <f t="shared" si="482"/>
        <v>-156.6</v>
      </c>
      <c r="AR791" s="61">
        <v>1</v>
      </c>
      <c r="AS791" s="66">
        <f t="shared" si="483"/>
        <v>156.6</v>
      </c>
      <c r="AT791" s="66" t="str">
        <f t="shared" si="484"/>
        <v/>
      </c>
      <c r="AU791" s="67" t="str">
        <f t="shared" si="485"/>
        <v/>
      </c>
      <c r="AV791" s="61">
        <v>-1</v>
      </c>
      <c r="AW791" s="66" t="str">
        <f t="shared" si="468"/>
        <v/>
      </c>
      <c r="AX791" s="66" t="str">
        <f t="shared" si="469"/>
        <v/>
      </c>
      <c r="AY791" s="67">
        <f t="shared" si="470"/>
        <v>-156.6</v>
      </c>
      <c r="AZ791" s="61">
        <v>-1</v>
      </c>
      <c r="BA791" s="66" t="str">
        <f t="shared" si="471"/>
        <v/>
      </c>
      <c r="BB791" s="66" t="str">
        <f t="shared" si="472"/>
        <v/>
      </c>
      <c r="BC791" s="67">
        <f t="shared" si="473"/>
        <v>-156.6</v>
      </c>
    </row>
    <row r="792" spans="30:55">
      <c r="AD792" s="68" t="str">
        <v>04</v>
      </c>
      <c r="AE792" s="61">
        <v>153.19999999999999</v>
      </c>
      <c r="AF792" s="61">
        <v>-1</v>
      </c>
      <c r="AG792" s="66" t="str">
        <f t="shared" si="474"/>
        <v/>
      </c>
      <c r="AH792" s="66" t="str">
        <f t="shared" si="475"/>
        <v/>
      </c>
      <c r="AI792" s="67">
        <f t="shared" si="476"/>
        <v>-153.19999999999999</v>
      </c>
      <c r="AJ792" s="61">
        <v>-1</v>
      </c>
      <c r="AK792" s="66" t="str">
        <f t="shared" si="477"/>
        <v/>
      </c>
      <c r="AL792" s="66" t="str">
        <f t="shared" si="478"/>
        <v/>
      </c>
      <c r="AM792" s="67">
        <f t="shared" si="479"/>
        <v>-153.19999999999999</v>
      </c>
      <c r="AN792" s="61">
        <v>-1</v>
      </c>
      <c r="AO792" s="66" t="str">
        <f t="shared" si="480"/>
        <v/>
      </c>
      <c r="AP792" s="66" t="str">
        <f t="shared" si="481"/>
        <v/>
      </c>
      <c r="AQ792" s="67">
        <f t="shared" si="482"/>
        <v>-153.19999999999999</v>
      </c>
      <c r="AR792" s="61">
        <v>1</v>
      </c>
      <c r="AS792" s="66">
        <f t="shared" si="483"/>
        <v>153.19999999999999</v>
      </c>
      <c r="AT792" s="66" t="str">
        <f t="shared" si="484"/>
        <v/>
      </c>
      <c r="AU792" s="67" t="str">
        <f t="shared" si="485"/>
        <v/>
      </c>
      <c r="AV792" s="61">
        <v>0</v>
      </c>
      <c r="AW792" s="66" t="str">
        <f t="shared" si="468"/>
        <v/>
      </c>
      <c r="AX792" s="66">
        <f t="shared" si="469"/>
        <v>0</v>
      </c>
      <c r="AY792" s="67" t="str">
        <f t="shared" si="470"/>
        <v/>
      </c>
      <c r="AZ792" s="61">
        <v>-1</v>
      </c>
      <c r="BA792" s="66" t="str">
        <f t="shared" si="471"/>
        <v/>
      </c>
      <c r="BB792" s="66" t="str">
        <f t="shared" si="472"/>
        <v/>
      </c>
      <c r="BC792" s="67">
        <f t="shared" si="473"/>
        <v>-153.19999999999999</v>
      </c>
    </row>
    <row r="793" spans="30:55">
      <c r="AD793" s="68" t="str">
        <v>05</v>
      </c>
      <c r="AE793" s="61">
        <v>156.80000000000001</v>
      </c>
      <c r="AF793" s="61">
        <v>-1</v>
      </c>
      <c r="AG793" s="66" t="str">
        <f t="shared" si="474"/>
        <v/>
      </c>
      <c r="AH793" s="66" t="str">
        <f t="shared" si="475"/>
        <v/>
      </c>
      <c r="AI793" s="67">
        <f t="shared" si="476"/>
        <v>-156.80000000000001</v>
      </c>
      <c r="AJ793" s="61">
        <v>-1</v>
      </c>
      <c r="AK793" s="66" t="str">
        <f t="shared" si="477"/>
        <v/>
      </c>
      <c r="AL793" s="66" t="str">
        <f t="shared" si="478"/>
        <v/>
      </c>
      <c r="AM793" s="67">
        <f t="shared" si="479"/>
        <v>-156.80000000000001</v>
      </c>
      <c r="AN793" s="61">
        <v>-1</v>
      </c>
      <c r="AO793" s="66" t="str">
        <f t="shared" si="480"/>
        <v/>
      </c>
      <c r="AP793" s="66" t="str">
        <f t="shared" si="481"/>
        <v/>
      </c>
      <c r="AQ793" s="67">
        <f t="shared" si="482"/>
        <v>-156.80000000000001</v>
      </c>
      <c r="AR793" s="61">
        <v>1</v>
      </c>
      <c r="AS793" s="66">
        <f t="shared" si="483"/>
        <v>156.80000000000001</v>
      </c>
      <c r="AT793" s="66" t="str">
        <f t="shared" si="484"/>
        <v/>
      </c>
      <c r="AU793" s="67" t="str">
        <f t="shared" si="485"/>
        <v/>
      </c>
      <c r="AV793" s="61">
        <v>1</v>
      </c>
      <c r="AW793" s="66">
        <f t="shared" si="468"/>
        <v>156.80000000000001</v>
      </c>
      <c r="AX793" s="66" t="str">
        <f t="shared" si="469"/>
        <v/>
      </c>
      <c r="AY793" s="67" t="str">
        <f t="shared" si="470"/>
        <v/>
      </c>
      <c r="AZ793" s="61">
        <v>-1</v>
      </c>
      <c r="BA793" s="66" t="str">
        <f t="shared" si="471"/>
        <v/>
      </c>
      <c r="BB793" s="66" t="str">
        <f t="shared" si="472"/>
        <v/>
      </c>
      <c r="BC793" s="67">
        <f t="shared" si="473"/>
        <v>-156.80000000000001</v>
      </c>
    </row>
    <row r="794" spans="30:55">
      <c r="AD794" s="68" t="str">
        <v>06</v>
      </c>
      <c r="AE794" s="61">
        <v>166.5</v>
      </c>
      <c r="AF794" s="61">
        <v>1</v>
      </c>
      <c r="AG794" s="66">
        <f t="shared" si="474"/>
        <v>166.5</v>
      </c>
      <c r="AH794" s="66" t="str">
        <f t="shared" si="475"/>
        <v/>
      </c>
      <c r="AI794" s="67" t="str">
        <f t="shared" si="476"/>
        <v/>
      </c>
      <c r="AJ794" s="61">
        <v>-1</v>
      </c>
      <c r="AK794" s="66" t="str">
        <f t="shared" si="477"/>
        <v/>
      </c>
      <c r="AL794" s="66" t="str">
        <f t="shared" si="478"/>
        <v/>
      </c>
      <c r="AM794" s="67">
        <f t="shared" si="479"/>
        <v>-166.5</v>
      </c>
      <c r="AN794" s="61">
        <v>-1</v>
      </c>
      <c r="AO794" s="66" t="str">
        <f t="shared" si="480"/>
        <v/>
      </c>
      <c r="AP794" s="66" t="str">
        <f t="shared" si="481"/>
        <v/>
      </c>
      <c r="AQ794" s="67">
        <f t="shared" si="482"/>
        <v>-166.5</v>
      </c>
      <c r="AR794" s="61">
        <v>-1</v>
      </c>
      <c r="AS794" s="66" t="str">
        <f t="shared" si="483"/>
        <v/>
      </c>
      <c r="AT794" s="66" t="str">
        <f t="shared" si="484"/>
        <v/>
      </c>
      <c r="AU794" s="67">
        <f t="shared" si="485"/>
        <v>-166.5</v>
      </c>
      <c r="AV794" s="61">
        <v>1</v>
      </c>
      <c r="AW794" s="66">
        <f t="shared" si="468"/>
        <v>166.5</v>
      </c>
      <c r="AX794" s="66" t="str">
        <f t="shared" si="469"/>
        <v/>
      </c>
      <c r="AY794" s="67" t="str">
        <f t="shared" si="470"/>
        <v/>
      </c>
      <c r="AZ794" s="61">
        <v>1</v>
      </c>
      <c r="BA794" s="66">
        <f t="shared" si="471"/>
        <v>166.5</v>
      </c>
      <c r="BB794" s="66" t="str">
        <f t="shared" si="472"/>
        <v/>
      </c>
      <c r="BC794" s="67" t="str">
        <f t="shared" si="473"/>
        <v/>
      </c>
    </row>
    <row r="795" spans="30:55">
      <c r="AD795" s="68" t="str">
        <v>07</v>
      </c>
      <c r="AE795" s="61">
        <v>178.4</v>
      </c>
      <c r="AF795" s="61">
        <v>1</v>
      </c>
      <c r="AG795" s="66">
        <f t="shared" si="474"/>
        <v>178.4</v>
      </c>
      <c r="AH795" s="66" t="str">
        <f t="shared" si="475"/>
        <v/>
      </c>
      <c r="AI795" s="67" t="str">
        <f t="shared" si="476"/>
        <v/>
      </c>
      <c r="AJ795" s="61">
        <v>-1</v>
      </c>
      <c r="AK795" s="66" t="str">
        <f t="shared" si="477"/>
        <v/>
      </c>
      <c r="AL795" s="66" t="str">
        <f t="shared" si="478"/>
        <v/>
      </c>
      <c r="AM795" s="67">
        <f t="shared" si="479"/>
        <v>-178.4</v>
      </c>
      <c r="AN795" s="61">
        <v>-1</v>
      </c>
      <c r="AO795" s="66" t="str">
        <f t="shared" si="480"/>
        <v/>
      </c>
      <c r="AP795" s="66" t="str">
        <f t="shared" si="481"/>
        <v/>
      </c>
      <c r="AQ795" s="67">
        <f t="shared" si="482"/>
        <v>-178.4</v>
      </c>
      <c r="AR795" s="61">
        <v>-1</v>
      </c>
      <c r="AS795" s="66" t="str">
        <f t="shared" si="483"/>
        <v/>
      </c>
      <c r="AT795" s="66" t="str">
        <f t="shared" si="484"/>
        <v/>
      </c>
      <c r="AU795" s="67">
        <f t="shared" si="485"/>
        <v>-178.4</v>
      </c>
      <c r="AV795" s="61">
        <v>0</v>
      </c>
      <c r="AW795" s="66" t="str">
        <f t="shared" si="468"/>
        <v/>
      </c>
      <c r="AX795" s="66">
        <f t="shared" si="469"/>
        <v>0</v>
      </c>
      <c r="AY795" s="67" t="str">
        <f t="shared" si="470"/>
        <v/>
      </c>
      <c r="AZ795" s="61">
        <v>1</v>
      </c>
      <c r="BA795" s="66">
        <f t="shared" si="471"/>
        <v>178.4</v>
      </c>
      <c r="BB795" s="66" t="str">
        <f t="shared" si="472"/>
        <v/>
      </c>
      <c r="BC795" s="67" t="str">
        <f t="shared" si="473"/>
        <v/>
      </c>
    </row>
    <row r="796" spans="30:55">
      <c r="AD796" s="68" t="str">
        <v>08</v>
      </c>
      <c r="AE796" s="61">
        <v>193.79999999999998</v>
      </c>
      <c r="AF796" s="61">
        <v>1</v>
      </c>
      <c r="AG796" s="66">
        <f t="shared" si="474"/>
        <v>193.79999999999998</v>
      </c>
      <c r="AH796" s="66" t="str">
        <f t="shared" si="475"/>
        <v/>
      </c>
      <c r="AI796" s="67" t="str">
        <f t="shared" si="476"/>
        <v/>
      </c>
      <c r="AJ796" s="61">
        <v>-1</v>
      </c>
      <c r="AK796" s="66" t="str">
        <f t="shared" si="477"/>
        <v/>
      </c>
      <c r="AL796" s="66" t="str">
        <f t="shared" si="478"/>
        <v/>
      </c>
      <c r="AM796" s="67">
        <f t="shared" si="479"/>
        <v>-193.79999999999998</v>
      </c>
      <c r="AN796" s="61">
        <v>-1</v>
      </c>
      <c r="AO796" s="66" t="str">
        <f t="shared" si="480"/>
        <v/>
      </c>
      <c r="AP796" s="66" t="str">
        <f t="shared" si="481"/>
        <v/>
      </c>
      <c r="AQ796" s="67">
        <f t="shared" si="482"/>
        <v>-193.79999999999998</v>
      </c>
      <c r="AR796" s="61">
        <v>-1</v>
      </c>
      <c r="AS796" s="66" t="str">
        <f t="shared" si="483"/>
        <v/>
      </c>
      <c r="AT796" s="66" t="str">
        <f t="shared" si="484"/>
        <v/>
      </c>
      <c r="AU796" s="67">
        <f t="shared" si="485"/>
        <v>-193.79999999999998</v>
      </c>
      <c r="AV796" s="61">
        <v>-1</v>
      </c>
      <c r="AW796" s="66" t="str">
        <f t="shared" si="468"/>
        <v/>
      </c>
      <c r="AX796" s="66" t="str">
        <f t="shared" si="469"/>
        <v/>
      </c>
      <c r="AY796" s="67">
        <f t="shared" si="470"/>
        <v>-193.79999999999998</v>
      </c>
      <c r="AZ796" s="61">
        <v>1</v>
      </c>
      <c r="BA796" s="66">
        <f t="shared" si="471"/>
        <v>193.79999999999998</v>
      </c>
      <c r="BB796" s="66" t="str">
        <f t="shared" si="472"/>
        <v/>
      </c>
      <c r="BC796" s="67" t="str">
        <f t="shared" si="473"/>
        <v/>
      </c>
    </row>
    <row r="797" spans="30:55">
      <c r="AD797" s="68" t="str">
        <v>09</v>
      </c>
      <c r="AE797" s="61">
        <v>197.3</v>
      </c>
      <c r="AF797" s="61">
        <v>1</v>
      </c>
      <c r="AG797" s="66">
        <f t="shared" si="474"/>
        <v>197.3</v>
      </c>
      <c r="AH797" s="66" t="str">
        <f t="shared" si="475"/>
        <v/>
      </c>
      <c r="AI797" s="67" t="str">
        <f t="shared" si="476"/>
        <v/>
      </c>
      <c r="AJ797" s="61">
        <v>-1</v>
      </c>
      <c r="AK797" s="66" t="str">
        <f t="shared" si="477"/>
        <v/>
      </c>
      <c r="AL797" s="66" t="str">
        <f t="shared" si="478"/>
        <v/>
      </c>
      <c r="AM797" s="67">
        <f t="shared" si="479"/>
        <v>-197.3</v>
      </c>
      <c r="AN797" s="61">
        <v>1</v>
      </c>
      <c r="AO797" s="66">
        <f t="shared" si="480"/>
        <v>197.3</v>
      </c>
      <c r="AP797" s="66" t="str">
        <f t="shared" si="481"/>
        <v/>
      </c>
      <c r="AQ797" s="67" t="str">
        <f t="shared" si="482"/>
        <v/>
      </c>
      <c r="AR797" s="61">
        <v>-1</v>
      </c>
      <c r="AS797" s="66" t="str">
        <f t="shared" si="483"/>
        <v/>
      </c>
      <c r="AT797" s="66" t="str">
        <f t="shared" si="484"/>
        <v/>
      </c>
      <c r="AU797" s="67">
        <f t="shared" si="485"/>
        <v>-197.3</v>
      </c>
      <c r="AV797" s="61">
        <v>-1</v>
      </c>
      <c r="AW797" s="66" t="str">
        <f t="shared" si="468"/>
        <v/>
      </c>
      <c r="AX797" s="66" t="str">
        <f t="shared" si="469"/>
        <v/>
      </c>
      <c r="AY797" s="67">
        <f t="shared" si="470"/>
        <v>-197.3</v>
      </c>
      <c r="AZ797" s="61">
        <v>-1</v>
      </c>
      <c r="BA797" s="66" t="str">
        <f t="shared" si="471"/>
        <v/>
      </c>
      <c r="BB797" s="66" t="str">
        <f t="shared" si="472"/>
        <v/>
      </c>
      <c r="BC797" s="67">
        <f t="shared" si="473"/>
        <v>-197.3</v>
      </c>
    </row>
    <row r="798" spans="30:55">
      <c r="AD798" s="68" t="str">
        <v>10</v>
      </c>
      <c r="AE798" s="61">
        <v>197</v>
      </c>
      <c r="AF798" s="61">
        <v>1</v>
      </c>
      <c r="AG798" s="66">
        <f t="shared" si="474"/>
        <v>197</v>
      </c>
      <c r="AH798" s="66" t="str">
        <f t="shared" si="475"/>
        <v/>
      </c>
      <c r="AI798" s="67" t="str">
        <f t="shared" si="476"/>
        <v/>
      </c>
      <c r="AJ798" s="61">
        <v>-1</v>
      </c>
      <c r="AK798" s="66" t="str">
        <f t="shared" si="477"/>
        <v/>
      </c>
      <c r="AL798" s="66" t="str">
        <f t="shared" si="478"/>
        <v/>
      </c>
      <c r="AM798" s="67">
        <f t="shared" si="479"/>
        <v>-197</v>
      </c>
      <c r="AN798" s="61">
        <v>1</v>
      </c>
      <c r="AO798" s="66">
        <f t="shared" si="480"/>
        <v>197</v>
      </c>
      <c r="AP798" s="66" t="str">
        <f t="shared" si="481"/>
        <v/>
      </c>
      <c r="AQ798" s="67" t="str">
        <f t="shared" si="482"/>
        <v/>
      </c>
      <c r="AR798" s="61">
        <v>-1</v>
      </c>
      <c r="AS798" s="66" t="str">
        <f t="shared" si="483"/>
        <v/>
      </c>
      <c r="AT798" s="66" t="str">
        <f t="shared" si="484"/>
        <v/>
      </c>
      <c r="AU798" s="67">
        <f t="shared" si="485"/>
        <v>-197</v>
      </c>
      <c r="AV798" s="61">
        <v>0</v>
      </c>
      <c r="AW798" s="66" t="str">
        <f t="shared" si="468"/>
        <v/>
      </c>
      <c r="AX798" s="66">
        <f t="shared" si="469"/>
        <v>0</v>
      </c>
      <c r="AY798" s="67" t="str">
        <f t="shared" si="470"/>
        <v/>
      </c>
      <c r="AZ798" s="61">
        <v>-1</v>
      </c>
      <c r="BA798" s="66" t="str">
        <f t="shared" si="471"/>
        <v/>
      </c>
      <c r="BB798" s="66" t="str">
        <f t="shared" si="472"/>
        <v/>
      </c>
      <c r="BC798" s="67">
        <f t="shared" si="473"/>
        <v>-197</v>
      </c>
    </row>
    <row r="799" spans="30:55">
      <c r="AD799" s="68" t="str">
        <v>11</v>
      </c>
      <c r="AE799" s="61">
        <v>194.4</v>
      </c>
      <c r="AF799" s="61">
        <v>1</v>
      </c>
      <c r="AG799" s="66">
        <f t="shared" si="474"/>
        <v>194.4</v>
      </c>
      <c r="AH799" s="66" t="str">
        <f t="shared" si="475"/>
        <v/>
      </c>
      <c r="AI799" s="67" t="str">
        <f t="shared" si="476"/>
        <v/>
      </c>
      <c r="AJ799" s="61">
        <v>-1</v>
      </c>
      <c r="AK799" s="66" t="str">
        <f t="shared" si="477"/>
        <v/>
      </c>
      <c r="AL799" s="66" t="str">
        <f t="shared" si="478"/>
        <v/>
      </c>
      <c r="AM799" s="67">
        <f t="shared" si="479"/>
        <v>-194.4</v>
      </c>
      <c r="AN799" s="61">
        <v>1</v>
      </c>
      <c r="AO799" s="66">
        <f t="shared" si="480"/>
        <v>194.4</v>
      </c>
      <c r="AP799" s="66" t="str">
        <f t="shared" si="481"/>
        <v/>
      </c>
      <c r="AQ799" s="67" t="str">
        <f t="shared" si="482"/>
        <v/>
      </c>
      <c r="AR799" s="61">
        <v>-1</v>
      </c>
      <c r="AS799" s="66" t="str">
        <f t="shared" si="483"/>
        <v/>
      </c>
      <c r="AT799" s="66" t="str">
        <f t="shared" si="484"/>
        <v/>
      </c>
      <c r="AU799" s="67">
        <f t="shared" si="485"/>
        <v>-194.4</v>
      </c>
      <c r="AV799" s="61">
        <v>1</v>
      </c>
      <c r="AW799" s="66">
        <f t="shared" si="468"/>
        <v>194.4</v>
      </c>
      <c r="AX799" s="66" t="str">
        <f t="shared" si="469"/>
        <v/>
      </c>
      <c r="AY799" s="67" t="str">
        <f t="shared" si="470"/>
        <v/>
      </c>
      <c r="AZ799" s="61">
        <v>-1</v>
      </c>
      <c r="BA799" s="66" t="str">
        <f t="shared" si="471"/>
        <v/>
      </c>
      <c r="BB799" s="66" t="str">
        <f t="shared" si="472"/>
        <v/>
      </c>
      <c r="BC799" s="67">
        <f t="shared" si="473"/>
        <v>-194.4</v>
      </c>
    </row>
    <row r="800" spans="30:55">
      <c r="AD800" s="68" t="str">
        <v>12</v>
      </c>
      <c r="AE800" s="61">
        <v>182.4</v>
      </c>
      <c r="AF800" s="61">
        <v>1</v>
      </c>
      <c r="AG800" s="66">
        <f t="shared" si="474"/>
        <v>182.4</v>
      </c>
      <c r="AH800" s="66" t="str">
        <f t="shared" si="475"/>
        <v/>
      </c>
      <c r="AI800" s="67" t="str">
        <f t="shared" si="476"/>
        <v/>
      </c>
      <c r="AJ800" s="61">
        <v>1</v>
      </c>
      <c r="AK800" s="66">
        <f t="shared" si="477"/>
        <v>182.4</v>
      </c>
      <c r="AL800" s="66" t="str">
        <f t="shared" si="478"/>
        <v/>
      </c>
      <c r="AM800" s="67" t="str">
        <f t="shared" si="479"/>
        <v/>
      </c>
      <c r="AN800" s="61">
        <v>1</v>
      </c>
      <c r="AO800" s="66">
        <f t="shared" si="480"/>
        <v>182.4</v>
      </c>
      <c r="AP800" s="66" t="str">
        <f t="shared" si="481"/>
        <v/>
      </c>
      <c r="AQ800" s="67" t="str">
        <f t="shared" si="482"/>
        <v/>
      </c>
      <c r="AR800" s="61">
        <v>1</v>
      </c>
      <c r="AS800" s="66">
        <f t="shared" si="483"/>
        <v>182.4</v>
      </c>
      <c r="AT800" s="66" t="str">
        <f t="shared" si="484"/>
        <v/>
      </c>
      <c r="AU800" s="67" t="str">
        <f t="shared" si="485"/>
        <v/>
      </c>
      <c r="AV800" s="61">
        <v>1</v>
      </c>
      <c r="AW800" s="66">
        <f t="shared" si="468"/>
        <v>182.4</v>
      </c>
      <c r="AX800" s="66" t="str">
        <f t="shared" si="469"/>
        <v/>
      </c>
      <c r="AY800" s="67" t="str">
        <f t="shared" si="470"/>
        <v/>
      </c>
      <c r="AZ800" s="61">
        <v>1</v>
      </c>
      <c r="BA800" s="66">
        <f t="shared" si="471"/>
        <v>182.4</v>
      </c>
      <c r="BB800" s="66" t="str">
        <f t="shared" si="472"/>
        <v/>
      </c>
      <c r="BC800" s="67" t="str">
        <f t="shared" si="473"/>
        <v/>
      </c>
    </row>
    <row r="801" spans="29:55">
      <c r="AD801" s="68" t="str">
        <v>13</v>
      </c>
      <c r="AE801" s="61">
        <v>173.5</v>
      </c>
      <c r="AF801" s="61">
        <v>1</v>
      </c>
      <c r="AG801" s="66">
        <f t="shared" si="474"/>
        <v>173.5</v>
      </c>
      <c r="AH801" s="66" t="str">
        <f t="shared" si="475"/>
        <v/>
      </c>
      <c r="AI801" s="67" t="str">
        <f t="shared" si="476"/>
        <v/>
      </c>
      <c r="AJ801" s="61">
        <v>1</v>
      </c>
      <c r="AK801" s="66">
        <f t="shared" si="477"/>
        <v>173.5</v>
      </c>
      <c r="AL801" s="66" t="str">
        <f t="shared" si="478"/>
        <v/>
      </c>
      <c r="AM801" s="67" t="str">
        <f t="shared" si="479"/>
        <v/>
      </c>
      <c r="AN801" s="61">
        <v>1</v>
      </c>
      <c r="AO801" s="66">
        <f t="shared" si="480"/>
        <v>173.5</v>
      </c>
      <c r="AP801" s="66" t="str">
        <f t="shared" si="481"/>
        <v/>
      </c>
      <c r="AQ801" s="67" t="str">
        <f t="shared" si="482"/>
        <v/>
      </c>
      <c r="AR801" s="61">
        <v>1</v>
      </c>
      <c r="AS801" s="66">
        <f t="shared" si="483"/>
        <v>173.5</v>
      </c>
      <c r="AT801" s="66" t="str">
        <f t="shared" si="484"/>
        <v/>
      </c>
      <c r="AU801" s="67" t="str">
        <f t="shared" si="485"/>
        <v/>
      </c>
      <c r="AV801" s="61">
        <v>0</v>
      </c>
      <c r="AW801" s="66" t="str">
        <f t="shared" si="468"/>
        <v/>
      </c>
      <c r="AX801" s="66">
        <f t="shared" si="469"/>
        <v>0</v>
      </c>
      <c r="AY801" s="67" t="str">
        <f t="shared" si="470"/>
        <v/>
      </c>
      <c r="AZ801" s="61">
        <v>1</v>
      </c>
      <c r="BA801" s="66">
        <f t="shared" si="471"/>
        <v>173.5</v>
      </c>
      <c r="BB801" s="66" t="str">
        <f t="shared" si="472"/>
        <v/>
      </c>
      <c r="BC801" s="67" t="str">
        <f t="shared" si="473"/>
        <v/>
      </c>
    </row>
    <row r="802" spans="29:55">
      <c r="AD802" s="68" t="str">
        <v>14</v>
      </c>
      <c r="AE802" s="61">
        <v>163.69999999999999</v>
      </c>
      <c r="AF802" s="61">
        <v>1</v>
      </c>
      <c r="AG802" s="66">
        <f t="shared" si="474"/>
        <v>163.69999999999999</v>
      </c>
      <c r="AH802" s="66" t="str">
        <f t="shared" si="475"/>
        <v/>
      </c>
      <c r="AI802" s="67" t="str">
        <f t="shared" si="476"/>
        <v/>
      </c>
      <c r="AJ802" s="61">
        <v>1</v>
      </c>
      <c r="AK802" s="66">
        <f t="shared" si="477"/>
        <v>163.69999999999999</v>
      </c>
      <c r="AL802" s="66" t="str">
        <f t="shared" si="478"/>
        <v/>
      </c>
      <c r="AM802" s="67" t="str">
        <f t="shared" si="479"/>
        <v/>
      </c>
      <c r="AN802" s="61">
        <v>1</v>
      </c>
      <c r="AO802" s="66">
        <f t="shared" si="480"/>
        <v>163.69999999999999</v>
      </c>
      <c r="AP802" s="66" t="str">
        <f t="shared" si="481"/>
        <v/>
      </c>
      <c r="AQ802" s="67" t="str">
        <f t="shared" si="482"/>
        <v/>
      </c>
      <c r="AR802" s="61">
        <v>1</v>
      </c>
      <c r="AS802" s="66">
        <f t="shared" si="483"/>
        <v>163.69999999999999</v>
      </c>
      <c r="AT802" s="66" t="str">
        <f t="shared" si="484"/>
        <v/>
      </c>
      <c r="AU802" s="67" t="str">
        <f t="shared" si="485"/>
        <v/>
      </c>
      <c r="AV802" s="61">
        <v>-1</v>
      </c>
      <c r="AW802" s="66" t="str">
        <f t="shared" si="468"/>
        <v/>
      </c>
      <c r="AX802" s="66" t="str">
        <f t="shared" si="469"/>
        <v/>
      </c>
      <c r="AY802" s="67">
        <f t="shared" si="470"/>
        <v>-163.69999999999999</v>
      </c>
      <c r="AZ802" s="61">
        <v>1</v>
      </c>
      <c r="BA802" s="66">
        <f t="shared" si="471"/>
        <v>163.69999999999999</v>
      </c>
      <c r="BB802" s="66" t="str">
        <f t="shared" si="472"/>
        <v/>
      </c>
      <c r="BC802" s="67" t="str">
        <f t="shared" si="473"/>
        <v/>
      </c>
    </row>
    <row r="803" spans="29:55">
      <c r="AD803" s="68" t="str">
        <v>15</v>
      </c>
      <c r="AE803" s="61">
        <v>148.10000000000002</v>
      </c>
      <c r="AF803" s="61">
        <v>1</v>
      </c>
      <c r="AG803" s="66">
        <f t="shared" si="474"/>
        <v>148.10000000000002</v>
      </c>
      <c r="AH803" s="66" t="str">
        <f t="shared" si="475"/>
        <v/>
      </c>
      <c r="AI803" s="67" t="str">
        <f t="shared" si="476"/>
        <v/>
      </c>
      <c r="AJ803" s="61">
        <v>1</v>
      </c>
      <c r="AK803" s="66">
        <f t="shared" si="477"/>
        <v>148.10000000000002</v>
      </c>
      <c r="AL803" s="66" t="str">
        <f t="shared" si="478"/>
        <v/>
      </c>
      <c r="AM803" s="67" t="str">
        <f t="shared" si="479"/>
        <v/>
      </c>
      <c r="AN803" s="61">
        <v>-1</v>
      </c>
      <c r="AO803" s="66" t="str">
        <f t="shared" si="480"/>
        <v/>
      </c>
      <c r="AP803" s="66" t="str">
        <f t="shared" si="481"/>
        <v/>
      </c>
      <c r="AQ803" s="67">
        <f t="shared" si="482"/>
        <v>-148.10000000000002</v>
      </c>
      <c r="AR803" s="61">
        <v>1</v>
      </c>
      <c r="AS803" s="66">
        <f t="shared" si="483"/>
        <v>148.10000000000002</v>
      </c>
      <c r="AT803" s="66" t="str">
        <f t="shared" si="484"/>
        <v/>
      </c>
      <c r="AU803" s="67" t="str">
        <f t="shared" si="485"/>
        <v/>
      </c>
      <c r="AV803" s="61">
        <v>-1</v>
      </c>
      <c r="AW803" s="66" t="str">
        <f t="shared" si="468"/>
        <v/>
      </c>
      <c r="AX803" s="66" t="str">
        <f t="shared" si="469"/>
        <v/>
      </c>
      <c r="AY803" s="67">
        <f t="shared" si="470"/>
        <v>-148.10000000000002</v>
      </c>
      <c r="AZ803" s="61">
        <v>-1</v>
      </c>
      <c r="BA803" s="66" t="str">
        <f t="shared" si="471"/>
        <v/>
      </c>
      <c r="BB803" s="66" t="str">
        <f t="shared" si="472"/>
        <v/>
      </c>
      <c r="BC803" s="67">
        <f t="shared" si="473"/>
        <v>-148.10000000000002</v>
      </c>
    </row>
    <row r="804" spans="29:55">
      <c r="AD804" s="68" t="str">
        <v>16</v>
      </c>
      <c r="AE804" s="61">
        <v>133.20000000000002</v>
      </c>
      <c r="AF804" s="61">
        <v>1</v>
      </c>
      <c r="AG804" s="66">
        <f t="shared" si="474"/>
        <v>133.20000000000002</v>
      </c>
      <c r="AH804" s="66" t="str">
        <f t="shared" si="475"/>
        <v/>
      </c>
      <c r="AI804" s="67" t="str">
        <f t="shared" si="476"/>
        <v/>
      </c>
      <c r="AJ804" s="61">
        <v>1</v>
      </c>
      <c r="AK804" s="66">
        <f t="shared" si="477"/>
        <v>133.20000000000002</v>
      </c>
      <c r="AL804" s="66" t="str">
        <f t="shared" si="478"/>
        <v/>
      </c>
      <c r="AM804" s="67" t="str">
        <f t="shared" si="479"/>
        <v/>
      </c>
      <c r="AN804" s="61">
        <v>-1</v>
      </c>
      <c r="AO804" s="66" t="str">
        <f t="shared" si="480"/>
        <v/>
      </c>
      <c r="AP804" s="66" t="str">
        <f t="shared" si="481"/>
        <v/>
      </c>
      <c r="AQ804" s="67">
        <f t="shared" si="482"/>
        <v>-133.20000000000002</v>
      </c>
      <c r="AR804" s="61">
        <v>1</v>
      </c>
      <c r="AS804" s="66">
        <f t="shared" si="483"/>
        <v>133.20000000000002</v>
      </c>
      <c r="AT804" s="66" t="str">
        <f t="shared" si="484"/>
        <v/>
      </c>
      <c r="AU804" s="67" t="str">
        <f t="shared" si="485"/>
        <v/>
      </c>
      <c r="AV804" s="61">
        <v>0</v>
      </c>
      <c r="AW804" s="66" t="str">
        <f t="shared" si="468"/>
        <v/>
      </c>
      <c r="AX804" s="66">
        <f t="shared" si="469"/>
        <v>0</v>
      </c>
      <c r="AY804" s="67" t="str">
        <f t="shared" si="470"/>
        <v/>
      </c>
      <c r="AZ804" s="61">
        <v>-1</v>
      </c>
      <c r="BA804" s="66" t="str">
        <f t="shared" si="471"/>
        <v/>
      </c>
      <c r="BB804" s="66" t="str">
        <f t="shared" si="472"/>
        <v/>
      </c>
      <c r="BC804" s="67">
        <f t="shared" si="473"/>
        <v>-133.20000000000002</v>
      </c>
    </row>
    <row r="805" spans="29:55">
      <c r="AD805" s="68" t="str">
        <v>17</v>
      </c>
      <c r="AE805" s="61">
        <v>124.70000000000002</v>
      </c>
      <c r="AF805" s="61">
        <v>1</v>
      </c>
      <c r="AG805" s="66">
        <f t="shared" si="474"/>
        <v>124.70000000000002</v>
      </c>
      <c r="AH805" s="66" t="str">
        <f t="shared" si="475"/>
        <v/>
      </c>
      <c r="AI805" s="67" t="str">
        <f t="shared" si="476"/>
        <v/>
      </c>
      <c r="AJ805" s="61">
        <v>1</v>
      </c>
      <c r="AK805" s="66">
        <f t="shared" si="477"/>
        <v>124.70000000000002</v>
      </c>
      <c r="AL805" s="66" t="str">
        <f t="shared" si="478"/>
        <v/>
      </c>
      <c r="AM805" s="67" t="str">
        <f t="shared" si="479"/>
        <v/>
      </c>
      <c r="AN805" s="61">
        <v>-1</v>
      </c>
      <c r="AO805" s="66" t="str">
        <f t="shared" si="480"/>
        <v/>
      </c>
      <c r="AP805" s="66" t="str">
        <f t="shared" si="481"/>
        <v/>
      </c>
      <c r="AQ805" s="67">
        <f t="shared" si="482"/>
        <v>-124.70000000000002</v>
      </c>
      <c r="AR805" s="61">
        <v>1</v>
      </c>
      <c r="AS805" s="66">
        <f t="shared" si="483"/>
        <v>124.70000000000002</v>
      </c>
      <c r="AT805" s="66" t="str">
        <f t="shared" si="484"/>
        <v/>
      </c>
      <c r="AU805" s="67" t="str">
        <f t="shared" si="485"/>
        <v/>
      </c>
      <c r="AV805" s="61">
        <v>1</v>
      </c>
      <c r="AW805" s="66">
        <f t="shared" si="468"/>
        <v>124.70000000000002</v>
      </c>
      <c r="AX805" s="66" t="str">
        <f t="shared" si="469"/>
        <v/>
      </c>
      <c r="AY805" s="67" t="str">
        <f t="shared" si="470"/>
        <v/>
      </c>
      <c r="AZ805" s="61">
        <v>-1</v>
      </c>
      <c r="BA805" s="66" t="str">
        <f t="shared" si="471"/>
        <v/>
      </c>
      <c r="BB805" s="66" t="str">
        <f t="shared" si="472"/>
        <v/>
      </c>
      <c r="BC805" s="67">
        <f t="shared" si="473"/>
        <v>-124.70000000000002</v>
      </c>
    </row>
    <row r="806" spans="29:55">
      <c r="AD806" s="68" t="str">
        <v>18</v>
      </c>
      <c r="AE806" s="61">
        <v>119.6</v>
      </c>
      <c r="AF806" s="61">
        <v>-1</v>
      </c>
      <c r="AG806" s="66" t="str">
        <f t="shared" si="474"/>
        <v/>
      </c>
      <c r="AH806" s="66" t="str">
        <f t="shared" si="475"/>
        <v/>
      </c>
      <c r="AI806" s="67">
        <f t="shared" si="476"/>
        <v>-119.6</v>
      </c>
      <c r="AJ806" s="61">
        <v>1</v>
      </c>
      <c r="AK806" s="66">
        <f t="shared" si="477"/>
        <v>119.6</v>
      </c>
      <c r="AL806" s="66" t="str">
        <f t="shared" si="478"/>
        <v/>
      </c>
      <c r="AM806" s="67" t="str">
        <f t="shared" si="479"/>
        <v/>
      </c>
      <c r="AN806" s="61">
        <v>-1</v>
      </c>
      <c r="AO806" s="66" t="str">
        <f t="shared" si="480"/>
        <v/>
      </c>
      <c r="AP806" s="66" t="str">
        <f t="shared" si="481"/>
        <v/>
      </c>
      <c r="AQ806" s="67">
        <f t="shared" si="482"/>
        <v>-119.6</v>
      </c>
      <c r="AR806" s="61">
        <v>-1</v>
      </c>
      <c r="AS806" s="66" t="str">
        <f t="shared" si="483"/>
        <v/>
      </c>
      <c r="AT806" s="66" t="str">
        <f t="shared" si="484"/>
        <v/>
      </c>
      <c r="AU806" s="67">
        <f t="shared" si="485"/>
        <v>-119.6</v>
      </c>
      <c r="AV806" s="61">
        <v>1</v>
      </c>
      <c r="AW806" s="66">
        <f t="shared" si="468"/>
        <v>119.6</v>
      </c>
      <c r="AX806" s="66" t="str">
        <f t="shared" si="469"/>
        <v/>
      </c>
      <c r="AY806" s="67" t="str">
        <f t="shared" si="470"/>
        <v/>
      </c>
      <c r="AZ806" s="61">
        <v>1</v>
      </c>
      <c r="BA806" s="66">
        <f t="shared" si="471"/>
        <v>119.6</v>
      </c>
      <c r="BB806" s="66" t="str">
        <f t="shared" si="472"/>
        <v/>
      </c>
      <c r="BC806" s="67" t="str">
        <f t="shared" si="473"/>
        <v/>
      </c>
    </row>
    <row r="807" spans="29:55">
      <c r="AD807" s="68" t="str">
        <v>19</v>
      </c>
      <c r="AE807" s="61">
        <v>121.39999999999999</v>
      </c>
      <c r="AF807" s="61">
        <v>-1</v>
      </c>
      <c r="AG807" s="66" t="str">
        <f t="shared" si="474"/>
        <v/>
      </c>
      <c r="AH807" s="66" t="str">
        <f t="shared" si="475"/>
        <v/>
      </c>
      <c r="AI807" s="67">
        <f t="shared" si="476"/>
        <v>-121.39999999999999</v>
      </c>
      <c r="AJ807" s="61">
        <v>1</v>
      </c>
      <c r="AK807" s="66">
        <f t="shared" si="477"/>
        <v>121.39999999999999</v>
      </c>
      <c r="AL807" s="66" t="str">
        <f t="shared" si="478"/>
        <v/>
      </c>
      <c r="AM807" s="67" t="str">
        <f t="shared" si="479"/>
        <v/>
      </c>
      <c r="AN807" s="61">
        <v>-1</v>
      </c>
      <c r="AO807" s="66" t="str">
        <f t="shared" si="480"/>
        <v/>
      </c>
      <c r="AP807" s="66" t="str">
        <f t="shared" si="481"/>
        <v/>
      </c>
      <c r="AQ807" s="67">
        <f t="shared" si="482"/>
        <v>-121.39999999999999</v>
      </c>
      <c r="AR807" s="61">
        <v>-1</v>
      </c>
      <c r="AS807" s="66" t="str">
        <f t="shared" si="483"/>
        <v/>
      </c>
      <c r="AT807" s="66" t="str">
        <f t="shared" si="484"/>
        <v/>
      </c>
      <c r="AU807" s="67">
        <f t="shared" si="485"/>
        <v>-121.39999999999999</v>
      </c>
      <c r="AV807" s="61">
        <v>0</v>
      </c>
      <c r="AW807" s="66" t="str">
        <f t="shared" si="468"/>
        <v/>
      </c>
      <c r="AX807" s="66">
        <f t="shared" si="469"/>
        <v>0</v>
      </c>
      <c r="AY807" s="67" t="str">
        <f t="shared" si="470"/>
        <v/>
      </c>
      <c r="AZ807" s="61">
        <v>1</v>
      </c>
      <c r="BA807" s="66">
        <f t="shared" si="471"/>
        <v>121.39999999999999</v>
      </c>
      <c r="BB807" s="66" t="str">
        <f t="shared" si="472"/>
        <v/>
      </c>
      <c r="BC807" s="67" t="str">
        <f t="shared" si="473"/>
        <v/>
      </c>
    </row>
    <row r="808" spans="29:55">
      <c r="AD808" s="68" t="str">
        <v>20</v>
      </c>
      <c r="AE808" s="61">
        <v>131.80000000000001</v>
      </c>
      <c r="AF808" s="61">
        <v>-1</v>
      </c>
      <c r="AG808" s="66" t="str">
        <f t="shared" si="474"/>
        <v/>
      </c>
      <c r="AH808" s="66" t="str">
        <f t="shared" si="475"/>
        <v/>
      </c>
      <c r="AI808" s="67">
        <f t="shared" si="476"/>
        <v>-131.80000000000001</v>
      </c>
      <c r="AJ808" s="61">
        <v>1</v>
      </c>
      <c r="AK808" s="66">
        <f t="shared" si="477"/>
        <v>131.80000000000001</v>
      </c>
      <c r="AL808" s="66" t="str">
        <f t="shared" si="478"/>
        <v/>
      </c>
      <c r="AM808" s="67" t="str">
        <f t="shared" si="479"/>
        <v/>
      </c>
      <c r="AN808" s="61">
        <v>-1</v>
      </c>
      <c r="AO808" s="66" t="str">
        <f t="shared" si="480"/>
        <v/>
      </c>
      <c r="AP808" s="66" t="str">
        <f t="shared" si="481"/>
        <v/>
      </c>
      <c r="AQ808" s="67">
        <f t="shared" si="482"/>
        <v>-131.80000000000001</v>
      </c>
      <c r="AR808" s="61">
        <v>-1</v>
      </c>
      <c r="AS808" s="66" t="str">
        <f t="shared" si="483"/>
        <v/>
      </c>
      <c r="AT808" s="66" t="str">
        <f t="shared" si="484"/>
        <v/>
      </c>
      <c r="AU808" s="67">
        <f t="shared" si="485"/>
        <v>-131.80000000000001</v>
      </c>
      <c r="AV808" s="61">
        <v>-1</v>
      </c>
      <c r="AW808" s="66" t="str">
        <f t="shared" si="468"/>
        <v/>
      </c>
      <c r="AX808" s="66" t="str">
        <f t="shared" si="469"/>
        <v/>
      </c>
      <c r="AY808" s="67">
        <f t="shared" si="470"/>
        <v>-131.80000000000001</v>
      </c>
      <c r="AZ808" s="61">
        <v>1</v>
      </c>
      <c r="BA808" s="66">
        <f t="shared" si="471"/>
        <v>131.80000000000001</v>
      </c>
      <c r="BB808" s="66" t="str">
        <f t="shared" si="472"/>
        <v/>
      </c>
      <c r="BC808" s="67" t="str">
        <f t="shared" si="473"/>
        <v/>
      </c>
    </row>
    <row r="809" spans="29:55">
      <c r="AD809" s="68" t="str">
        <v>21</v>
      </c>
      <c r="AE809" s="61">
        <v>146.6</v>
      </c>
      <c r="AF809" s="61">
        <v>-1</v>
      </c>
      <c r="AG809" s="66" t="str">
        <f t="shared" si="474"/>
        <v/>
      </c>
      <c r="AH809" s="66" t="str">
        <f t="shared" si="475"/>
        <v/>
      </c>
      <c r="AI809" s="67">
        <f t="shared" si="476"/>
        <v>-146.6</v>
      </c>
      <c r="AJ809" s="61">
        <v>1</v>
      </c>
      <c r="AK809" s="66">
        <f t="shared" si="477"/>
        <v>146.6</v>
      </c>
      <c r="AL809" s="66" t="str">
        <f t="shared" si="478"/>
        <v/>
      </c>
      <c r="AM809" s="67" t="str">
        <f t="shared" si="479"/>
        <v/>
      </c>
      <c r="AN809" s="61">
        <v>1</v>
      </c>
      <c r="AO809" s="66">
        <f t="shared" si="480"/>
        <v>146.6</v>
      </c>
      <c r="AP809" s="66" t="str">
        <f t="shared" si="481"/>
        <v/>
      </c>
      <c r="AQ809" s="67" t="str">
        <f t="shared" si="482"/>
        <v/>
      </c>
      <c r="AR809" s="61">
        <v>-1</v>
      </c>
      <c r="AS809" s="66" t="str">
        <f t="shared" si="483"/>
        <v/>
      </c>
      <c r="AT809" s="66" t="str">
        <f t="shared" si="484"/>
        <v/>
      </c>
      <c r="AU809" s="67">
        <f t="shared" si="485"/>
        <v>-146.6</v>
      </c>
      <c r="AV809" s="61">
        <v>-1</v>
      </c>
      <c r="AW809" s="66" t="str">
        <f t="shared" si="468"/>
        <v/>
      </c>
      <c r="AX809" s="66" t="str">
        <f t="shared" si="469"/>
        <v/>
      </c>
      <c r="AY809" s="67">
        <f t="shared" si="470"/>
        <v>-146.6</v>
      </c>
      <c r="AZ809" s="61">
        <v>-1</v>
      </c>
      <c r="BA809" s="66" t="str">
        <f t="shared" si="471"/>
        <v/>
      </c>
      <c r="BB809" s="66" t="str">
        <f t="shared" si="472"/>
        <v/>
      </c>
      <c r="BC809" s="67">
        <f t="shared" si="473"/>
        <v>-146.6</v>
      </c>
    </row>
    <row r="810" spans="29:55">
      <c r="AD810" s="68" t="str">
        <v>22</v>
      </c>
      <c r="AE810" s="61">
        <v>160</v>
      </c>
      <c r="AF810" s="61">
        <v>-1</v>
      </c>
      <c r="AG810" s="66" t="str">
        <f t="shared" si="474"/>
        <v/>
      </c>
      <c r="AH810" s="66" t="str">
        <f t="shared" si="475"/>
        <v/>
      </c>
      <c r="AI810" s="67">
        <f t="shared" si="476"/>
        <v>-160</v>
      </c>
      <c r="AJ810" s="61">
        <v>1</v>
      </c>
      <c r="AK810" s="66">
        <f t="shared" si="477"/>
        <v>160</v>
      </c>
      <c r="AL810" s="66" t="str">
        <f t="shared" si="478"/>
        <v/>
      </c>
      <c r="AM810" s="67" t="str">
        <f t="shared" si="479"/>
        <v/>
      </c>
      <c r="AN810" s="61">
        <v>1</v>
      </c>
      <c r="AO810" s="66">
        <f t="shared" si="480"/>
        <v>160</v>
      </c>
      <c r="AP810" s="66" t="str">
        <f t="shared" si="481"/>
        <v/>
      </c>
      <c r="AQ810" s="67" t="str">
        <f t="shared" si="482"/>
        <v/>
      </c>
      <c r="AR810" s="61">
        <v>-1</v>
      </c>
      <c r="AS810" s="66" t="str">
        <f t="shared" si="483"/>
        <v/>
      </c>
      <c r="AT810" s="66" t="str">
        <f t="shared" si="484"/>
        <v/>
      </c>
      <c r="AU810" s="67">
        <f t="shared" si="485"/>
        <v>-160</v>
      </c>
      <c r="AV810" s="61">
        <v>0</v>
      </c>
      <c r="AW810" s="66" t="str">
        <f t="shared" si="468"/>
        <v/>
      </c>
      <c r="AX810" s="66">
        <f t="shared" si="469"/>
        <v>0</v>
      </c>
      <c r="AY810" s="67" t="str">
        <f t="shared" si="470"/>
        <v/>
      </c>
      <c r="AZ810" s="61">
        <v>-1</v>
      </c>
      <c r="BA810" s="66" t="str">
        <f t="shared" si="471"/>
        <v/>
      </c>
      <c r="BB810" s="66" t="str">
        <f t="shared" si="472"/>
        <v/>
      </c>
      <c r="BC810" s="67">
        <f t="shared" si="473"/>
        <v>-160</v>
      </c>
    </row>
    <row r="811" spans="29:55">
      <c r="AD811" s="68" t="str">
        <v>23</v>
      </c>
      <c r="AE811" s="61">
        <v>169.9</v>
      </c>
      <c r="AF811" s="61">
        <v>-1</v>
      </c>
      <c r="AG811" s="66" t="str">
        <f t="shared" si="474"/>
        <v/>
      </c>
      <c r="AH811" s="66" t="str">
        <f t="shared" si="475"/>
        <v/>
      </c>
      <c r="AI811" s="67">
        <f t="shared" si="476"/>
        <v>-169.9</v>
      </c>
      <c r="AJ811" s="61">
        <v>1</v>
      </c>
      <c r="AK811" s="66">
        <f t="shared" si="477"/>
        <v>169.9</v>
      </c>
      <c r="AL811" s="66" t="str">
        <f t="shared" si="478"/>
        <v/>
      </c>
      <c r="AM811" s="67" t="str">
        <f t="shared" si="479"/>
        <v/>
      </c>
      <c r="AN811" s="61">
        <v>1</v>
      </c>
      <c r="AO811" s="66">
        <f t="shared" si="480"/>
        <v>169.9</v>
      </c>
      <c r="AP811" s="66" t="str">
        <f t="shared" si="481"/>
        <v/>
      </c>
      <c r="AQ811" s="67" t="str">
        <f t="shared" si="482"/>
        <v/>
      </c>
      <c r="AR811" s="61">
        <v>-1</v>
      </c>
      <c r="AS811" s="66" t="str">
        <f t="shared" si="483"/>
        <v/>
      </c>
      <c r="AT811" s="66" t="str">
        <f t="shared" si="484"/>
        <v/>
      </c>
      <c r="AU811" s="67">
        <f t="shared" si="485"/>
        <v>-169.9</v>
      </c>
      <c r="AV811" s="61">
        <v>1</v>
      </c>
      <c r="AW811" s="66">
        <f t="shared" si="468"/>
        <v>169.9</v>
      </c>
      <c r="AX811" s="66" t="str">
        <f t="shared" si="469"/>
        <v/>
      </c>
      <c r="AY811" s="67" t="str">
        <f t="shared" si="470"/>
        <v/>
      </c>
      <c r="AZ811" s="61">
        <v>-1</v>
      </c>
      <c r="BA811" s="66" t="str">
        <f t="shared" si="471"/>
        <v/>
      </c>
      <c r="BB811" s="66" t="str">
        <f t="shared" si="472"/>
        <v/>
      </c>
      <c r="BC811" s="67">
        <f t="shared" si="473"/>
        <v>-169.9</v>
      </c>
    </row>
    <row r="812" spans="29:55" ht="15.75" thickBot="1">
      <c r="AC812" s="476">
        <f>AD784</f>
        <v>44735</v>
      </c>
      <c r="AD812" s="69" t="s">
        <v>85</v>
      </c>
      <c r="AE812" s="70">
        <f>SUM(AE788:AE811)</f>
        <v>3881.9999999999995</v>
      </c>
      <c r="AF812" s="70"/>
      <c r="AG812" s="71">
        <f>ABS(SUM(AG788:AG811))</f>
        <v>2053.0000000000005</v>
      </c>
      <c r="AH812" s="70"/>
      <c r="AI812" s="72">
        <f>ABS(SUM(AI788:AI811))</f>
        <v>1828.9999999999998</v>
      </c>
      <c r="AJ812" s="70"/>
      <c r="AK812" s="71">
        <f>ABS(SUM(AK788:AK811))</f>
        <v>1774.9</v>
      </c>
      <c r="AL812" s="70"/>
      <c r="AM812" s="72">
        <f>ABS(SUM(AM788:AM811))</f>
        <v>2107.1</v>
      </c>
      <c r="AN812" s="70"/>
      <c r="AO812" s="71">
        <f>ABS(SUM(AO788:AO811))</f>
        <v>2097.9</v>
      </c>
      <c r="AP812" s="70"/>
      <c r="AQ812" s="72">
        <f>ABS(SUM(AQ788:AQ811))</f>
        <v>1784.1</v>
      </c>
      <c r="AR812" s="70"/>
      <c r="AS812" s="71">
        <f>ABS(SUM(AS788:AS811))</f>
        <v>1905.3000000000002</v>
      </c>
      <c r="AT812" s="70"/>
      <c r="AU812" s="72">
        <f>ABS(SUM(AU788:AU811))</f>
        <v>1976.7</v>
      </c>
      <c r="AV812" s="70"/>
      <c r="AW812" s="71">
        <f>ABS(SUM(AW788:AW811))</f>
        <v>1293.3000000000002</v>
      </c>
      <c r="AX812" s="70"/>
      <c r="AY812" s="72">
        <f>ABS(SUM(AY788:AY811))</f>
        <v>1299.5999999999999</v>
      </c>
      <c r="AZ812" s="70"/>
      <c r="BA812" s="71">
        <f>ABS(SUM(BA788:BA811))</f>
        <v>1944.2</v>
      </c>
      <c r="BB812" s="70"/>
      <c r="BC812" s="72">
        <f>ABS(SUM(BC788:BC811))</f>
        <v>1937.8000000000002</v>
      </c>
    </row>
    <row r="814" spans="29:55" ht="15" thickBot="1">
      <c r="AD814" s="476">
        <f>skemA1!B32</f>
        <v>44736</v>
      </c>
    </row>
    <row r="815" spans="29:55" ht="15" thickBot="1">
      <c r="AD815" s="677" t="s">
        <v>75</v>
      </c>
      <c r="AE815" s="60" t="s">
        <v>558</v>
      </c>
      <c r="AF815" s="672" t="s">
        <v>559</v>
      </c>
      <c r="AG815" s="672"/>
      <c r="AH815" s="672"/>
      <c r="AI815" s="673"/>
      <c r="AJ815" s="672" t="s">
        <v>562</v>
      </c>
      <c r="AK815" s="672"/>
      <c r="AL815" s="672"/>
      <c r="AM815" s="673"/>
      <c r="AN815" s="672" t="s">
        <v>563</v>
      </c>
      <c r="AO815" s="672"/>
      <c r="AP815" s="672"/>
      <c r="AQ815" s="673"/>
      <c r="AR815" s="672" t="s">
        <v>564</v>
      </c>
      <c r="AS815" s="672"/>
      <c r="AT815" s="672"/>
      <c r="AU815" s="673"/>
      <c r="AV815" s="672" t="s">
        <v>565</v>
      </c>
      <c r="AW815" s="672"/>
      <c r="AX815" s="672"/>
      <c r="AY815" s="673"/>
      <c r="AZ815" s="672" t="s">
        <v>566</v>
      </c>
      <c r="BA815" s="672"/>
      <c r="BB815" s="672"/>
      <c r="BC815" s="673"/>
    </row>
    <row r="816" spans="29:55" ht="15" thickBot="1">
      <c r="AD816" s="677"/>
      <c r="AE816" s="61"/>
      <c r="AF816" s="674" t="s">
        <v>561</v>
      </c>
      <c r="AG816" s="670" t="s">
        <v>560</v>
      </c>
      <c r="AH816" s="670"/>
      <c r="AI816" s="671"/>
      <c r="AJ816" s="674" t="s">
        <v>561</v>
      </c>
      <c r="AK816" s="670" t="s">
        <v>560</v>
      </c>
      <c r="AL816" s="670"/>
      <c r="AM816" s="671"/>
      <c r="AN816" s="674" t="s">
        <v>561</v>
      </c>
      <c r="AO816" s="670" t="s">
        <v>560</v>
      </c>
      <c r="AP816" s="670"/>
      <c r="AQ816" s="671"/>
      <c r="AR816" s="674" t="s">
        <v>561</v>
      </c>
      <c r="AS816" s="670" t="s">
        <v>560</v>
      </c>
      <c r="AT816" s="670"/>
      <c r="AU816" s="671"/>
      <c r="AV816" s="674" t="s">
        <v>561</v>
      </c>
      <c r="AW816" s="670" t="s">
        <v>560</v>
      </c>
      <c r="AX816" s="670"/>
      <c r="AY816" s="671"/>
      <c r="AZ816" s="674" t="s">
        <v>561</v>
      </c>
      <c r="BA816" s="670" t="s">
        <v>560</v>
      </c>
      <c r="BB816" s="670"/>
      <c r="BC816" s="671"/>
    </row>
    <row r="817" spans="30:55">
      <c r="AD817" s="677"/>
      <c r="AE817" s="62"/>
      <c r="AF817" s="674"/>
      <c r="AG817" s="63" t="s">
        <v>76</v>
      </c>
      <c r="AH817" s="63">
        <v>0</v>
      </c>
      <c r="AI817" s="64" t="s">
        <v>77</v>
      </c>
      <c r="AJ817" s="674"/>
      <c r="AK817" s="63" t="s">
        <v>76</v>
      </c>
      <c r="AL817" s="63">
        <v>0</v>
      </c>
      <c r="AM817" s="64" t="s">
        <v>77</v>
      </c>
      <c r="AN817" s="674"/>
      <c r="AO817" s="63" t="s">
        <v>76</v>
      </c>
      <c r="AP817" s="63">
        <v>0</v>
      </c>
      <c r="AQ817" s="64" t="s">
        <v>77</v>
      </c>
      <c r="AR817" s="674"/>
      <c r="AS817" s="63" t="s">
        <v>76</v>
      </c>
      <c r="AT817" s="63">
        <v>0</v>
      </c>
      <c r="AU817" s="64" t="s">
        <v>77</v>
      </c>
      <c r="AV817" s="674"/>
      <c r="AW817" s="63" t="s">
        <v>76</v>
      </c>
      <c r="AX817" s="63">
        <v>0</v>
      </c>
      <c r="AY817" s="64" t="s">
        <v>77</v>
      </c>
      <c r="AZ817" s="674"/>
      <c r="BA817" s="63" t="s">
        <v>76</v>
      </c>
      <c r="BB817" s="63">
        <v>0</v>
      </c>
      <c r="BC817" s="64" t="s">
        <v>77</v>
      </c>
    </row>
    <row r="818" spans="30:55">
      <c r="AD818" s="65" t="str">
        <f t="array" ref="AD818:AD841">TRANSPOSE($C$5:$Z$5)</f>
        <v>00</v>
      </c>
      <c r="AE818" s="66">
        <f t="array" ref="AE818:AE841">TRANSPOSE(skemA1!$C$32:$Z$32)</f>
        <v>177</v>
      </c>
      <c r="AF818" s="66">
        <f t="array" ref="AF818:AF841">TRANSPOSE($C$6:$Z$6)</f>
        <v>-1</v>
      </c>
      <c r="AG818" s="66" t="str">
        <f>IF(AF818&gt;0,AF818*$AE818,"")</f>
        <v/>
      </c>
      <c r="AH818" s="66" t="str">
        <f>IF(AF818=0,AF818*$AE818,"")</f>
        <v/>
      </c>
      <c r="AI818" s="67">
        <f>IF(AF818&lt;0,AF818*$AE818,"")</f>
        <v>-177</v>
      </c>
      <c r="AJ818" s="66">
        <f t="array" ref="AJ818:AJ841">TRANSPOSE($C$7:$Z$7)</f>
        <v>-1</v>
      </c>
      <c r="AK818" s="66" t="str">
        <f>IF(AJ818&gt;0,AJ818*$AE818,"")</f>
        <v/>
      </c>
      <c r="AL818" s="66" t="str">
        <f>IF(AJ818=0,AJ818*$AE818,"")</f>
        <v/>
      </c>
      <c r="AM818" s="67">
        <f>IF(AJ818&lt;0,AJ818*$AE818,"")</f>
        <v>-177</v>
      </c>
      <c r="AN818" s="66">
        <f t="array" ref="AN818:AN841">TRANSPOSE($C$8:$Z$8)</f>
        <v>1</v>
      </c>
      <c r="AO818" s="66">
        <f>IF(AN818&gt;0,AN818*$AE818,"")</f>
        <v>177</v>
      </c>
      <c r="AP818" s="66" t="str">
        <f>IF(AN818=0,AN818*$AE818,"")</f>
        <v/>
      </c>
      <c r="AQ818" s="67" t="str">
        <f>IF(AN818&lt;0,AN818*$AE818,"")</f>
        <v/>
      </c>
      <c r="AR818" s="66">
        <f t="array" ref="AR818:AR841">TRANSPOSE($C$9:$Z$9)</f>
        <v>1</v>
      </c>
      <c r="AS818" s="66">
        <f>IF(AR818&gt;0,AR818*$AE818,"")</f>
        <v>177</v>
      </c>
      <c r="AT818" s="66" t="str">
        <f>IF(AR818=0,AR818*$AE818,"")</f>
        <v/>
      </c>
      <c r="AU818" s="67" t="str">
        <f>IF(AR818&lt;0,AR818*$AE818,"")</f>
        <v/>
      </c>
      <c r="AV818" s="66">
        <f t="array" ref="AV818:AV841">TRANSPOSE($C$10:$Z$10)</f>
        <v>1</v>
      </c>
      <c r="AW818" s="66">
        <f t="shared" ref="AW818:AW841" si="486">IF(AV818&gt;0,AV818*$AE818,"")</f>
        <v>177</v>
      </c>
      <c r="AX818" s="66" t="str">
        <f t="shared" ref="AX818:AX841" si="487">IF(AV818=0,AV818*$AE818,"")</f>
        <v/>
      </c>
      <c r="AY818" s="67" t="str">
        <f t="shared" ref="AY818:AY841" si="488">IF(AV818&lt;0,AV818*$AE818,"")</f>
        <v/>
      </c>
      <c r="AZ818" s="66">
        <f t="array" ref="AZ818:AZ841">TRANSPOSE($C$11:$Z$11)</f>
        <v>1</v>
      </c>
      <c r="BA818" s="66">
        <f t="shared" ref="BA818:BA841" si="489">IF(AZ818&gt;0,AZ818*$AE818,"")</f>
        <v>177</v>
      </c>
      <c r="BB818" s="66" t="str">
        <f t="shared" ref="BB818:BB841" si="490">IF(AZ818=0,AZ818*$AE818,"")</f>
        <v/>
      </c>
      <c r="BC818" s="67" t="str">
        <f t="shared" ref="BC818:BC841" si="491">IF(AZ818&lt;0,AZ818*$AE818,"")</f>
        <v/>
      </c>
    </row>
    <row r="819" spans="30:55">
      <c r="AD819" s="68" t="str">
        <v>01</v>
      </c>
      <c r="AE819" s="61">
        <v>180.5</v>
      </c>
      <c r="AF819" s="61">
        <v>-1</v>
      </c>
      <c r="AG819" s="66" t="str">
        <f t="shared" ref="AG819:AG841" si="492">IF(AF819&gt;0,AF819*$AE819,"")</f>
        <v/>
      </c>
      <c r="AH819" s="66" t="str">
        <f t="shared" ref="AH819:AH841" si="493">IF(AF819=0,AF819*$AE819,"")</f>
        <v/>
      </c>
      <c r="AI819" s="67">
        <f t="shared" ref="AI819:AI841" si="494">IF(AF819&lt;0,AF819*$AE819,"")</f>
        <v>-180.5</v>
      </c>
      <c r="AJ819" s="61">
        <v>-1</v>
      </c>
      <c r="AK819" s="66" t="str">
        <f t="shared" ref="AK819:AK841" si="495">IF(AJ819&gt;0,AJ819*$AE819,"")</f>
        <v/>
      </c>
      <c r="AL819" s="66" t="str">
        <f t="shared" ref="AL819:AL841" si="496">IF(AJ819=0,AJ819*$AE819,"")</f>
        <v/>
      </c>
      <c r="AM819" s="67">
        <f t="shared" ref="AM819:AM841" si="497">IF(AJ819&lt;0,AJ819*$AE819,"")</f>
        <v>-180.5</v>
      </c>
      <c r="AN819" s="61">
        <v>1</v>
      </c>
      <c r="AO819" s="66">
        <f t="shared" ref="AO819:AO841" si="498">IF(AN819&gt;0,AN819*$AE819,"")</f>
        <v>180.5</v>
      </c>
      <c r="AP819" s="66" t="str">
        <f t="shared" ref="AP819:AP841" si="499">IF(AN819=0,AN819*$AE819,"")</f>
        <v/>
      </c>
      <c r="AQ819" s="67" t="str">
        <f t="shared" ref="AQ819:AQ841" si="500">IF(AN819&lt;0,AN819*$AE819,"")</f>
        <v/>
      </c>
      <c r="AR819" s="61">
        <v>1</v>
      </c>
      <c r="AS819" s="66">
        <f t="shared" ref="AS819:AS841" si="501">IF(AR819&gt;0,AR819*$AE819,"")</f>
        <v>180.5</v>
      </c>
      <c r="AT819" s="66" t="str">
        <f t="shared" ref="AT819:AT841" si="502">IF(AR819=0,AR819*$AE819,"")</f>
        <v/>
      </c>
      <c r="AU819" s="67" t="str">
        <f t="shared" ref="AU819:AU841" si="503">IF(AR819&lt;0,AR819*$AE819,"")</f>
        <v/>
      </c>
      <c r="AV819" s="61">
        <v>0</v>
      </c>
      <c r="AW819" s="66" t="str">
        <f t="shared" si="486"/>
        <v/>
      </c>
      <c r="AX819" s="66">
        <f t="shared" si="487"/>
        <v>0</v>
      </c>
      <c r="AY819" s="67" t="str">
        <f t="shared" si="488"/>
        <v/>
      </c>
      <c r="AZ819" s="61">
        <v>1</v>
      </c>
      <c r="BA819" s="66">
        <f t="shared" si="489"/>
        <v>180.5</v>
      </c>
      <c r="BB819" s="66" t="str">
        <f t="shared" si="490"/>
        <v/>
      </c>
      <c r="BC819" s="67" t="str">
        <f t="shared" si="491"/>
        <v/>
      </c>
    </row>
    <row r="820" spans="30:55">
      <c r="AD820" s="68" t="str">
        <v>02</v>
      </c>
      <c r="AE820" s="61">
        <v>182.9</v>
      </c>
      <c r="AF820" s="61">
        <v>-1</v>
      </c>
      <c r="AG820" s="66" t="str">
        <f t="shared" si="492"/>
        <v/>
      </c>
      <c r="AH820" s="66" t="str">
        <f t="shared" si="493"/>
        <v/>
      </c>
      <c r="AI820" s="67">
        <f t="shared" si="494"/>
        <v>-182.9</v>
      </c>
      <c r="AJ820" s="61">
        <v>-1</v>
      </c>
      <c r="AK820" s="66" t="str">
        <f t="shared" si="495"/>
        <v/>
      </c>
      <c r="AL820" s="66" t="str">
        <f t="shared" si="496"/>
        <v/>
      </c>
      <c r="AM820" s="67">
        <f t="shared" si="497"/>
        <v>-182.9</v>
      </c>
      <c r="AN820" s="61">
        <v>1</v>
      </c>
      <c r="AO820" s="66">
        <f t="shared" si="498"/>
        <v>182.9</v>
      </c>
      <c r="AP820" s="66" t="str">
        <f t="shared" si="499"/>
        <v/>
      </c>
      <c r="AQ820" s="67" t="str">
        <f t="shared" si="500"/>
        <v/>
      </c>
      <c r="AR820" s="61">
        <v>1</v>
      </c>
      <c r="AS820" s="66">
        <f t="shared" si="501"/>
        <v>182.9</v>
      </c>
      <c r="AT820" s="66" t="str">
        <f t="shared" si="502"/>
        <v/>
      </c>
      <c r="AU820" s="67" t="str">
        <f t="shared" si="503"/>
        <v/>
      </c>
      <c r="AV820" s="61">
        <v>-1</v>
      </c>
      <c r="AW820" s="66" t="str">
        <f t="shared" si="486"/>
        <v/>
      </c>
      <c r="AX820" s="66" t="str">
        <f t="shared" si="487"/>
        <v/>
      </c>
      <c r="AY820" s="67">
        <f t="shared" si="488"/>
        <v>-182.9</v>
      </c>
      <c r="AZ820" s="61">
        <v>1</v>
      </c>
      <c r="BA820" s="66">
        <f t="shared" si="489"/>
        <v>182.9</v>
      </c>
      <c r="BB820" s="66" t="str">
        <f t="shared" si="490"/>
        <v/>
      </c>
      <c r="BC820" s="67" t="str">
        <f t="shared" si="491"/>
        <v/>
      </c>
    </row>
    <row r="821" spans="30:55">
      <c r="AD821" s="68" t="str">
        <v>03</v>
      </c>
      <c r="AE821" s="61">
        <v>182.6</v>
      </c>
      <c r="AF821" s="61">
        <v>-1</v>
      </c>
      <c r="AG821" s="66" t="str">
        <f t="shared" si="492"/>
        <v/>
      </c>
      <c r="AH821" s="66" t="str">
        <f t="shared" si="493"/>
        <v/>
      </c>
      <c r="AI821" s="67">
        <f t="shared" si="494"/>
        <v>-182.6</v>
      </c>
      <c r="AJ821" s="61">
        <v>-1</v>
      </c>
      <c r="AK821" s="66" t="str">
        <f t="shared" si="495"/>
        <v/>
      </c>
      <c r="AL821" s="66" t="str">
        <f t="shared" si="496"/>
        <v/>
      </c>
      <c r="AM821" s="67">
        <f t="shared" si="497"/>
        <v>-182.6</v>
      </c>
      <c r="AN821" s="61">
        <v>-1</v>
      </c>
      <c r="AO821" s="66" t="str">
        <f t="shared" si="498"/>
        <v/>
      </c>
      <c r="AP821" s="66" t="str">
        <f t="shared" si="499"/>
        <v/>
      </c>
      <c r="AQ821" s="67">
        <f t="shared" si="500"/>
        <v>-182.6</v>
      </c>
      <c r="AR821" s="61">
        <v>1</v>
      </c>
      <c r="AS821" s="66">
        <f t="shared" si="501"/>
        <v>182.6</v>
      </c>
      <c r="AT821" s="66" t="str">
        <f t="shared" si="502"/>
        <v/>
      </c>
      <c r="AU821" s="67" t="str">
        <f t="shared" si="503"/>
        <v/>
      </c>
      <c r="AV821" s="61">
        <v>-1</v>
      </c>
      <c r="AW821" s="66" t="str">
        <f t="shared" si="486"/>
        <v/>
      </c>
      <c r="AX821" s="66" t="str">
        <f t="shared" si="487"/>
        <v/>
      </c>
      <c r="AY821" s="67">
        <f t="shared" si="488"/>
        <v>-182.6</v>
      </c>
      <c r="AZ821" s="61">
        <v>-1</v>
      </c>
      <c r="BA821" s="66" t="str">
        <f t="shared" si="489"/>
        <v/>
      </c>
      <c r="BB821" s="66" t="str">
        <f t="shared" si="490"/>
        <v/>
      </c>
      <c r="BC821" s="67">
        <f t="shared" si="491"/>
        <v>-182.6</v>
      </c>
    </row>
    <row r="822" spans="30:55">
      <c r="AD822" s="68" t="str">
        <v>04</v>
      </c>
      <c r="AE822" s="61">
        <v>178.8</v>
      </c>
      <c r="AF822" s="61">
        <v>-1</v>
      </c>
      <c r="AG822" s="66" t="str">
        <f t="shared" si="492"/>
        <v/>
      </c>
      <c r="AH822" s="66" t="str">
        <f t="shared" si="493"/>
        <v/>
      </c>
      <c r="AI822" s="67">
        <f t="shared" si="494"/>
        <v>-178.8</v>
      </c>
      <c r="AJ822" s="61">
        <v>-1</v>
      </c>
      <c r="AK822" s="66" t="str">
        <f t="shared" si="495"/>
        <v/>
      </c>
      <c r="AL822" s="66" t="str">
        <f t="shared" si="496"/>
        <v/>
      </c>
      <c r="AM822" s="67">
        <f t="shared" si="497"/>
        <v>-178.8</v>
      </c>
      <c r="AN822" s="61">
        <v>-1</v>
      </c>
      <c r="AO822" s="66" t="str">
        <f t="shared" si="498"/>
        <v/>
      </c>
      <c r="AP822" s="66" t="str">
        <f t="shared" si="499"/>
        <v/>
      </c>
      <c r="AQ822" s="67">
        <f t="shared" si="500"/>
        <v>-178.8</v>
      </c>
      <c r="AR822" s="61">
        <v>1</v>
      </c>
      <c r="AS822" s="66">
        <f t="shared" si="501"/>
        <v>178.8</v>
      </c>
      <c r="AT822" s="66" t="str">
        <f t="shared" si="502"/>
        <v/>
      </c>
      <c r="AU822" s="67" t="str">
        <f t="shared" si="503"/>
        <v/>
      </c>
      <c r="AV822" s="61">
        <v>0</v>
      </c>
      <c r="AW822" s="66" t="str">
        <f t="shared" si="486"/>
        <v/>
      </c>
      <c r="AX822" s="66">
        <f t="shared" si="487"/>
        <v>0</v>
      </c>
      <c r="AY822" s="67" t="str">
        <f t="shared" si="488"/>
        <v/>
      </c>
      <c r="AZ822" s="61">
        <v>-1</v>
      </c>
      <c r="BA822" s="66" t="str">
        <f t="shared" si="489"/>
        <v/>
      </c>
      <c r="BB822" s="66" t="str">
        <f t="shared" si="490"/>
        <v/>
      </c>
      <c r="BC822" s="67">
        <f t="shared" si="491"/>
        <v>-178.8</v>
      </c>
    </row>
    <row r="823" spans="30:55">
      <c r="AD823" s="68" t="str">
        <v>05</v>
      </c>
      <c r="AE823" s="61">
        <v>173.70000000000002</v>
      </c>
      <c r="AF823" s="61">
        <v>-1</v>
      </c>
      <c r="AG823" s="66" t="str">
        <f t="shared" si="492"/>
        <v/>
      </c>
      <c r="AH823" s="66" t="str">
        <f t="shared" si="493"/>
        <v/>
      </c>
      <c r="AI823" s="67">
        <f t="shared" si="494"/>
        <v>-173.70000000000002</v>
      </c>
      <c r="AJ823" s="61">
        <v>-1</v>
      </c>
      <c r="AK823" s="66" t="str">
        <f t="shared" si="495"/>
        <v/>
      </c>
      <c r="AL823" s="66" t="str">
        <f t="shared" si="496"/>
        <v/>
      </c>
      <c r="AM823" s="67">
        <f t="shared" si="497"/>
        <v>-173.70000000000002</v>
      </c>
      <c r="AN823" s="61">
        <v>-1</v>
      </c>
      <c r="AO823" s="66" t="str">
        <f t="shared" si="498"/>
        <v/>
      </c>
      <c r="AP823" s="66" t="str">
        <f t="shared" si="499"/>
        <v/>
      </c>
      <c r="AQ823" s="67">
        <f t="shared" si="500"/>
        <v>-173.70000000000002</v>
      </c>
      <c r="AR823" s="61">
        <v>1</v>
      </c>
      <c r="AS823" s="66">
        <f t="shared" si="501"/>
        <v>173.70000000000002</v>
      </c>
      <c r="AT823" s="66" t="str">
        <f t="shared" si="502"/>
        <v/>
      </c>
      <c r="AU823" s="67" t="str">
        <f t="shared" si="503"/>
        <v/>
      </c>
      <c r="AV823" s="61">
        <v>1</v>
      </c>
      <c r="AW823" s="66">
        <f t="shared" si="486"/>
        <v>173.70000000000002</v>
      </c>
      <c r="AX823" s="66" t="str">
        <f t="shared" si="487"/>
        <v/>
      </c>
      <c r="AY823" s="67" t="str">
        <f t="shared" si="488"/>
        <v/>
      </c>
      <c r="AZ823" s="61">
        <v>-1</v>
      </c>
      <c r="BA823" s="66" t="str">
        <f t="shared" si="489"/>
        <v/>
      </c>
      <c r="BB823" s="66" t="str">
        <f t="shared" si="490"/>
        <v/>
      </c>
      <c r="BC823" s="67">
        <f t="shared" si="491"/>
        <v>-173.70000000000002</v>
      </c>
    </row>
    <row r="824" spans="30:55">
      <c r="AD824" s="68" t="str">
        <v>06</v>
      </c>
      <c r="AE824" s="61">
        <v>169.70000000000002</v>
      </c>
      <c r="AF824" s="61">
        <v>1</v>
      </c>
      <c r="AG824" s="66">
        <f t="shared" si="492"/>
        <v>169.70000000000002</v>
      </c>
      <c r="AH824" s="66" t="str">
        <f t="shared" si="493"/>
        <v/>
      </c>
      <c r="AI824" s="67" t="str">
        <f t="shared" si="494"/>
        <v/>
      </c>
      <c r="AJ824" s="61">
        <v>-1</v>
      </c>
      <c r="AK824" s="66" t="str">
        <f t="shared" si="495"/>
        <v/>
      </c>
      <c r="AL824" s="66" t="str">
        <f t="shared" si="496"/>
        <v/>
      </c>
      <c r="AM824" s="67">
        <f t="shared" si="497"/>
        <v>-169.70000000000002</v>
      </c>
      <c r="AN824" s="61">
        <v>-1</v>
      </c>
      <c r="AO824" s="66" t="str">
        <f t="shared" si="498"/>
        <v/>
      </c>
      <c r="AP824" s="66" t="str">
        <f t="shared" si="499"/>
        <v/>
      </c>
      <c r="AQ824" s="67">
        <f t="shared" si="500"/>
        <v>-169.70000000000002</v>
      </c>
      <c r="AR824" s="61">
        <v>-1</v>
      </c>
      <c r="AS824" s="66" t="str">
        <f t="shared" si="501"/>
        <v/>
      </c>
      <c r="AT824" s="66" t="str">
        <f t="shared" si="502"/>
        <v/>
      </c>
      <c r="AU824" s="67">
        <f t="shared" si="503"/>
        <v>-169.70000000000002</v>
      </c>
      <c r="AV824" s="61">
        <v>1</v>
      </c>
      <c r="AW824" s="66">
        <f t="shared" si="486"/>
        <v>169.70000000000002</v>
      </c>
      <c r="AX824" s="66" t="str">
        <f t="shared" si="487"/>
        <v/>
      </c>
      <c r="AY824" s="67" t="str">
        <f t="shared" si="488"/>
        <v/>
      </c>
      <c r="AZ824" s="61">
        <v>1</v>
      </c>
      <c r="BA824" s="66">
        <f t="shared" si="489"/>
        <v>169.70000000000002</v>
      </c>
      <c r="BB824" s="66" t="str">
        <f t="shared" si="490"/>
        <v/>
      </c>
      <c r="BC824" s="67" t="str">
        <f t="shared" si="491"/>
        <v/>
      </c>
    </row>
    <row r="825" spans="30:55">
      <c r="AD825" s="68" t="str">
        <v>07</v>
      </c>
      <c r="AE825" s="61">
        <v>172.8</v>
      </c>
      <c r="AF825" s="61">
        <v>1</v>
      </c>
      <c r="AG825" s="66">
        <f t="shared" si="492"/>
        <v>172.8</v>
      </c>
      <c r="AH825" s="66" t="str">
        <f t="shared" si="493"/>
        <v/>
      </c>
      <c r="AI825" s="67" t="str">
        <f t="shared" si="494"/>
        <v/>
      </c>
      <c r="AJ825" s="61">
        <v>-1</v>
      </c>
      <c r="AK825" s="66" t="str">
        <f t="shared" si="495"/>
        <v/>
      </c>
      <c r="AL825" s="66" t="str">
        <f t="shared" si="496"/>
        <v/>
      </c>
      <c r="AM825" s="67">
        <f t="shared" si="497"/>
        <v>-172.8</v>
      </c>
      <c r="AN825" s="61">
        <v>-1</v>
      </c>
      <c r="AO825" s="66" t="str">
        <f t="shared" si="498"/>
        <v/>
      </c>
      <c r="AP825" s="66" t="str">
        <f t="shared" si="499"/>
        <v/>
      </c>
      <c r="AQ825" s="67">
        <f t="shared" si="500"/>
        <v>-172.8</v>
      </c>
      <c r="AR825" s="61">
        <v>-1</v>
      </c>
      <c r="AS825" s="66" t="str">
        <f t="shared" si="501"/>
        <v/>
      </c>
      <c r="AT825" s="66" t="str">
        <f t="shared" si="502"/>
        <v/>
      </c>
      <c r="AU825" s="67">
        <f t="shared" si="503"/>
        <v>-172.8</v>
      </c>
      <c r="AV825" s="61">
        <v>0</v>
      </c>
      <c r="AW825" s="66" t="str">
        <f t="shared" si="486"/>
        <v/>
      </c>
      <c r="AX825" s="66">
        <f t="shared" si="487"/>
        <v>0</v>
      </c>
      <c r="AY825" s="67" t="str">
        <f t="shared" si="488"/>
        <v/>
      </c>
      <c r="AZ825" s="61">
        <v>1</v>
      </c>
      <c r="BA825" s="66">
        <f t="shared" si="489"/>
        <v>172.8</v>
      </c>
      <c r="BB825" s="66" t="str">
        <f t="shared" si="490"/>
        <v/>
      </c>
      <c r="BC825" s="67" t="str">
        <f t="shared" si="491"/>
        <v/>
      </c>
    </row>
    <row r="826" spans="30:55">
      <c r="AD826" s="68" t="str">
        <v>08</v>
      </c>
      <c r="AE826" s="61">
        <v>175.6</v>
      </c>
      <c r="AF826" s="61">
        <v>1</v>
      </c>
      <c r="AG826" s="66">
        <f t="shared" si="492"/>
        <v>175.6</v>
      </c>
      <c r="AH826" s="66" t="str">
        <f t="shared" si="493"/>
        <v/>
      </c>
      <c r="AI826" s="67" t="str">
        <f t="shared" si="494"/>
        <v/>
      </c>
      <c r="AJ826" s="61">
        <v>-1</v>
      </c>
      <c r="AK826" s="66" t="str">
        <f t="shared" si="495"/>
        <v/>
      </c>
      <c r="AL826" s="66" t="str">
        <f t="shared" si="496"/>
        <v/>
      </c>
      <c r="AM826" s="67">
        <f t="shared" si="497"/>
        <v>-175.6</v>
      </c>
      <c r="AN826" s="61">
        <v>-1</v>
      </c>
      <c r="AO826" s="66" t="str">
        <f t="shared" si="498"/>
        <v/>
      </c>
      <c r="AP826" s="66" t="str">
        <f t="shared" si="499"/>
        <v/>
      </c>
      <c r="AQ826" s="67">
        <f t="shared" si="500"/>
        <v>-175.6</v>
      </c>
      <c r="AR826" s="61">
        <v>-1</v>
      </c>
      <c r="AS826" s="66" t="str">
        <f t="shared" si="501"/>
        <v/>
      </c>
      <c r="AT826" s="66" t="str">
        <f t="shared" si="502"/>
        <v/>
      </c>
      <c r="AU826" s="67">
        <f t="shared" si="503"/>
        <v>-175.6</v>
      </c>
      <c r="AV826" s="61">
        <v>-1</v>
      </c>
      <c r="AW826" s="66" t="str">
        <f t="shared" si="486"/>
        <v/>
      </c>
      <c r="AX826" s="66" t="str">
        <f t="shared" si="487"/>
        <v/>
      </c>
      <c r="AY826" s="67">
        <f t="shared" si="488"/>
        <v>-175.6</v>
      </c>
      <c r="AZ826" s="61">
        <v>1</v>
      </c>
      <c r="BA826" s="66">
        <f t="shared" si="489"/>
        <v>175.6</v>
      </c>
      <c r="BB826" s="66" t="str">
        <f t="shared" si="490"/>
        <v/>
      </c>
      <c r="BC826" s="67" t="str">
        <f t="shared" si="491"/>
        <v/>
      </c>
    </row>
    <row r="827" spans="30:55">
      <c r="AD827" s="68" t="str">
        <v>09</v>
      </c>
      <c r="AE827" s="61">
        <v>180</v>
      </c>
      <c r="AF827" s="61">
        <v>1</v>
      </c>
      <c r="AG827" s="66">
        <f t="shared" si="492"/>
        <v>180</v>
      </c>
      <c r="AH827" s="66" t="str">
        <f t="shared" si="493"/>
        <v/>
      </c>
      <c r="AI827" s="67" t="str">
        <f t="shared" si="494"/>
        <v/>
      </c>
      <c r="AJ827" s="61">
        <v>-1</v>
      </c>
      <c r="AK827" s="66" t="str">
        <f t="shared" si="495"/>
        <v/>
      </c>
      <c r="AL827" s="66" t="str">
        <f t="shared" si="496"/>
        <v/>
      </c>
      <c r="AM827" s="67">
        <f t="shared" si="497"/>
        <v>-180</v>
      </c>
      <c r="AN827" s="61">
        <v>1</v>
      </c>
      <c r="AO827" s="66">
        <f t="shared" si="498"/>
        <v>180</v>
      </c>
      <c r="AP827" s="66" t="str">
        <f t="shared" si="499"/>
        <v/>
      </c>
      <c r="AQ827" s="67" t="str">
        <f t="shared" si="500"/>
        <v/>
      </c>
      <c r="AR827" s="61">
        <v>-1</v>
      </c>
      <c r="AS827" s="66" t="str">
        <f t="shared" si="501"/>
        <v/>
      </c>
      <c r="AT827" s="66" t="str">
        <f t="shared" si="502"/>
        <v/>
      </c>
      <c r="AU827" s="67">
        <f t="shared" si="503"/>
        <v>-180</v>
      </c>
      <c r="AV827" s="61">
        <v>-1</v>
      </c>
      <c r="AW827" s="66" t="str">
        <f t="shared" si="486"/>
        <v/>
      </c>
      <c r="AX827" s="66" t="str">
        <f t="shared" si="487"/>
        <v/>
      </c>
      <c r="AY827" s="67">
        <f t="shared" si="488"/>
        <v>-180</v>
      </c>
      <c r="AZ827" s="61">
        <v>-1</v>
      </c>
      <c r="BA827" s="66" t="str">
        <f t="shared" si="489"/>
        <v/>
      </c>
      <c r="BB827" s="66" t="str">
        <f t="shared" si="490"/>
        <v/>
      </c>
      <c r="BC827" s="67">
        <f t="shared" si="491"/>
        <v>-180</v>
      </c>
    </row>
    <row r="828" spans="30:55">
      <c r="AD828" s="68" t="str">
        <v>10</v>
      </c>
      <c r="AE828" s="61">
        <v>183.1</v>
      </c>
      <c r="AF828" s="61">
        <v>1</v>
      </c>
      <c r="AG828" s="66">
        <f t="shared" si="492"/>
        <v>183.1</v>
      </c>
      <c r="AH828" s="66" t="str">
        <f t="shared" si="493"/>
        <v/>
      </c>
      <c r="AI828" s="67" t="str">
        <f t="shared" si="494"/>
        <v/>
      </c>
      <c r="AJ828" s="61">
        <v>-1</v>
      </c>
      <c r="AK828" s="66" t="str">
        <f t="shared" si="495"/>
        <v/>
      </c>
      <c r="AL828" s="66" t="str">
        <f t="shared" si="496"/>
        <v/>
      </c>
      <c r="AM828" s="67">
        <f t="shared" si="497"/>
        <v>-183.1</v>
      </c>
      <c r="AN828" s="61">
        <v>1</v>
      </c>
      <c r="AO828" s="66">
        <f t="shared" si="498"/>
        <v>183.1</v>
      </c>
      <c r="AP828" s="66" t="str">
        <f t="shared" si="499"/>
        <v/>
      </c>
      <c r="AQ828" s="67" t="str">
        <f t="shared" si="500"/>
        <v/>
      </c>
      <c r="AR828" s="61">
        <v>-1</v>
      </c>
      <c r="AS828" s="66" t="str">
        <f t="shared" si="501"/>
        <v/>
      </c>
      <c r="AT828" s="66" t="str">
        <f t="shared" si="502"/>
        <v/>
      </c>
      <c r="AU828" s="67">
        <f t="shared" si="503"/>
        <v>-183.1</v>
      </c>
      <c r="AV828" s="61">
        <v>0</v>
      </c>
      <c r="AW828" s="66" t="str">
        <f t="shared" si="486"/>
        <v/>
      </c>
      <c r="AX828" s="66">
        <f t="shared" si="487"/>
        <v>0</v>
      </c>
      <c r="AY828" s="67" t="str">
        <f t="shared" si="488"/>
        <v/>
      </c>
      <c r="AZ828" s="61">
        <v>-1</v>
      </c>
      <c r="BA828" s="66" t="str">
        <f t="shared" si="489"/>
        <v/>
      </c>
      <c r="BB828" s="66" t="str">
        <f t="shared" si="490"/>
        <v/>
      </c>
      <c r="BC828" s="67">
        <f t="shared" si="491"/>
        <v>-183.1</v>
      </c>
    </row>
    <row r="829" spans="30:55">
      <c r="AD829" s="68" t="str">
        <v>11</v>
      </c>
      <c r="AE829" s="61">
        <v>180.9</v>
      </c>
      <c r="AF829" s="61">
        <v>1</v>
      </c>
      <c r="AG829" s="66">
        <f t="shared" si="492"/>
        <v>180.9</v>
      </c>
      <c r="AH829" s="66" t="str">
        <f t="shared" si="493"/>
        <v/>
      </c>
      <c r="AI829" s="67" t="str">
        <f t="shared" si="494"/>
        <v/>
      </c>
      <c r="AJ829" s="61">
        <v>-1</v>
      </c>
      <c r="AK829" s="66" t="str">
        <f t="shared" si="495"/>
        <v/>
      </c>
      <c r="AL829" s="66" t="str">
        <f t="shared" si="496"/>
        <v/>
      </c>
      <c r="AM829" s="67">
        <f t="shared" si="497"/>
        <v>-180.9</v>
      </c>
      <c r="AN829" s="61">
        <v>1</v>
      </c>
      <c r="AO829" s="66">
        <f t="shared" si="498"/>
        <v>180.9</v>
      </c>
      <c r="AP829" s="66" t="str">
        <f t="shared" si="499"/>
        <v/>
      </c>
      <c r="AQ829" s="67" t="str">
        <f t="shared" si="500"/>
        <v/>
      </c>
      <c r="AR829" s="61">
        <v>-1</v>
      </c>
      <c r="AS829" s="66" t="str">
        <f t="shared" si="501"/>
        <v/>
      </c>
      <c r="AT829" s="66" t="str">
        <f t="shared" si="502"/>
        <v/>
      </c>
      <c r="AU829" s="67">
        <f t="shared" si="503"/>
        <v>-180.9</v>
      </c>
      <c r="AV829" s="61">
        <v>1</v>
      </c>
      <c r="AW829" s="66">
        <f t="shared" si="486"/>
        <v>180.9</v>
      </c>
      <c r="AX829" s="66" t="str">
        <f t="shared" si="487"/>
        <v/>
      </c>
      <c r="AY829" s="67" t="str">
        <f t="shared" si="488"/>
        <v/>
      </c>
      <c r="AZ829" s="61">
        <v>-1</v>
      </c>
      <c r="BA829" s="66" t="str">
        <f t="shared" si="489"/>
        <v/>
      </c>
      <c r="BB829" s="66" t="str">
        <f t="shared" si="490"/>
        <v/>
      </c>
      <c r="BC829" s="67">
        <f t="shared" si="491"/>
        <v>-180.9</v>
      </c>
    </row>
    <row r="830" spans="30:55">
      <c r="AD830" s="68" t="str">
        <v>12</v>
      </c>
      <c r="AE830" s="61">
        <v>176</v>
      </c>
      <c r="AF830" s="61">
        <v>1</v>
      </c>
      <c r="AG830" s="66">
        <f t="shared" si="492"/>
        <v>176</v>
      </c>
      <c r="AH830" s="66" t="str">
        <f t="shared" si="493"/>
        <v/>
      </c>
      <c r="AI830" s="67" t="str">
        <f t="shared" si="494"/>
        <v/>
      </c>
      <c r="AJ830" s="61">
        <v>1</v>
      </c>
      <c r="AK830" s="66">
        <f t="shared" si="495"/>
        <v>176</v>
      </c>
      <c r="AL830" s="66" t="str">
        <f t="shared" si="496"/>
        <v/>
      </c>
      <c r="AM830" s="67" t="str">
        <f t="shared" si="497"/>
        <v/>
      </c>
      <c r="AN830" s="61">
        <v>1</v>
      </c>
      <c r="AO830" s="66">
        <f t="shared" si="498"/>
        <v>176</v>
      </c>
      <c r="AP830" s="66" t="str">
        <f t="shared" si="499"/>
        <v/>
      </c>
      <c r="AQ830" s="67" t="str">
        <f t="shared" si="500"/>
        <v/>
      </c>
      <c r="AR830" s="61">
        <v>1</v>
      </c>
      <c r="AS830" s="66">
        <f t="shared" si="501"/>
        <v>176</v>
      </c>
      <c r="AT830" s="66" t="str">
        <f t="shared" si="502"/>
        <v/>
      </c>
      <c r="AU830" s="67" t="str">
        <f t="shared" si="503"/>
        <v/>
      </c>
      <c r="AV830" s="61">
        <v>1</v>
      </c>
      <c r="AW830" s="66">
        <f t="shared" si="486"/>
        <v>176</v>
      </c>
      <c r="AX830" s="66" t="str">
        <f t="shared" si="487"/>
        <v/>
      </c>
      <c r="AY830" s="67" t="str">
        <f t="shared" si="488"/>
        <v/>
      </c>
      <c r="AZ830" s="61">
        <v>1</v>
      </c>
      <c r="BA830" s="66">
        <f t="shared" si="489"/>
        <v>176</v>
      </c>
      <c r="BB830" s="66" t="str">
        <f t="shared" si="490"/>
        <v/>
      </c>
      <c r="BC830" s="67" t="str">
        <f t="shared" si="491"/>
        <v/>
      </c>
    </row>
    <row r="831" spans="30:55">
      <c r="AD831" s="68" t="str">
        <v>13</v>
      </c>
      <c r="AE831" s="61">
        <v>170.9</v>
      </c>
      <c r="AF831" s="61">
        <v>1</v>
      </c>
      <c r="AG831" s="66">
        <f t="shared" si="492"/>
        <v>170.9</v>
      </c>
      <c r="AH831" s="66" t="str">
        <f t="shared" si="493"/>
        <v/>
      </c>
      <c r="AI831" s="67" t="str">
        <f t="shared" si="494"/>
        <v/>
      </c>
      <c r="AJ831" s="61">
        <v>1</v>
      </c>
      <c r="AK831" s="66">
        <f t="shared" si="495"/>
        <v>170.9</v>
      </c>
      <c r="AL831" s="66" t="str">
        <f t="shared" si="496"/>
        <v/>
      </c>
      <c r="AM831" s="67" t="str">
        <f t="shared" si="497"/>
        <v/>
      </c>
      <c r="AN831" s="61">
        <v>1</v>
      </c>
      <c r="AO831" s="66">
        <f t="shared" si="498"/>
        <v>170.9</v>
      </c>
      <c r="AP831" s="66" t="str">
        <f t="shared" si="499"/>
        <v/>
      </c>
      <c r="AQ831" s="67" t="str">
        <f t="shared" si="500"/>
        <v/>
      </c>
      <c r="AR831" s="61">
        <v>1</v>
      </c>
      <c r="AS831" s="66">
        <f t="shared" si="501"/>
        <v>170.9</v>
      </c>
      <c r="AT831" s="66" t="str">
        <f t="shared" si="502"/>
        <v/>
      </c>
      <c r="AU831" s="67" t="str">
        <f t="shared" si="503"/>
        <v/>
      </c>
      <c r="AV831" s="61">
        <v>0</v>
      </c>
      <c r="AW831" s="66" t="str">
        <f t="shared" si="486"/>
        <v/>
      </c>
      <c r="AX831" s="66">
        <f t="shared" si="487"/>
        <v>0</v>
      </c>
      <c r="AY831" s="67" t="str">
        <f t="shared" si="488"/>
        <v/>
      </c>
      <c r="AZ831" s="61">
        <v>1</v>
      </c>
      <c r="BA831" s="66">
        <f t="shared" si="489"/>
        <v>170.9</v>
      </c>
      <c r="BB831" s="66" t="str">
        <f t="shared" si="490"/>
        <v/>
      </c>
      <c r="BC831" s="67" t="str">
        <f t="shared" si="491"/>
        <v/>
      </c>
    </row>
    <row r="832" spans="30:55">
      <c r="AD832" s="68" t="str">
        <v>14</v>
      </c>
      <c r="AE832" s="61">
        <v>161.69999999999999</v>
      </c>
      <c r="AF832" s="61">
        <v>1</v>
      </c>
      <c r="AG832" s="66">
        <f t="shared" si="492"/>
        <v>161.69999999999999</v>
      </c>
      <c r="AH832" s="66" t="str">
        <f t="shared" si="493"/>
        <v/>
      </c>
      <c r="AI832" s="67" t="str">
        <f t="shared" si="494"/>
        <v/>
      </c>
      <c r="AJ832" s="61">
        <v>1</v>
      </c>
      <c r="AK832" s="66">
        <f t="shared" si="495"/>
        <v>161.69999999999999</v>
      </c>
      <c r="AL832" s="66" t="str">
        <f t="shared" si="496"/>
        <v/>
      </c>
      <c r="AM832" s="67" t="str">
        <f t="shared" si="497"/>
        <v/>
      </c>
      <c r="AN832" s="61">
        <v>1</v>
      </c>
      <c r="AO832" s="66">
        <f t="shared" si="498"/>
        <v>161.69999999999999</v>
      </c>
      <c r="AP832" s="66" t="str">
        <f t="shared" si="499"/>
        <v/>
      </c>
      <c r="AQ832" s="67" t="str">
        <f t="shared" si="500"/>
        <v/>
      </c>
      <c r="AR832" s="61">
        <v>1</v>
      </c>
      <c r="AS832" s="66">
        <f t="shared" si="501"/>
        <v>161.69999999999999</v>
      </c>
      <c r="AT832" s="66" t="str">
        <f t="shared" si="502"/>
        <v/>
      </c>
      <c r="AU832" s="67" t="str">
        <f t="shared" si="503"/>
        <v/>
      </c>
      <c r="AV832" s="61">
        <v>-1</v>
      </c>
      <c r="AW832" s="66" t="str">
        <f t="shared" si="486"/>
        <v/>
      </c>
      <c r="AX832" s="66" t="str">
        <f t="shared" si="487"/>
        <v/>
      </c>
      <c r="AY832" s="67">
        <f t="shared" si="488"/>
        <v>-161.69999999999999</v>
      </c>
      <c r="AZ832" s="61">
        <v>1</v>
      </c>
      <c r="BA832" s="66">
        <f t="shared" si="489"/>
        <v>161.69999999999999</v>
      </c>
      <c r="BB832" s="66" t="str">
        <f t="shared" si="490"/>
        <v/>
      </c>
      <c r="BC832" s="67" t="str">
        <f t="shared" si="491"/>
        <v/>
      </c>
    </row>
    <row r="833" spans="29:55">
      <c r="AD833" s="68" t="str">
        <v>15</v>
      </c>
      <c r="AE833" s="61">
        <v>152.4</v>
      </c>
      <c r="AF833" s="61">
        <v>1</v>
      </c>
      <c r="AG833" s="66">
        <f t="shared" si="492"/>
        <v>152.4</v>
      </c>
      <c r="AH833" s="66" t="str">
        <f t="shared" si="493"/>
        <v/>
      </c>
      <c r="AI833" s="67" t="str">
        <f t="shared" si="494"/>
        <v/>
      </c>
      <c r="AJ833" s="61">
        <v>1</v>
      </c>
      <c r="AK833" s="66">
        <f t="shared" si="495"/>
        <v>152.4</v>
      </c>
      <c r="AL833" s="66" t="str">
        <f t="shared" si="496"/>
        <v/>
      </c>
      <c r="AM833" s="67" t="str">
        <f t="shared" si="497"/>
        <v/>
      </c>
      <c r="AN833" s="61">
        <v>-1</v>
      </c>
      <c r="AO833" s="66" t="str">
        <f t="shared" si="498"/>
        <v/>
      </c>
      <c r="AP833" s="66" t="str">
        <f t="shared" si="499"/>
        <v/>
      </c>
      <c r="AQ833" s="67">
        <f t="shared" si="500"/>
        <v>-152.4</v>
      </c>
      <c r="AR833" s="61">
        <v>1</v>
      </c>
      <c r="AS833" s="66">
        <f t="shared" si="501"/>
        <v>152.4</v>
      </c>
      <c r="AT833" s="66" t="str">
        <f t="shared" si="502"/>
        <v/>
      </c>
      <c r="AU833" s="67" t="str">
        <f t="shared" si="503"/>
        <v/>
      </c>
      <c r="AV833" s="61">
        <v>-1</v>
      </c>
      <c r="AW833" s="66" t="str">
        <f t="shared" si="486"/>
        <v/>
      </c>
      <c r="AX833" s="66" t="str">
        <f t="shared" si="487"/>
        <v/>
      </c>
      <c r="AY833" s="67">
        <f t="shared" si="488"/>
        <v>-152.4</v>
      </c>
      <c r="AZ833" s="61">
        <v>-1</v>
      </c>
      <c r="BA833" s="66" t="str">
        <f t="shared" si="489"/>
        <v/>
      </c>
      <c r="BB833" s="66" t="str">
        <f t="shared" si="490"/>
        <v/>
      </c>
      <c r="BC833" s="67">
        <f t="shared" si="491"/>
        <v>-152.4</v>
      </c>
    </row>
    <row r="834" spans="29:55">
      <c r="AD834" s="68" t="str">
        <v>16</v>
      </c>
      <c r="AE834" s="61">
        <v>141.9</v>
      </c>
      <c r="AF834" s="61">
        <v>1</v>
      </c>
      <c r="AG834" s="66">
        <f t="shared" si="492"/>
        <v>141.9</v>
      </c>
      <c r="AH834" s="66" t="str">
        <f t="shared" si="493"/>
        <v/>
      </c>
      <c r="AI834" s="67" t="str">
        <f t="shared" si="494"/>
        <v/>
      </c>
      <c r="AJ834" s="61">
        <v>1</v>
      </c>
      <c r="AK834" s="66">
        <f t="shared" si="495"/>
        <v>141.9</v>
      </c>
      <c r="AL834" s="66" t="str">
        <f t="shared" si="496"/>
        <v/>
      </c>
      <c r="AM834" s="67" t="str">
        <f t="shared" si="497"/>
        <v/>
      </c>
      <c r="AN834" s="61">
        <v>-1</v>
      </c>
      <c r="AO834" s="66" t="str">
        <f t="shared" si="498"/>
        <v/>
      </c>
      <c r="AP834" s="66" t="str">
        <f t="shared" si="499"/>
        <v/>
      </c>
      <c r="AQ834" s="67">
        <f t="shared" si="500"/>
        <v>-141.9</v>
      </c>
      <c r="AR834" s="61">
        <v>1</v>
      </c>
      <c r="AS834" s="66">
        <f t="shared" si="501"/>
        <v>141.9</v>
      </c>
      <c r="AT834" s="66" t="str">
        <f t="shared" si="502"/>
        <v/>
      </c>
      <c r="AU834" s="67" t="str">
        <f t="shared" si="503"/>
        <v/>
      </c>
      <c r="AV834" s="61">
        <v>0</v>
      </c>
      <c r="AW834" s="66" t="str">
        <f t="shared" si="486"/>
        <v/>
      </c>
      <c r="AX834" s="66">
        <f t="shared" si="487"/>
        <v>0</v>
      </c>
      <c r="AY834" s="67" t="str">
        <f t="shared" si="488"/>
        <v/>
      </c>
      <c r="AZ834" s="61">
        <v>-1</v>
      </c>
      <c r="BA834" s="66" t="str">
        <f t="shared" si="489"/>
        <v/>
      </c>
      <c r="BB834" s="66" t="str">
        <f t="shared" si="490"/>
        <v/>
      </c>
      <c r="BC834" s="67">
        <f t="shared" si="491"/>
        <v>-141.9</v>
      </c>
    </row>
    <row r="835" spans="29:55">
      <c r="AD835" s="68" t="str">
        <v>17</v>
      </c>
      <c r="AE835" s="61">
        <v>131.4</v>
      </c>
      <c r="AF835" s="61">
        <v>1</v>
      </c>
      <c r="AG835" s="66">
        <f t="shared" si="492"/>
        <v>131.4</v>
      </c>
      <c r="AH835" s="66" t="str">
        <f t="shared" si="493"/>
        <v/>
      </c>
      <c r="AI835" s="67" t="str">
        <f t="shared" si="494"/>
        <v/>
      </c>
      <c r="AJ835" s="61">
        <v>1</v>
      </c>
      <c r="AK835" s="66">
        <f t="shared" si="495"/>
        <v>131.4</v>
      </c>
      <c r="AL835" s="66" t="str">
        <f t="shared" si="496"/>
        <v/>
      </c>
      <c r="AM835" s="67" t="str">
        <f t="shared" si="497"/>
        <v/>
      </c>
      <c r="AN835" s="61">
        <v>-1</v>
      </c>
      <c r="AO835" s="66" t="str">
        <f t="shared" si="498"/>
        <v/>
      </c>
      <c r="AP835" s="66" t="str">
        <f t="shared" si="499"/>
        <v/>
      </c>
      <c r="AQ835" s="67">
        <f t="shared" si="500"/>
        <v>-131.4</v>
      </c>
      <c r="AR835" s="61">
        <v>1</v>
      </c>
      <c r="AS835" s="66">
        <f t="shared" si="501"/>
        <v>131.4</v>
      </c>
      <c r="AT835" s="66" t="str">
        <f t="shared" si="502"/>
        <v/>
      </c>
      <c r="AU835" s="67" t="str">
        <f t="shared" si="503"/>
        <v/>
      </c>
      <c r="AV835" s="61">
        <v>1</v>
      </c>
      <c r="AW835" s="66">
        <f t="shared" si="486"/>
        <v>131.4</v>
      </c>
      <c r="AX835" s="66" t="str">
        <f t="shared" si="487"/>
        <v/>
      </c>
      <c r="AY835" s="67" t="str">
        <f t="shared" si="488"/>
        <v/>
      </c>
      <c r="AZ835" s="61">
        <v>-1</v>
      </c>
      <c r="BA835" s="66" t="str">
        <f t="shared" si="489"/>
        <v/>
      </c>
      <c r="BB835" s="66" t="str">
        <f t="shared" si="490"/>
        <v/>
      </c>
      <c r="BC835" s="67">
        <f t="shared" si="491"/>
        <v>-131.4</v>
      </c>
    </row>
    <row r="836" spans="29:55">
      <c r="AD836" s="68" t="str">
        <v>18</v>
      </c>
      <c r="AE836" s="61">
        <v>122.10000000000001</v>
      </c>
      <c r="AF836" s="61">
        <v>-1</v>
      </c>
      <c r="AG836" s="66" t="str">
        <f t="shared" si="492"/>
        <v/>
      </c>
      <c r="AH836" s="66" t="str">
        <f t="shared" si="493"/>
        <v/>
      </c>
      <c r="AI836" s="67">
        <f t="shared" si="494"/>
        <v>-122.10000000000001</v>
      </c>
      <c r="AJ836" s="61">
        <v>1</v>
      </c>
      <c r="AK836" s="66">
        <f t="shared" si="495"/>
        <v>122.10000000000001</v>
      </c>
      <c r="AL836" s="66" t="str">
        <f t="shared" si="496"/>
        <v/>
      </c>
      <c r="AM836" s="67" t="str">
        <f t="shared" si="497"/>
        <v/>
      </c>
      <c r="AN836" s="61">
        <v>-1</v>
      </c>
      <c r="AO836" s="66" t="str">
        <f t="shared" si="498"/>
        <v/>
      </c>
      <c r="AP836" s="66" t="str">
        <f t="shared" si="499"/>
        <v/>
      </c>
      <c r="AQ836" s="67">
        <f t="shared" si="500"/>
        <v>-122.10000000000001</v>
      </c>
      <c r="AR836" s="61">
        <v>-1</v>
      </c>
      <c r="AS836" s="66" t="str">
        <f t="shared" si="501"/>
        <v/>
      </c>
      <c r="AT836" s="66" t="str">
        <f t="shared" si="502"/>
        <v/>
      </c>
      <c r="AU836" s="67">
        <f t="shared" si="503"/>
        <v>-122.10000000000001</v>
      </c>
      <c r="AV836" s="61">
        <v>1</v>
      </c>
      <c r="AW836" s="66">
        <f t="shared" si="486"/>
        <v>122.10000000000001</v>
      </c>
      <c r="AX836" s="66" t="str">
        <f t="shared" si="487"/>
        <v/>
      </c>
      <c r="AY836" s="67" t="str">
        <f t="shared" si="488"/>
        <v/>
      </c>
      <c r="AZ836" s="61">
        <v>1</v>
      </c>
      <c r="BA836" s="66">
        <f t="shared" si="489"/>
        <v>122.10000000000001</v>
      </c>
      <c r="BB836" s="66" t="str">
        <f t="shared" si="490"/>
        <v/>
      </c>
      <c r="BC836" s="67" t="str">
        <f t="shared" si="491"/>
        <v/>
      </c>
    </row>
    <row r="837" spans="29:55">
      <c r="AD837" s="68" t="str">
        <v>19</v>
      </c>
      <c r="AE837" s="61">
        <v>117.10000000000001</v>
      </c>
      <c r="AF837" s="61">
        <v>-1</v>
      </c>
      <c r="AG837" s="66" t="str">
        <f t="shared" si="492"/>
        <v/>
      </c>
      <c r="AH837" s="66" t="str">
        <f t="shared" si="493"/>
        <v/>
      </c>
      <c r="AI837" s="67">
        <f t="shared" si="494"/>
        <v>-117.10000000000001</v>
      </c>
      <c r="AJ837" s="61">
        <v>1</v>
      </c>
      <c r="AK837" s="66">
        <f t="shared" si="495"/>
        <v>117.10000000000001</v>
      </c>
      <c r="AL837" s="66" t="str">
        <f t="shared" si="496"/>
        <v/>
      </c>
      <c r="AM837" s="67" t="str">
        <f t="shared" si="497"/>
        <v/>
      </c>
      <c r="AN837" s="61">
        <v>-1</v>
      </c>
      <c r="AO837" s="66" t="str">
        <f t="shared" si="498"/>
        <v/>
      </c>
      <c r="AP837" s="66" t="str">
        <f t="shared" si="499"/>
        <v/>
      </c>
      <c r="AQ837" s="67">
        <f t="shared" si="500"/>
        <v>-117.10000000000001</v>
      </c>
      <c r="AR837" s="61">
        <v>-1</v>
      </c>
      <c r="AS837" s="66" t="str">
        <f t="shared" si="501"/>
        <v/>
      </c>
      <c r="AT837" s="66" t="str">
        <f t="shared" si="502"/>
        <v/>
      </c>
      <c r="AU837" s="67">
        <f t="shared" si="503"/>
        <v>-117.10000000000001</v>
      </c>
      <c r="AV837" s="61">
        <v>0</v>
      </c>
      <c r="AW837" s="66" t="str">
        <f t="shared" si="486"/>
        <v/>
      </c>
      <c r="AX837" s="66">
        <f t="shared" si="487"/>
        <v>0</v>
      </c>
      <c r="AY837" s="67" t="str">
        <f t="shared" si="488"/>
        <v/>
      </c>
      <c r="AZ837" s="61">
        <v>1</v>
      </c>
      <c r="BA837" s="66">
        <f t="shared" si="489"/>
        <v>117.10000000000001</v>
      </c>
      <c r="BB837" s="66" t="str">
        <f t="shared" si="490"/>
        <v/>
      </c>
      <c r="BC837" s="67" t="str">
        <f t="shared" si="491"/>
        <v/>
      </c>
    </row>
    <row r="838" spans="29:55">
      <c r="AD838" s="68" t="str">
        <v>20</v>
      </c>
      <c r="AE838" s="61">
        <v>114.9</v>
      </c>
      <c r="AF838" s="61">
        <v>-1</v>
      </c>
      <c r="AG838" s="66" t="str">
        <f t="shared" si="492"/>
        <v/>
      </c>
      <c r="AH838" s="66" t="str">
        <f t="shared" si="493"/>
        <v/>
      </c>
      <c r="AI838" s="67">
        <f t="shared" si="494"/>
        <v>-114.9</v>
      </c>
      <c r="AJ838" s="61">
        <v>1</v>
      </c>
      <c r="AK838" s="66">
        <f t="shared" si="495"/>
        <v>114.9</v>
      </c>
      <c r="AL838" s="66" t="str">
        <f t="shared" si="496"/>
        <v/>
      </c>
      <c r="AM838" s="67" t="str">
        <f t="shared" si="497"/>
        <v/>
      </c>
      <c r="AN838" s="61">
        <v>-1</v>
      </c>
      <c r="AO838" s="66" t="str">
        <f t="shared" si="498"/>
        <v/>
      </c>
      <c r="AP838" s="66" t="str">
        <f t="shared" si="499"/>
        <v/>
      </c>
      <c r="AQ838" s="67">
        <f t="shared" si="500"/>
        <v>-114.9</v>
      </c>
      <c r="AR838" s="61">
        <v>-1</v>
      </c>
      <c r="AS838" s="66" t="str">
        <f t="shared" si="501"/>
        <v/>
      </c>
      <c r="AT838" s="66" t="str">
        <f t="shared" si="502"/>
        <v/>
      </c>
      <c r="AU838" s="67">
        <f t="shared" si="503"/>
        <v>-114.9</v>
      </c>
      <c r="AV838" s="61">
        <v>-1</v>
      </c>
      <c r="AW838" s="66" t="str">
        <f t="shared" si="486"/>
        <v/>
      </c>
      <c r="AX838" s="66" t="str">
        <f t="shared" si="487"/>
        <v/>
      </c>
      <c r="AY838" s="67">
        <f t="shared" si="488"/>
        <v>-114.9</v>
      </c>
      <c r="AZ838" s="61">
        <v>1</v>
      </c>
      <c r="BA838" s="66">
        <f t="shared" si="489"/>
        <v>114.9</v>
      </c>
      <c r="BB838" s="66" t="str">
        <f t="shared" si="490"/>
        <v/>
      </c>
      <c r="BC838" s="67" t="str">
        <f t="shared" si="491"/>
        <v/>
      </c>
    </row>
    <row r="839" spans="29:55">
      <c r="AD839" s="68" t="str">
        <v>21</v>
      </c>
      <c r="AE839" s="61">
        <v>124.4</v>
      </c>
      <c r="AF839" s="61">
        <v>-1</v>
      </c>
      <c r="AG839" s="66" t="str">
        <f t="shared" si="492"/>
        <v/>
      </c>
      <c r="AH839" s="66" t="str">
        <f t="shared" si="493"/>
        <v/>
      </c>
      <c r="AI839" s="67">
        <f t="shared" si="494"/>
        <v>-124.4</v>
      </c>
      <c r="AJ839" s="61">
        <v>1</v>
      </c>
      <c r="AK839" s="66">
        <f t="shared" si="495"/>
        <v>124.4</v>
      </c>
      <c r="AL839" s="66" t="str">
        <f t="shared" si="496"/>
        <v/>
      </c>
      <c r="AM839" s="67" t="str">
        <f t="shared" si="497"/>
        <v/>
      </c>
      <c r="AN839" s="61">
        <v>1</v>
      </c>
      <c r="AO839" s="66">
        <f t="shared" si="498"/>
        <v>124.4</v>
      </c>
      <c r="AP839" s="66" t="str">
        <f t="shared" si="499"/>
        <v/>
      </c>
      <c r="AQ839" s="67" t="str">
        <f t="shared" si="500"/>
        <v/>
      </c>
      <c r="AR839" s="61">
        <v>-1</v>
      </c>
      <c r="AS839" s="66" t="str">
        <f t="shared" si="501"/>
        <v/>
      </c>
      <c r="AT839" s="66" t="str">
        <f t="shared" si="502"/>
        <v/>
      </c>
      <c r="AU839" s="67">
        <f t="shared" si="503"/>
        <v>-124.4</v>
      </c>
      <c r="AV839" s="61">
        <v>-1</v>
      </c>
      <c r="AW839" s="66" t="str">
        <f t="shared" si="486"/>
        <v/>
      </c>
      <c r="AX839" s="66" t="str">
        <f t="shared" si="487"/>
        <v/>
      </c>
      <c r="AY839" s="67">
        <f t="shared" si="488"/>
        <v>-124.4</v>
      </c>
      <c r="AZ839" s="61">
        <v>-1</v>
      </c>
      <c r="BA839" s="66" t="str">
        <f t="shared" si="489"/>
        <v/>
      </c>
      <c r="BB839" s="66" t="str">
        <f t="shared" si="490"/>
        <v/>
      </c>
      <c r="BC839" s="67">
        <f t="shared" si="491"/>
        <v>-124.4</v>
      </c>
    </row>
    <row r="840" spans="29:55">
      <c r="AD840" s="68" t="str">
        <v>22</v>
      </c>
      <c r="AE840" s="61">
        <v>138.5</v>
      </c>
      <c r="AF840" s="61">
        <v>-1</v>
      </c>
      <c r="AG840" s="66" t="str">
        <f t="shared" si="492"/>
        <v/>
      </c>
      <c r="AH840" s="66" t="str">
        <f t="shared" si="493"/>
        <v/>
      </c>
      <c r="AI840" s="67">
        <f t="shared" si="494"/>
        <v>-138.5</v>
      </c>
      <c r="AJ840" s="61">
        <v>1</v>
      </c>
      <c r="AK840" s="66">
        <f t="shared" si="495"/>
        <v>138.5</v>
      </c>
      <c r="AL840" s="66" t="str">
        <f t="shared" si="496"/>
        <v/>
      </c>
      <c r="AM840" s="67" t="str">
        <f t="shared" si="497"/>
        <v/>
      </c>
      <c r="AN840" s="61">
        <v>1</v>
      </c>
      <c r="AO840" s="66">
        <f t="shared" si="498"/>
        <v>138.5</v>
      </c>
      <c r="AP840" s="66" t="str">
        <f t="shared" si="499"/>
        <v/>
      </c>
      <c r="AQ840" s="67" t="str">
        <f t="shared" si="500"/>
        <v/>
      </c>
      <c r="AR840" s="61">
        <v>-1</v>
      </c>
      <c r="AS840" s="66" t="str">
        <f t="shared" si="501"/>
        <v/>
      </c>
      <c r="AT840" s="66" t="str">
        <f t="shared" si="502"/>
        <v/>
      </c>
      <c r="AU840" s="67">
        <f t="shared" si="503"/>
        <v>-138.5</v>
      </c>
      <c r="AV840" s="61">
        <v>0</v>
      </c>
      <c r="AW840" s="66" t="str">
        <f t="shared" si="486"/>
        <v/>
      </c>
      <c r="AX840" s="66">
        <f t="shared" si="487"/>
        <v>0</v>
      </c>
      <c r="AY840" s="67" t="str">
        <f t="shared" si="488"/>
        <v/>
      </c>
      <c r="AZ840" s="61">
        <v>-1</v>
      </c>
      <c r="BA840" s="66" t="str">
        <f t="shared" si="489"/>
        <v/>
      </c>
      <c r="BB840" s="66" t="str">
        <f t="shared" si="490"/>
        <v/>
      </c>
      <c r="BC840" s="67">
        <f t="shared" si="491"/>
        <v>-138.5</v>
      </c>
    </row>
    <row r="841" spans="29:55">
      <c r="AD841" s="68" t="str">
        <v>23</v>
      </c>
      <c r="AE841" s="61">
        <v>156.69999999999999</v>
      </c>
      <c r="AF841" s="61">
        <v>-1</v>
      </c>
      <c r="AG841" s="66" t="str">
        <f t="shared" si="492"/>
        <v/>
      </c>
      <c r="AH841" s="66" t="str">
        <f t="shared" si="493"/>
        <v/>
      </c>
      <c r="AI841" s="67">
        <f t="shared" si="494"/>
        <v>-156.69999999999999</v>
      </c>
      <c r="AJ841" s="61">
        <v>1</v>
      </c>
      <c r="AK841" s="66">
        <f t="shared" si="495"/>
        <v>156.69999999999999</v>
      </c>
      <c r="AL841" s="66" t="str">
        <f t="shared" si="496"/>
        <v/>
      </c>
      <c r="AM841" s="67" t="str">
        <f t="shared" si="497"/>
        <v/>
      </c>
      <c r="AN841" s="61">
        <v>1</v>
      </c>
      <c r="AO841" s="66">
        <f t="shared" si="498"/>
        <v>156.69999999999999</v>
      </c>
      <c r="AP841" s="66" t="str">
        <f t="shared" si="499"/>
        <v/>
      </c>
      <c r="AQ841" s="67" t="str">
        <f t="shared" si="500"/>
        <v/>
      </c>
      <c r="AR841" s="61">
        <v>-1</v>
      </c>
      <c r="AS841" s="66" t="str">
        <f t="shared" si="501"/>
        <v/>
      </c>
      <c r="AT841" s="66" t="str">
        <f t="shared" si="502"/>
        <v/>
      </c>
      <c r="AU841" s="67">
        <f t="shared" si="503"/>
        <v>-156.69999999999999</v>
      </c>
      <c r="AV841" s="61">
        <v>1</v>
      </c>
      <c r="AW841" s="66">
        <f t="shared" si="486"/>
        <v>156.69999999999999</v>
      </c>
      <c r="AX841" s="66" t="str">
        <f t="shared" si="487"/>
        <v/>
      </c>
      <c r="AY841" s="67" t="str">
        <f t="shared" si="488"/>
        <v/>
      </c>
      <c r="AZ841" s="61">
        <v>-1</v>
      </c>
      <c r="BA841" s="66" t="str">
        <f t="shared" si="489"/>
        <v/>
      </c>
      <c r="BB841" s="66" t="str">
        <f t="shared" si="490"/>
        <v/>
      </c>
      <c r="BC841" s="67">
        <f t="shared" si="491"/>
        <v>-156.69999999999999</v>
      </c>
    </row>
    <row r="842" spans="29:55" ht="15.75" thickBot="1">
      <c r="AC842" s="476">
        <f>AD814</f>
        <v>44736</v>
      </c>
      <c r="AD842" s="69" t="s">
        <v>85</v>
      </c>
      <c r="AE842" s="70">
        <f>SUM(AE818:AE841)</f>
        <v>3845.6</v>
      </c>
      <c r="AF842" s="70"/>
      <c r="AG842" s="71">
        <f>ABS(SUM(AG818:AG841))</f>
        <v>1996.4000000000005</v>
      </c>
      <c r="AH842" s="70"/>
      <c r="AI842" s="72">
        <f>ABS(SUM(AI818:AI841))</f>
        <v>1849.2</v>
      </c>
      <c r="AJ842" s="70"/>
      <c r="AK842" s="71">
        <f>ABS(SUM(AK818:AK841))</f>
        <v>1708</v>
      </c>
      <c r="AL842" s="70"/>
      <c r="AM842" s="72">
        <f>ABS(SUM(AM818:AM841))</f>
        <v>2137.6</v>
      </c>
      <c r="AN842" s="70"/>
      <c r="AO842" s="71">
        <f>ABS(SUM(AO818:AO841))</f>
        <v>2012.6000000000004</v>
      </c>
      <c r="AP842" s="70"/>
      <c r="AQ842" s="72">
        <f>ABS(SUM(AQ818:AQ841))</f>
        <v>1833.0000000000002</v>
      </c>
      <c r="AR842" s="70"/>
      <c r="AS842" s="71">
        <f>ABS(SUM(AS818:AS841))</f>
        <v>2009.8000000000004</v>
      </c>
      <c r="AT842" s="70"/>
      <c r="AU842" s="72">
        <f>ABS(SUM(AU818:AU841))</f>
        <v>1835.8000000000002</v>
      </c>
      <c r="AV842" s="70"/>
      <c r="AW842" s="71">
        <f>ABS(SUM(AW818:AW841))</f>
        <v>1287.5</v>
      </c>
      <c r="AX842" s="70"/>
      <c r="AY842" s="72">
        <f>ABS(SUM(AY818:AY841))</f>
        <v>1274.5000000000002</v>
      </c>
      <c r="AZ842" s="70"/>
      <c r="BA842" s="71">
        <f>ABS(SUM(BA818:BA841))</f>
        <v>1921.2</v>
      </c>
      <c r="BB842" s="70"/>
      <c r="BC842" s="72">
        <f>ABS(SUM(BC818:BC841))</f>
        <v>1924.4000000000005</v>
      </c>
    </row>
    <row r="844" spans="29:55" ht="15" thickBot="1">
      <c r="AD844" s="476">
        <f>skemA1!B33</f>
        <v>44737</v>
      </c>
    </row>
    <row r="845" spans="29:55" ht="15" thickBot="1">
      <c r="AD845" s="677" t="s">
        <v>75</v>
      </c>
      <c r="AE845" s="60" t="s">
        <v>558</v>
      </c>
      <c r="AF845" s="672" t="s">
        <v>559</v>
      </c>
      <c r="AG845" s="672"/>
      <c r="AH845" s="672"/>
      <c r="AI845" s="673"/>
      <c r="AJ845" s="672" t="s">
        <v>562</v>
      </c>
      <c r="AK845" s="672"/>
      <c r="AL845" s="672"/>
      <c r="AM845" s="673"/>
      <c r="AN845" s="672" t="s">
        <v>563</v>
      </c>
      <c r="AO845" s="672"/>
      <c r="AP845" s="672"/>
      <c r="AQ845" s="673"/>
      <c r="AR845" s="672" t="s">
        <v>564</v>
      </c>
      <c r="AS845" s="672"/>
      <c r="AT845" s="672"/>
      <c r="AU845" s="673"/>
      <c r="AV845" s="672" t="s">
        <v>565</v>
      </c>
      <c r="AW845" s="672"/>
      <c r="AX845" s="672"/>
      <c r="AY845" s="673"/>
      <c r="AZ845" s="672" t="s">
        <v>566</v>
      </c>
      <c r="BA845" s="672"/>
      <c r="BB845" s="672"/>
      <c r="BC845" s="673"/>
    </row>
    <row r="846" spans="29:55" ht="15" thickBot="1">
      <c r="AD846" s="677"/>
      <c r="AE846" s="61"/>
      <c r="AF846" s="674" t="s">
        <v>561</v>
      </c>
      <c r="AG846" s="670" t="s">
        <v>560</v>
      </c>
      <c r="AH846" s="670"/>
      <c r="AI846" s="671"/>
      <c r="AJ846" s="674" t="s">
        <v>561</v>
      </c>
      <c r="AK846" s="670" t="s">
        <v>560</v>
      </c>
      <c r="AL846" s="670"/>
      <c r="AM846" s="671"/>
      <c r="AN846" s="674" t="s">
        <v>561</v>
      </c>
      <c r="AO846" s="670" t="s">
        <v>560</v>
      </c>
      <c r="AP846" s="670"/>
      <c r="AQ846" s="671"/>
      <c r="AR846" s="674" t="s">
        <v>561</v>
      </c>
      <c r="AS846" s="670" t="s">
        <v>560</v>
      </c>
      <c r="AT846" s="670"/>
      <c r="AU846" s="671"/>
      <c r="AV846" s="674" t="s">
        <v>561</v>
      </c>
      <c r="AW846" s="670" t="s">
        <v>560</v>
      </c>
      <c r="AX846" s="670"/>
      <c r="AY846" s="671"/>
      <c r="AZ846" s="674" t="s">
        <v>561</v>
      </c>
      <c r="BA846" s="670" t="s">
        <v>560</v>
      </c>
      <c r="BB846" s="670"/>
      <c r="BC846" s="671"/>
    </row>
    <row r="847" spans="29:55">
      <c r="AD847" s="677"/>
      <c r="AE847" s="62"/>
      <c r="AF847" s="674"/>
      <c r="AG847" s="63" t="s">
        <v>76</v>
      </c>
      <c r="AH847" s="63">
        <v>0</v>
      </c>
      <c r="AI847" s="64" t="s">
        <v>77</v>
      </c>
      <c r="AJ847" s="674"/>
      <c r="AK847" s="63" t="s">
        <v>76</v>
      </c>
      <c r="AL847" s="63">
        <v>0</v>
      </c>
      <c r="AM847" s="64" t="s">
        <v>77</v>
      </c>
      <c r="AN847" s="674"/>
      <c r="AO847" s="63" t="s">
        <v>76</v>
      </c>
      <c r="AP847" s="63">
        <v>0</v>
      </c>
      <c r="AQ847" s="64" t="s">
        <v>77</v>
      </c>
      <c r="AR847" s="674"/>
      <c r="AS847" s="63" t="s">
        <v>76</v>
      </c>
      <c r="AT847" s="63">
        <v>0</v>
      </c>
      <c r="AU847" s="64" t="s">
        <v>77</v>
      </c>
      <c r="AV847" s="674"/>
      <c r="AW847" s="63" t="s">
        <v>76</v>
      </c>
      <c r="AX847" s="63">
        <v>0</v>
      </c>
      <c r="AY847" s="64" t="s">
        <v>77</v>
      </c>
      <c r="AZ847" s="674"/>
      <c r="BA847" s="63" t="s">
        <v>76</v>
      </c>
      <c r="BB847" s="63">
        <v>0</v>
      </c>
      <c r="BC847" s="64" t="s">
        <v>77</v>
      </c>
    </row>
    <row r="848" spans="29:55">
      <c r="AD848" s="65" t="str">
        <f t="array" ref="AD848:AD871">TRANSPOSE($C$5:$Z$5)</f>
        <v>00</v>
      </c>
      <c r="AE848" s="66">
        <f t="array" ref="AE848:AE871">TRANSPOSE(skemA1!$C$33:$Z$33)</f>
        <v>171.9</v>
      </c>
      <c r="AF848" s="66">
        <f t="array" ref="AF848:AF871">TRANSPOSE($C$6:$Z$6)</f>
        <v>-1</v>
      </c>
      <c r="AG848" s="66" t="str">
        <f>IF(AF848&gt;0,AF848*$AE848,"")</f>
        <v/>
      </c>
      <c r="AH848" s="66" t="str">
        <f>IF(AF848=0,AF848*$AE848,"")</f>
        <v/>
      </c>
      <c r="AI848" s="67">
        <f>IF(AF848&lt;0,AF848*$AE848,"")</f>
        <v>-171.9</v>
      </c>
      <c r="AJ848" s="66">
        <f t="array" ref="AJ848:AJ871">TRANSPOSE($C$7:$Z$7)</f>
        <v>-1</v>
      </c>
      <c r="AK848" s="66" t="str">
        <f>IF(AJ848&gt;0,AJ848*$AE848,"")</f>
        <v/>
      </c>
      <c r="AL848" s="66" t="str">
        <f>IF(AJ848=0,AJ848*$AE848,"")</f>
        <v/>
      </c>
      <c r="AM848" s="67">
        <f>IF(AJ848&lt;0,AJ848*$AE848,"")</f>
        <v>-171.9</v>
      </c>
      <c r="AN848" s="66">
        <f t="array" ref="AN848:AN871">TRANSPOSE($C$8:$Z$8)</f>
        <v>1</v>
      </c>
      <c r="AO848" s="66">
        <f>IF(AN848&gt;0,AN848*$AE848,"")</f>
        <v>171.9</v>
      </c>
      <c r="AP848" s="66" t="str">
        <f>IF(AN848=0,AN848*$AE848,"")</f>
        <v/>
      </c>
      <c r="AQ848" s="67" t="str">
        <f>IF(AN848&lt;0,AN848*$AE848,"")</f>
        <v/>
      </c>
      <c r="AR848" s="66">
        <f t="array" ref="AR848:AR871">TRANSPOSE($C$9:$Z$9)</f>
        <v>1</v>
      </c>
      <c r="AS848" s="66">
        <f>IF(AR848&gt;0,AR848*$AE848,"")</f>
        <v>171.9</v>
      </c>
      <c r="AT848" s="66" t="str">
        <f>IF(AR848=0,AR848*$AE848,"")</f>
        <v/>
      </c>
      <c r="AU848" s="67" t="str">
        <f>IF(AR848&lt;0,AR848*$AE848,"")</f>
        <v/>
      </c>
      <c r="AV848" s="66">
        <f t="array" ref="AV848:AV871">TRANSPOSE($C$10:$Z$10)</f>
        <v>1</v>
      </c>
      <c r="AW848" s="66">
        <f t="shared" ref="AW848:AW871" si="504">IF(AV848&gt;0,AV848*$AE848,"")</f>
        <v>171.9</v>
      </c>
      <c r="AX848" s="66" t="str">
        <f t="shared" ref="AX848:AX871" si="505">IF(AV848=0,AV848*$AE848,"")</f>
        <v/>
      </c>
      <c r="AY848" s="67" t="str">
        <f t="shared" ref="AY848:AY871" si="506">IF(AV848&lt;0,AV848*$AE848,"")</f>
        <v/>
      </c>
      <c r="AZ848" s="66">
        <f t="array" ref="AZ848:AZ871">TRANSPOSE($C$11:$Z$11)</f>
        <v>1</v>
      </c>
      <c r="BA848" s="66">
        <f t="shared" ref="BA848:BA871" si="507">IF(AZ848&gt;0,AZ848*$AE848,"")</f>
        <v>171.9</v>
      </c>
      <c r="BB848" s="66" t="str">
        <f t="shared" ref="BB848:BB871" si="508">IF(AZ848=0,AZ848*$AE848,"")</f>
        <v/>
      </c>
      <c r="BC848" s="67" t="str">
        <f t="shared" ref="BC848:BC871" si="509">IF(AZ848&lt;0,AZ848*$AE848,"")</f>
        <v/>
      </c>
    </row>
    <row r="849" spans="30:55">
      <c r="AD849" s="68" t="str">
        <v>01</v>
      </c>
      <c r="AE849" s="61">
        <v>188.7</v>
      </c>
      <c r="AF849" s="61">
        <v>-1</v>
      </c>
      <c r="AG849" s="66" t="str">
        <f t="shared" ref="AG849:AG871" si="510">IF(AF849&gt;0,AF849*$AE849,"")</f>
        <v/>
      </c>
      <c r="AH849" s="66" t="str">
        <f t="shared" ref="AH849:AH871" si="511">IF(AF849=0,AF849*$AE849,"")</f>
        <v/>
      </c>
      <c r="AI849" s="67">
        <f t="shared" ref="AI849:AI871" si="512">IF(AF849&lt;0,AF849*$AE849,"")</f>
        <v>-188.7</v>
      </c>
      <c r="AJ849" s="61">
        <v>-1</v>
      </c>
      <c r="AK849" s="66" t="str">
        <f t="shared" ref="AK849:AK871" si="513">IF(AJ849&gt;0,AJ849*$AE849,"")</f>
        <v/>
      </c>
      <c r="AL849" s="66" t="str">
        <f t="shared" ref="AL849:AL871" si="514">IF(AJ849=0,AJ849*$AE849,"")</f>
        <v/>
      </c>
      <c r="AM849" s="67">
        <f t="shared" ref="AM849:AM871" si="515">IF(AJ849&lt;0,AJ849*$AE849,"")</f>
        <v>-188.7</v>
      </c>
      <c r="AN849" s="61">
        <v>1</v>
      </c>
      <c r="AO849" s="66">
        <f t="shared" ref="AO849:AO871" si="516">IF(AN849&gt;0,AN849*$AE849,"")</f>
        <v>188.7</v>
      </c>
      <c r="AP849" s="66" t="str">
        <f t="shared" ref="AP849:AP871" si="517">IF(AN849=0,AN849*$AE849,"")</f>
        <v/>
      </c>
      <c r="AQ849" s="67" t="str">
        <f t="shared" ref="AQ849:AQ871" si="518">IF(AN849&lt;0,AN849*$AE849,"")</f>
        <v/>
      </c>
      <c r="AR849" s="61">
        <v>1</v>
      </c>
      <c r="AS849" s="66">
        <f t="shared" ref="AS849:AS871" si="519">IF(AR849&gt;0,AR849*$AE849,"")</f>
        <v>188.7</v>
      </c>
      <c r="AT849" s="66" t="str">
        <f t="shared" ref="AT849:AT871" si="520">IF(AR849=0,AR849*$AE849,"")</f>
        <v/>
      </c>
      <c r="AU849" s="67" t="str">
        <f t="shared" ref="AU849:AU871" si="521">IF(AR849&lt;0,AR849*$AE849,"")</f>
        <v/>
      </c>
      <c r="AV849" s="61">
        <v>0</v>
      </c>
      <c r="AW849" s="66" t="str">
        <f t="shared" si="504"/>
        <v/>
      </c>
      <c r="AX849" s="66">
        <f t="shared" si="505"/>
        <v>0</v>
      </c>
      <c r="AY849" s="67" t="str">
        <f t="shared" si="506"/>
        <v/>
      </c>
      <c r="AZ849" s="61">
        <v>1</v>
      </c>
      <c r="BA849" s="66">
        <f t="shared" si="507"/>
        <v>188.7</v>
      </c>
      <c r="BB849" s="66" t="str">
        <f t="shared" si="508"/>
        <v/>
      </c>
      <c r="BC849" s="67" t="str">
        <f t="shared" si="509"/>
        <v/>
      </c>
    </row>
    <row r="850" spans="30:55">
      <c r="AD850" s="68" t="str">
        <v>02</v>
      </c>
      <c r="AE850" s="61">
        <v>200.70000000000002</v>
      </c>
      <c r="AF850" s="61">
        <v>-1</v>
      </c>
      <c r="AG850" s="66" t="str">
        <f t="shared" si="510"/>
        <v/>
      </c>
      <c r="AH850" s="66" t="str">
        <f t="shared" si="511"/>
        <v/>
      </c>
      <c r="AI850" s="67">
        <f t="shared" si="512"/>
        <v>-200.70000000000002</v>
      </c>
      <c r="AJ850" s="61">
        <v>-1</v>
      </c>
      <c r="AK850" s="66" t="str">
        <f t="shared" si="513"/>
        <v/>
      </c>
      <c r="AL850" s="66" t="str">
        <f t="shared" si="514"/>
        <v/>
      </c>
      <c r="AM850" s="67">
        <f t="shared" si="515"/>
        <v>-200.70000000000002</v>
      </c>
      <c r="AN850" s="61">
        <v>1</v>
      </c>
      <c r="AO850" s="66">
        <f t="shared" si="516"/>
        <v>200.70000000000002</v>
      </c>
      <c r="AP850" s="66" t="str">
        <f t="shared" si="517"/>
        <v/>
      </c>
      <c r="AQ850" s="67" t="str">
        <f t="shared" si="518"/>
        <v/>
      </c>
      <c r="AR850" s="61">
        <v>1</v>
      </c>
      <c r="AS850" s="66">
        <f t="shared" si="519"/>
        <v>200.70000000000002</v>
      </c>
      <c r="AT850" s="66" t="str">
        <f t="shared" si="520"/>
        <v/>
      </c>
      <c r="AU850" s="67" t="str">
        <f t="shared" si="521"/>
        <v/>
      </c>
      <c r="AV850" s="61">
        <v>-1</v>
      </c>
      <c r="AW850" s="66" t="str">
        <f t="shared" si="504"/>
        <v/>
      </c>
      <c r="AX850" s="66" t="str">
        <f t="shared" si="505"/>
        <v/>
      </c>
      <c r="AY850" s="67">
        <f t="shared" si="506"/>
        <v>-200.70000000000002</v>
      </c>
      <c r="AZ850" s="61">
        <v>1</v>
      </c>
      <c r="BA850" s="66">
        <f t="shared" si="507"/>
        <v>200.70000000000002</v>
      </c>
      <c r="BB850" s="66" t="str">
        <f t="shared" si="508"/>
        <v/>
      </c>
      <c r="BC850" s="67" t="str">
        <f t="shared" si="509"/>
        <v/>
      </c>
    </row>
    <row r="851" spans="30:55">
      <c r="AD851" s="68" t="str">
        <v>03</v>
      </c>
      <c r="AE851" s="61">
        <v>205.29999999999998</v>
      </c>
      <c r="AF851" s="61">
        <v>-1</v>
      </c>
      <c r="AG851" s="66" t="str">
        <f t="shared" si="510"/>
        <v/>
      </c>
      <c r="AH851" s="66" t="str">
        <f t="shared" si="511"/>
        <v/>
      </c>
      <c r="AI851" s="67">
        <f t="shared" si="512"/>
        <v>-205.29999999999998</v>
      </c>
      <c r="AJ851" s="61">
        <v>-1</v>
      </c>
      <c r="AK851" s="66" t="str">
        <f t="shared" si="513"/>
        <v/>
      </c>
      <c r="AL851" s="66" t="str">
        <f t="shared" si="514"/>
        <v/>
      </c>
      <c r="AM851" s="67">
        <f t="shared" si="515"/>
        <v>-205.29999999999998</v>
      </c>
      <c r="AN851" s="61">
        <v>-1</v>
      </c>
      <c r="AO851" s="66" t="str">
        <f t="shared" si="516"/>
        <v/>
      </c>
      <c r="AP851" s="66" t="str">
        <f t="shared" si="517"/>
        <v/>
      </c>
      <c r="AQ851" s="67">
        <f t="shared" si="518"/>
        <v>-205.29999999999998</v>
      </c>
      <c r="AR851" s="61">
        <v>1</v>
      </c>
      <c r="AS851" s="66">
        <f t="shared" si="519"/>
        <v>205.29999999999998</v>
      </c>
      <c r="AT851" s="66" t="str">
        <f t="shared" si="520"/>
        <v/>
      </c>
      <c r="AU851" s="67" t="str">
        <f t="shared" si="521"/>
        <v/>
      </c>
      <c r="AV851" s="61">
        <v>-1</v>
      </c>
      <c r="AW851" s="66" t="str">
        <f t="shared" si="504"/>
        <v/>
      </c>
      <c r="AX851" s="66" t="str">
        <f t="shared" si="505"/>
        <v/>
      </c>
      <c r="AY851" s="67">
        <f t="shared" si="506"/>
        <v>-205.29999999999998</v>
      </c>
      <c r="AZ851" s="61">
        <v>-1</v>
      </c>
      <c r="BA851" s="66" t="str">
        <f t="shared" si="507"/>
        <v/>
      </c>
      <c r="BB851" s="66" t="str">
        <f t="shared" si="508"/>
        <v/>
      </c>
      <c r="BC851" s="67">
        <f t="shared" si="509"/>
        <v>-205.29999999999998</v>
      </c>
    </row>
    <row r="852" spans="30:55">
      <c r="AD852" s="68" t="str">
        <v>04</v>
      </c>
      <c r="AE852" s="61">
        <v>203.79999999999998</v>
      </c>
      <c r="AF852" s="61">
        <v>-1</v>
      </c>
      <c r="AG852" s="66" t="str">
        <f t="shared" si="510"/>
        <v/>
      </c>
      <c r="AH852" s="66" t="str">
        <f t="shared" si="511"/>
        <v/>
      </c>
      <c r="AI852" s="67">
        <f t="shared" si="512"/>
        <v>-203.79999999999998</v>
      </c>
      <c r="AJ852" s="61">
        <v>-1</v>
      </c>
      <c r="AK852" s="66" t="str">
        <f t="shared" si="513"/>
        <v/>
      </c>
      <c r="AL852" s="66" t="str">
        <f t="shared" si="514"/>
        <v/>
      </c>
      <c r="AM852" s="67">
        <f t="shared" si="515"/>
        <v>-203.79999999999998</v>
      </c>
      <c r="AN852" s="61">
        <v>-1</v>
      </c>
      <c r="AO852" s="66" t="str">
        <f t="shared" si="516"/>
        <v/>
      </c>
      <c r="AP852" s="66" t="str">
        <f t="shared" si="517"/>
        <v/>
      </c>
      <c r="AQ852" s="67">
        <f t="shared" si="518"/>
        <v>-203.79999999999998</v>
      </c>
      <c r="AR852" s="61">
        <v>1</v>
      </c>
      <c r="AS852" s="66">
        <f t="shared" si="519"/>
        <v>203.79999999999998</v>
      </c>
      <c r="AT852" s="66" t="str">
        <f t="shared" si="520"/>
        <v/>
      </c>
      <c r="AU852" s="67" t="str">
        <f t="shared" si="521"/>
        <v/>
      </c>
      <c r="AV852" s="61">
        <v>0</v>
      </c>
      <c r="AW852" s="66" t="str">
        <f t="shared" si="504"/>
        <v/>
      </c>
      <c r="AX852" s="66">
        <f t="shared" si="505"/>
        <v>0</v>
      </c>
      <c r="AY852" s="67" t="str">
        <f t="shared" si="506"/>
        <v/>
      </c>
      <c r="AZ852" s="61">
        <v>-1</v>
      </c>
      <c r="BA852" s="66" t="str">
        <f t="shared" si="507"/>
        <v/>
      </c>
      <c r="BB852" s="66" t="str">
        <f t="shared" si="508"/>
        <v/>
      </c>
      <c r="BC852" s="67">
        <f t="shared" si="509"/>
        <v>-203.79999999999998</v>
      </c>
    </row>
    <row r="853" spans="30:55">
      <c r="AD853" s="68" t="str">
        <v>05</v>
      </c>
      <c r="AE853" s="61">
        <v>197.2</v>
      </c>
      <c r="AF853" s="61">
        <v>-1</v>
      </c>
      <c r="AG853" s="66" t="str">
        <f t="shared" si="510"/>
        <v/>
      </c>
      <c r="AH853" s="66" t="str">
        <f t="shared" si="511"/>
        <v/>
      </c>
      <c r="AI853" s="67">
        <f t="shared" si="512"/>
        <v>-197.2</v>
      </c>
      <c r="AJ853" s="61">
        <v>-1</v>
      </c>
      <c r="AK853" s="66" t="str">
        <f t="shared" si="513"/>
        <v/>
      </c>
      <c r="AL853" s="66" t="str">
        <f t="shared" si="514"/>
        <v/>
      </c>
      <c r="AM853" s="67">
        <f t="shared" si="515"/>
        <v>-197.2</v>
      </c>
      <c r="AN853" s="61">
        <v>-1</v>
      </c>
      <c r="AO853" s="66" t="str">
        <f t="shared" si="516"/>
        <v/>
      </c>
      <c r="AP853" s="66" t="str">
        <f t="shared" si="517"/>
        <v/>
      </c>
      <c r="AQ853" s="67">
        <f t="shared" si="518"/>
        <v>-197.2</v>
      </c>
      <c r="AR853" s="61">
        <v>1</v>
      </c>
      <c r="AS853" s="66">
        <f t="shared" si="519"/>
        <v>197.2</v>
      </c>
      <c r="AT853" s="66" t="str">
        <f t="shared" si="520"/>
        <v/>
      </c>
      <c r="AU853" s="67" t="str">
        <f t="shared" si="521"/>
        <v/>
      </c>
      <c r="AV853" s="61">
        <v>1</v>
      </c>
      <c r="AW853" s="66">
        <f t="shared" si="504"/>
        <v>197.2</v>
      </c>
      <c r="AX853" s="66" t="str">
        <f t="shared" si="505"/>
        <v/>
      </c>
      <c r="AY853" s="67" t="str">
        <f t="shared" si="506"/>
        <v/>
      </c>
      <c r="AZ853" s="61">
        <v>-1</v>
      </c>
      <c r="BA853" s="66" t="str">
        <f t="shared" si="507"/>
        <v/>
      </c>
      <c r="BB853" s="66" t="str">
        <f t="shared" si="508"/>
        <v/>
      </c>
      <c r="BC853" s="67">
        <f t="shared" si="509"/>
        <v>-197.2</v>
      </c>
    </row>
    <row r="854" spans="30:55">
      <c r="AD854" s="68" t="str">
        <v>06</v>
      </c>
      <c r="AE854" s="61">
        <v>192</v>
      </c>
      <c r="AF854" s="61">
        <v>1</v>
      </c>
      <c r="AG854" s="66">
        <f t="shared" si="510"/>
        <v>192</v>
      </c>
      <c r="AH854" s="66" t="str">
        <f t="shared" si="511"/>
        <v/>
      </c>
      <c r="AI854" s="67" t="str">
        <f t="shared" si="512"/>
        <v/>
      </c>
      <c r="AJ854" s="61">
        <v>-1</v>
      </c>
      <c r="AK854" s="66" t="str">
        <f t="shared" si="513"/>
        <v/>
      </c>
      <c r="AL854" s="66" t="str">
        <f t="shared" si="514"/>
        <v/>
      </c>
      <c r="AM854" s="67">
        <f t="shared" si="515"/>
        <v>-192</v>
      </c>
      <c r="AN854" s="61">
        <v>-1</v>
      </c>
      <c r="AO854" s="66" t="str">
        <f t="shared" si="516"/>
        <v/>
      </c>
      <c r="AP854" s="66" t="str">
        <f t="shared" si="517"/>
        <v/>
      </c>
      <c r="AQ854" s="67">
        <f t="shared" si="518"/>
        <v>-192</v>
      </c>
      <c r="AR854" s="61">
        <v>-1</v>
      </c>
      <c r="AS854" s="66" t="str">
        <f t="shared" si="519"/>
        <v/>
      </c>
      <c r="AT854" s="66" t="str">
        <f t="shared" si="520"/>
        <v/>
      </c>
      <c r="AU854" s="67">
        <f t="shared" si="521"/>
        <v>-192</v>
      </c>
      <c r="AV854" s="61">
        <v>1</v>
      </c>
      <c r="AW854" s="66">
        <f t="shared" si="504"/>
        <v>192</v>
      </c>
      <c r="AX854" s="66" t="str">
        <f t="shared" si="505"/>
        <v/>
      </c>
      <c r="AY854" s="67" t="str">
        <f t="shared" si="506"/>
        <v/>
      </c>
      <c r="AZ854" s="61">
        <v>1</v>
      </c>
      <c r="BA854" s="66">
        <f t="shared" si="507"/>
        <v>192</v>
      </c>
      <c r="BB854" s="66" t="str">
        <f t="shared" si="508"/>
        <v/>
      </c>
      <c r="BC854" s="67" t="str">
        <f t="shared" si="509"/>
        <v/>
      </c>
    </row>
    <row r="855" spans="30:55">
      <c r="AD855" s="68" t="str">
        <v>07</v>
      </c>
      <c r="AE855" s="61">
        <v>184.7</v>
      </c>
      <c r="AF855" s="61">
        <v>1</v>
      </c>
      <c r="AG855" s="66">
        <f t="shared" si="510"/>
        <v>184.7</v>
      </c>
      <c r="AH855" s="66" t="str">
        <f t="shared" si="511"/>
        <v/>
      </c>
      <c r="AI855" s="67" t="str">
        <f t="shared" si="512"/>
        <v/>
      </c>
      <c r="AJ855" s="61">
        <v>-1</v>
      </c>
      <c r="AK855" s="66" t="str">
        <f t="shared" si="513"/>
        <v/>
      </c>
      <c r="AL855" s="66" t="str">
        <f t="shared" si="514"/>
        <v/>
      </c>
      <c r="AM855" s="67">
        <f t="shared" si="515"/>
        <v>-184.7</v>
      </c>
      <c r="AN855" s="61">
        <v>-1</v>
      </c>
      <c r="AO855" s="66" t="str">
        <f t="shared" si="516"/>
        <v/>
      </c>
      <c r="AP855" s="66" t="str">
        <f t="shared" si="517"/>
        <v/>
      </c>
      <c r="AQ855" s="67">
        <f t="shared" si="518"/>
        <v>-184.7</v>
      </c>
      <c r="AR855" s="61">
        <v>-1</v>
      </c>
      <c r="AS855" s="66" t="str">
        <f t="shared" si="519"/>
        <v/>
      </c>
      <c r="AT855" s="66" t="str">
        <f t="shared" si="520"/>
        <v/>
      </c>
      <c r="AU855" s="67">
        <f t="shared" si="521"/>
        <v>-184.7</v>
      </c>
      <c r="AV855" s="61">
        <v>0</v>
      </c>
      <c r="AW855" s="66" t="str">
        <f t="shared" si="504"/>
        <v/>
      </c>
      <c r="AX855" s="66">
        <f t="shared" si="505"/>
        <v>0</v>
      </c>
      <c r="AY855" s="67" t="str">
        <f t="shared" si="506"/>
        <v/>
      </c>
      <c r="AZ855" s="61">
        <v>1</v>
      </c>
      <c r="BA855" s="66">
        <f t="shared" si="507"/>
        <v>184.7</v>
      </c>
      <c r="BB855" s="66" t="str">
        <f t="shared" si="508"/>
        <v/>
      </c>
      <c r="BC855" s="67" t="str">
        <f t="shared" si="509"/>
        <v/>
      </c>
    </row>
    <row r="856" spans="30:55">
      <c r="AD856" s="68" t="str">
        <v>08</v>
      </c>
      <c r="AE856" s="61">
        <v>175.7</v>
      </c>
      <c r="AF856" s="61">
        <v>1</v>
      </c>
      <c r="AG856" s="66">
        <f t="shared" si="510"/>
        <v>175.7</v>
      </c>
      <c r="AH856" s="66" t="str">
        <f t="shared" si="511"/>
        <v/>
      </c>
      <c r="AI856" s="67" t="str">
        <f t="shared" si="512"/>
        <v/>
      </c>
      <c r="AJ856" s="61">
        <v>-1</v>
      </c>
      <c r="AK856" s="66" t="str">
        <f t="shared" si="513"/>
        <v/>
      </c>
      <c r="AL856" s="66" t="str">
        <f t="shared" si="514"/>
        <v/>
      </c>
      <c r="AM856" s="67">
        <f t="shared" si="515"/>
        <v>-175.7</v>
      </c>
      <c r="AN856" s="61">
        <v>-1</v>
      </c>
      <c r="AO856" s="66" t="str">
        <f t="shared" si="516"/>
        <v/>
      </c>
      <c r="AP856" s="66" t="str">
        <f t="shared" si="517"/>
        <v/>
      </c>
      <c r="AQ856" s="67">
        <f t="shared" si="518"/>
        <v>-175.7</v>
      </c>
      <c r="AR856" s="61">
        <v>-1</v>
      </c>
      <c r="AS856" s="66" t="str">
        <f t="shared" si="519"/>
        <v/>
      </c>
      <c r="AT856" s="66" t="str">
        <f t="shared" si="520"/>
        <v/>
      </c>
      <c r="AU856" s="67">
        <f t="shared" si="521"/>
        <v>-175.7</v>
      </c>
      <c r="AV856" s="61">
        <v>-1</v>
      </c>
      <c r="AW856" s="66" t="str">
        <f t="shared" si="504"/>
        <v/>
      </c>
      <c r="AX856" s="66" t="str">
        <f t="shared" si="505"/>
        <v/>
      </c>
      <c r="AY856" s="67">
        <f t="shared" si="506"/>
        <v>-175.7</v>
      </c>
      <c r="AZ856" s="61">
        <v>1</v>
      </c>
      <c r="BA856" s="66">
        <f t="shared" si="507"/>
        <v>175.7</v>
      </c>
      <c r="BB856" s="66" t="str">
        <f t="shared" si="508"/>
        <v/>
      </c>
      <c r="BC856" s="67" t="str">
        <f t="shared" si="509"/>
        <v/>
      </c>
    </row>
    <row r="857" spans="30:55">
      <c r="AD857" s="68" t="str">
        <v>09</v>
      </c>
      <c r="AE857" s="61">
        <v>168.4</v>
      </c>
      <c r="AF857" s="61">
        <v>1</v>
      </c>
      <c r="AG857" s="66">
        <f t="shared" si="510"/>
        <v>168.4</v>
      </c>
      <c r="AH857" s="66" t="str">
        <f t="shared" si="511"/>
        <v/>
      </c>
      <c r="AI857" s="67" t="str">
        <f t="shared" si="512"/>
        <v/>
      </c>
      <c r="AJ857" s="61">
        <v>-1</v>
      </c>
      <c r="AK857" s="66" t="str">
        <f t="shared" si="513"/>
        <v/>
      </c>
      <c r="AL857" s="66" t="str">
        <f t="shared" si="514"/>
        <v/>
      </c>
      <c r="AM857" s="67">
        <f t="shared" si="515"/>
        <v>-168.4</v>
      </c>
      <c r="AN857" s="61">
        <v>1</v>
      </c>
      <c r="AO857" s="66">
        <f t="shared" si="516"/>
        <v>168.4</v>
      </c>
      <c r="AP857" s="66" t="str">
        <f t="shared" si="517"/>
        <v/>
      </c>
      <c r="AQ857" s="67" t="str">
        <f t="shared" si="518"/>
        <v/>
      </c>
      <c r="AR857" s="61">
        <v>-1</v>
      </c>
      <c r="AS857" s="66" t="str">
        <f t="shared" si="519"/>
        <v/>
      </c>
      <c r="AT857" s="66" t="str">
        <f t="shared" si="520"/>
        <v/>
      </c>
      <c r="AU857" s="67">
        <f t="shared" si="521"/>
        <v>-168.4</v>
      </c>
      <c r="AV857" s="61">
        <v>-1</v>
      </c>
      <c r="AW857" s="66" t="str">
        <f t="shared" si="504"/>
        <v/>
      </c>
      <c r="AX857" s="66" t="str">
        <f t="shared" si="505"/>
        <v/>
      </c>
      <c r="AY857" s="67">
        <f t="shared" si="506"/>
        <v>-168.4</v>
      </c>
      <c r="AZ857" s="61">
        <v>-1</v>
      </c>
      <c r="BA857" s="66" t="str">
        <f t="shared" si="507"/>
        <v/>
      </c>
      <c r="BB857" s="66" t="str">
        <f t="shared" si="508"/>
        <v/>
      </c>
      <c r="BC857" s="67">
        <f t="shared" si="509"/>
        <v>-168.4</v>
      </c>
    </row>
    <row r="858" spans="30:55">
      <c r="AD858" s="68" t="str">
        <v>10</v>
      </c>
      <c r="AE858" s="61">
        <v>163.5</v>
      </c>
      <c r="AF858" s="61">
        <v>1</v>
      </c>
      <c r="AG858" s="66">
        <f t="shared" si="510"/>
        <v>163.5</v>
      </c>
      <c r="AH858" s="66" t="str">
        <f t="shared" si="511"/>
        <v/>
      </c>
      <c r="AI858" s="67" t="str">
        <f t="shared" si="512"/>
        <v/>
      </c>
      <c r="AJ858" s="61">
        <v>-1</v>
      </c>
      <c r="AK858" s="66" t="str">
        <f t="shared" si="513"/>
        <v/>
      </c>
      <c r="AL858" s="66" t="str">
        <f t="shared" si="514"/>
        <v/>
      </c>
      <c r="AM858" s="67">
        <f t="shared" si="515"/>
        <v>-163.5</v>
      </c>
      <c r="AN858" s="61">
        <v>1</v>
      </c>
      <c r="AO858" s="66">
        <f t="shared" si="516"/>
        <v>163.5</v>
      </c>
      <c r="AP858" s="66" t="str">
        <f t="shared" si="517"/>
        <v/>
      </c>
      <c r="AQ858" s="67" t="str">
        <f t="shared" si="518"/>
        <v/>
      </c>
      <c r="AR858" s="61">
        <v>-1</v>
      </c>
      <c r="AS858" s="66" t="str">
        <f t="shared" si="519"/>
        <v/>
      </c>
      <c r="AT858" s="66" t="str">
        <f t="shared" si="520"/>
        <v/>
      </c>
      <c r="AU858" s="67">
        <f t="shared" si="521"/>
        <v>-163.5</v>
      </c>
      <c r="AV858" s="61">
        <v>0</v>
      </c>
      <c r="AW858" s="66" t="str">
        <f t="shared" si="504"/>
        <v/>
      </c>
      <c r="AX858" s="66">
        <f t="shared" si="505"/>
        <v>0</v>
      </c>
      <c r="AY858" s="67" t="str">
        <f t="shared" si="506"/>
        <v/>
      </c>
      <c r="AZ858" s="61">
        <v>-1</v>
      </c>
      <c r="BA858" s="66" t="str">
        <f t="shared" si="507"/>
        <v/>
      </c>
      <c r="BB858" s="66" t="str">
        <f t="shared" si="508"/>
        <v/>
      </c>
      <c r="BC858" s="67">
        <f t="shared" si="509"/>
        <v>-163.5</v>
      </c>
    </row>
    <row r="859" spans="30:55">
      <c r="AD859" s="68" t="str">
        <v>11</v>
      </c>
      <c r="AE859" s="61">
        <v>165.39999999999998</v>
      </c>
      <c r="AF859" s="61">
        <v>1</v>
      </c>
      <c r="AG859" s="66">
        <f t="shared" si="510"/>
        <v>165.39999999999998</v>
      </c>
      <c r="AH859" s="66" t="str">
        <f t="shared" si="511"/>
        <v/>
      </c>
      <c r="AI859" s="67" t="str">
        <f t="shared" si="512"/>
        <v/>
      </c>
      <c r="AJ859" s="61">
        <v>-1</v>
      </c>
      <c r="AK859" s="66" t="str">
        <f t="shared" si="513"/>
        <v/>
      </c>
      <c r="AL859" s="66" t="str">
        <f t="shared" si="514"/>
        <v/>
      </c>
      <c r="AM859" s="67">
        <f t="shared" si="515"/>
        <v>-165.39999999999998</v>
      </c>
      <c r="AN859" s="61">
        <v>1</v>
      </c>
      <c r="AO859" s="66">
        <f t="shared" si="516"/>
        <v>165.39999999999998</v>
      </c>
      <c r="AP859" s="66" t="str">
        <f t="shared" si="517"/>
        <v/>
      </c>
      <c r="AQ859" s="67" t="str">
        <f t="shared" si="518"/>
        <v/>
      </c>
      <c r="AR859" s="61">
        <v>-1</v>
      </c>
      <c r="AS859" s="66" t="str">
        <f t="shared" si="519"/>
        <v/>
      </c>
      <c r="AT859" s="66" t="str">
        <f t="shared" si="520"/>
        <v/>
      </c>
      <c r="AU859" s="67">
        <f t="shared" si="521"/>
        <v>-165.39999999999998</v>
      </c>
      <c r="AV859" s="61">
        <v>1</v>
      </c>
      <c r="AW859" s="66">
        <f t="shared" si="504"/>
        <v>165.39999999999998</v>
      </c>
      <c r="AX859" s="66" t="str">
        <f t="shared" si="505"/>
        <v/>
      </c>
      <c r="AY859" s="67" t="str">
        <f t="shared" si="506"/>
        <v/>
      </c>
      <c r="AZ859" s="61">
        <v>-1</v>
      </c>
      <c r="BA859" s="66" t="str">
        <f t="shared" si="507"/>
        <v/>
      </c>
      <c r="BB859" s="66" t="str">
        <f t="shared" si="508"/>
        <v/>
      </c>
      <c r="BC859" s="67">
        <f t="shared" si="509"/>
        <v>-165.39999999999998</v>
      </c>
    </row>
    <row r="860" spans="30:55">
      <c r="AD860" s="68" t="str">
        <v>12</v>
      </c>
      <c r="AE860" s="61">
        <v>166.79999999999998</v>
      </c>
      <c r="AF860" s="61">
        <v>1</v>
      </c>
      <c r="AG860" s="66">
        <f t="shared" si="510"/>
        <v>166.79999999999998</v>
      </c>
      <c r="AH860" s="66" t="str">
        <f t="shared" si="511"/>
        <v/>
      </c>
      <c r="AI860" s="67" t="str">
        <f t="shared" si="512"/>
        <v/>
      </c>
      <c r="AJ860" s="61">
        <v>1</v>
      </c>
      <c r="AK860" s="66">
        <f t="shared" si="513"/>
        <v>166.79999999999998</v>
      </c>
      <c r="AL860" s="66" t="str">
        <f t="shared" si="514"/>
        <v/>
      </c>
      <c r="AM860" s="67" t="str">
        <f t="shared" si="515"/>
        <v/>
      </c>
      <c r="AN860" s="61">
        <v>1</v>
      </c>
      <c r="AO860" s="66">
        <f t="shared" si="516"/>
        <v>166.79999999999998</v>
      </c>
      <c r="AP860" s="66" t="str">
        <f t="shared" si="517"/>
        <v/>
      </c>
      <c r="AQ860" s="67" t="str">
        <f t="shared" si="518"/>
        <v/>
      </c>
      <c r="AR860" s="61">
        <v>1</v>
      </c>
      <c r="AS860" s="66">
        <f t="shared" si="519"/>
        <v>166.79999999999998</v>
      </c>
      <c r="AT860" s="66" t="str">
        <f t="shared" si="520"/>
        <v/>
      </c>
      <c r="AU860" s="67" t="str">
        <f t="shared" si="521"/>
        <v/>
      </c>
      <c r="AV860" s="61">
        <v>1</v>
      </c>
      <c r="AW860" s="66">
        <f t="shared" si="504"/>
        <v>166.79999999999998</v>
      </c>
      <c r="AX860" s="66" t="str">
        <f t="shared" si="505"/>
        <v/>
      </c>
      <c r="AY860" s="67" t="str">
        <f t="shared" si="506"/>
        <v/>
      </c>
      <c r="AZ860" s="61">
        <v>1</v>
      </c>
      <c r="BA860" s="66">
        <f t="shared" si="507"/>
        <v>166.79999999999998</v>
      </c>
      <c r="BB860" s="66" t="str">
        <f t="shared" si="508"/>
        <v/>
      </c>
      <c r="BC860" s="67" t="str">
        <f t="shared" si="509"/>
        <v/>
      </c>
    </row>
    <row r="861" spans="30:55">
      <c r="AD861" s="68" t="str">
        <v>13</v>
      </c>
      <c r="AE861" s="61">
        <v>167.2</v>
      </c>
      <c r="AF861" s="61">
        <v>1</v>
      </c>
      <c r="AG861" s="66">
        <f t="shared" si="510"/>
        <v>167.2</v>
      </c>
      <c r="AH861" s="66" t="str">
        <f t="shared" si="511"/>
        <v/>
      </c>
      <c r="AI861" s="67" t="str">
        <f t="shared" si="512"/>
        <v/>
      </c>
      <c r="AJ861" s="61">
        <v>1</v>
      </c>
      <c r="AK861" s="66">
        <f t="shared" si="513"/>
        <v>167.2</v>
      </c>
      <c r="AL861" s="66" t="str">
        <f t="shared" si="514"/>
        <v/>
      </c>
      <c r="AM861" s="67" t="str">
        <f t="shared" si="515"/>
        <v/>
      </c>
      <c r="AN861" s="61">
        <v>1</v>
      </c>
      <c r="AO861" s="66">
        <f t="shared" si="516"/>
        <v>167.2</v>
      </c>
      <c r="AP861" s="66" t="str">
        <f t="shared" si="517"/>
        <v/>
      </c>
      <c r="AQ861" s="67" t="str">
        <f t="shared" si="518"/>
        <v/>
      </c>
      <c r="AR861" s="61">
        <v>1</v>
      </c>
      <c r="AS861" s="66">
        <f t="shared" si="519"/>
        <v>167.2</v>
      </c>
      <c r="AT861" s="66" t="str">
        <f t="shared" si="520"/>
        <v/>
      </c>
      <c r="AU861" s="67" t="str">
        <f t="shared" si="521"/>
        <v/>
      </c>
      <c r="AV861" s="61">
        <v>0</v>
      </c>
      <c r="AW861" s="66" t="str">
        <f t="shared" si="504"/>
        <v/>
      </c>
      <c r="AX861" s="66">
        <f t="shared" si="505"/>
        <v>0</v>
      </c>
      <c r="AY861" s="67" t="str">
        <f t="shared" si="506"/>
        <v/>
      </c>
      <c r="AZ861" s="61">
        <v>1</v>
      </c>
      <c r="BA861" s="66">
        <f t="shared" si="507"/>
        <v>167.2</v>
      </c>
      <c r="BB861" s="66" t="str">
        <f t="shared" si="508"/>
        <v/>
      </c>
      <c r="BC861" s="67" t="str">
        <f t="shared" si="509"/>
        <v/>
      </c>
    </row>
    <row r="862" spans="30:55">
      <c r="AD862" s="68" t="str">
        <v>14</v>
      </c>
      <c r="AE862" s="61">
        <v>166.79999999999998</v>
      </c>
      <c r="AF862" s="61">
        <v>1</v>
      </c>
      <c r="AG862" s="66">
        <f t="shared" si="510"/>
        <v>166.79999999999998</v>
      </c>
      <c r="AH862" s="66" t="str">
        <f t="shared" si="511"/>
        <v/>
      </c>
      <c r="AI862" s="67" t="str">
        <f t="shared" si="512"/>
        <v/>
      </c>
      <c r="AJ862" s="61">
        <v>1</v>
      </c>
      <c r="AK862" s="66">
        <f t="shared" si="513"/>
        <v>166.79999999999998</v>
      </c>
      <c r="AL862" s="66" t="str">
        <f t="shared" si="514"/>
        <v/>
      </c>
      <c r="AM862" s="67" t="str">
        <f t="shared" si="515"/>
        <v/>
      </c>
      <c r="AN862" s="61">
        <v>1</v>
      </c>
      <c r="AO862" s="66">
        <f t="shared" si="516"/>
        <v>166.79999999999998</v>
      </c>
      <c r="AP862" s="66" t="str">
        <f t="shared" si="517"/>
        <v/>
      </c>
      <c r="AQ862" s="67" t="str">
        <f t="shared" si="518"/>
        <v/>
      </c>
      <c r="AR862" s="61">
        <v>1</v>
      </c>
      <c r="AS862" s="66">
        <f t="shared" si="519"/>
        <v>166.79999999999998</v>
      </c>
      <c r="AT862" s="66" t="str">
        <f t="shared" si="520"/>
        <v/>
      </c>
      <c r="AU862" s="67" t="str">
        <f t="shared" si="521"/>
        <v/>
      </c>
      <c r="AV862" s="61">
        <v>-1</v>
      </c>
      <c r="AW862" s="66" t="str">
        <f t="shared" si="504"/>
        <v/>
      </c>
      <c r="AX862" s="66" t="str">
        <f t="shared" si="505"/>
        <v/>
      </c>
      <c r="AY862" s="67">
        <f t="shared" si="506"/>
        <v>-166.79999999999998</v>
      </c>
      <c r="AZ862" s="61">
        <v>1</v>
      </c>
      <c r="BA862" s="66">
        <f t="shared" si="507"/>
        <v>166.79999999999998</v>
      </c>
      <c r="BB862" s="66" t="str">
        <f t="shared" si="508"/>
        <v/>
      </c>
      <c r="BC862" s="67" t="str">
        <f t="shared" si="509"/>
        <v/>
      </c>
    </row>
    <row r="863" spans="30:55">
      <c r="AD863" s="68" t="str">
        <v>15</v>
      </c>
      <c r="AE863" s="61">
        <v>158.80000000000001</v>
      </c>
      <c r="AF863" s="61">
        <v>1</v>
      </c>
      <c r="AG863" s="66">
        <f t="shared" si="510"/>
        <v>158.80000000000001</v>
      </c>
      <c r="AH863" s="66" t="str">
        <f t="shared" si="511"/>
        <v/>
      </c>
      <c r="AI863" s="67" t="str">
        <f t="shared" si="512"/>
        <v/>
      </c>
      <c r="AJ863" s="61">
        <v>1</v>
      </c>
      <c r="AK863" s="66">
        <f t="shared" si="513"/>
        <v>158.80000000000001</v>
      </c>
      <c r="AL863" s="66" t="str">
        <f t="shared" si="514"/>
        <v/>
      </c>
      <c r="AM863" s="67" t="str">
        <f t="shared" si="515"/>
        <v/>
      </c>
      <c r="AN863" s="61">
        <v>-1</v>
      </c>
      <c r="AO863" s="66" t="str">
        <f t="shared" si="516"/>
        <v/>
      </c>
      <c r="AP863" s="66" t="str">
        <f t="shared" si="517"/>
        <v/>
      </c>
      <c r="AQ863" s="67">
        <f t="shared" si="518"/>
        <v>-158.80000000000001</v>
      </c>
      <c r="AR863" s="61">
        <v>1</v>
      </c>
      <c r="AS863" s="66">
        <f t="shared" si="519"/>
        <v>158.80000000000001</v>
      </c>
      <c r="AT863" s="66" t="str">
        <f t="shared" si="520"/>
        <v/>
      </c>
      <c r="AU863" s="67" t="str">
        <f t="shared" si="521"/>
        <v/>
      </c>
      <c r="AV863" s="61">
        <v>-1</v>
      </c>
      <c r="AW863" s="66" t="str">
        <f t="shared" si="504"/>
        <v/>
      </c>
      <c r="AX863" s="66" t="str">
        <f t="shared" si="505"/>
        <v/>
      </c>
      <c r="AY863" s="67">
        <f t="shared" si="506"/>
        <v>-158.80000000000001</v>
      </c>
      <c r="AZ863" s="61">
        <v>-1</v>
      </c>
      <c r="BA863" s="66" t="str">
        <f t="shared" si="507"/>
        <v/>
      </c>
      <c r="BB863" s="66" t="str">
        <f t="shared" si="508"/>
        <v/>
      </c>
      <c r="BC863" s="67">
        <f t="shared" si="509"/>
        <v>-158.80000000000001</v>
      </c>
    </row>
    <row r="864" spans="30:55">
      <c r="AD864" s="68" t="str">
        <v>16</v>
      </c>
      <c r="AE864" s="61">
        <v>149.5</v>
      </c>
      <c r="AF864" s="61">
        <v>1</v>
      </c>
      <c r="AG864" s="66">
        <f t="shared" si="510"/>
        <v>149.5</v>
      </c>
      <c r="AH864" s="66" t="str">
        <f t="shared" si="511"/>
        <v/>
      </c>
      <c r="AI864" s="67" t="str">
        <f t="shared" si="512"/>
        <v/>
      </c>
      <c r="AJ864" s="61">
        <v>1</v>
      </c>
      <c r="AK864" s="66">
        <f t="shared" si="513"/>
        <v>149.5</v>
      </c>
      <c r="AL864" s="66" t="str">
        <f t="shared" si="514"/>
        <v/>
      </c>
      <c r="AM864" s="67" t="str">
        <f t="shared" si="515"/>
        <v/>
      </c>
      <c r="AN864" s="61">
        <v>-1</v>
      </c>
      <c r="AO864" s="66" t="str">
        <f t="shared" si="516"/>
        <v/>
      </c>
      <c r="AP864" s="66" t="str">
        <f t="shared" si="517"/>
        <v/>
      </c>
      <c r="AQ864" s="67">
        <f t="shared" si="518"/>
        <v>-149.5</v>
      </c>
      <c r="AR864" s="61">
        <v>1</v>
      </c>
      <c r="AS864" s="66">
        <f t="shared" si="519"/>
        <v>149.5</v>
      </c>
      <c r="AT864" s="66" t="str">
        <f t="shared" si="520"/>
        <v/>
      </c>
      <c r="AU864" s="67" t="str">
        <f t="shared" si="521"/>
        <v/>
      </c>
      <c r="AV864" s="61">
        <v>0</v>
      </c>
      <c r="AW864" s="66" t="str">
        <f t="shared" si="504"/>
        <v/>
      </c>
      <c r="AX864" s="66">
        <f t="shared" si="505"/>
        <v>0</v>
      </c>
      <c r="AY864" s="67" t="str">
        <f t="shared" si="506"/>
        <v/>
      </c>
      <c r="AZ864" s="61">
        <v>-1</v>
      </c>
      <c r="BA864" s="66" t="str">
        <f t="shared" si="507"/>
        <v/>
      </c>
      <c r="BB864" s="66" t="str">
        <f t="shared" si="508"/>
        <v/>
      </c>
      <c r="BC864" s="67">
        <f t="shared" si="509"/>
        <v>-149.5</v>
      </c>
    </row>
    <row r="865" spans="29:55">
      <c r="AD865" s="68" t="str">
        <v>17</v>
      </c>
      <c r="AE865" s="61">
        <v>139.9</v>
      </c>
      <c r="AF865" s="61">
        <v>1</v>
      </c>
      <c r="AG865" s="66">
        <f t="shared" si="510"/>
        <v>139.9</v>
      </c>
      <c r="AH865" s="66" t="str">
        <f t="shared" si="511"/>
        <v/>
      </c>
      <c r="AI865" s="67" t="str">
        <f t="shared" si="512"/>
        <v/>
      </c>
      <c r="AJ865" s="61">
        <v>1</v>
      </c>
      <c r="AK865" s="66">
        <f t="shared" si="513"/>
        <v>139.9</v>
      </c>
      <c r="AL865" s="66" t="str">
        <f t="shared" si="514"/>
        <v/>
      </c>
      <c r="AM865" s="67" t="str">
        <f t="shared" si="515"/>
        <v/>
      </c>
      <c r="AN865" s="61">
        <v>-1</v>
      </c>
      <c r="AO865" s="66" t="str">
        <f t="shared" si="516"/>
        <v/>
      </c>
      <c r="AP865" s="66" t="str">
        <f t="shared" si="517"/>
        <v/>
      </c>
      <c r="AQ865" s="67">
        <f t="shared" si="518"/>
        <v>-139.9</v>
      </c>
      <c r="AR865" s="61">
        <v>1</v>
      </c>
      <c r="AS865" s="66">
        <f t="shared" si="519"/>
        <v>139.9</v>
      </c>
      <c r="AT865" s="66" t="str">
        <f t="shared" si="520"/>
        <v/>
      </c>
      <c r="AU865" s="67" t="str">
        <f t="shared" si="521"/>
        <v/>
      </c>
      <c r="AV865" s="61">
        <v>1</v>
      </c>
      <c r="AW865" s="66">
        <f t="shared" si="504"/>
        <v>139.9</v>
      </c>
      <c r="AX865" s="66" t="str">
        <f t="shared" si="505"/>
        <v/>
      </c>
      <c r="AY865" s="67" t="str">
        <f t="shared" si="506"/>
        <v/>
      </c>
      <c r="AZ865" s="61">
        <v>-1</v>
      </c>
      <c r="BA865" s="66" t="str">
        <f t="shared" si="507"/>
        <v/>
      </c>
      <c r="BB865" s="66" t="str">
        <f t="shared" si="508"/>
        <v/>
      </c>
      <c r="BC865" s="67">
        <f t="shared" si="509"/>
        <v>-139.9</v>
      </c>
    </row>
    <row r="866" spans="29:55">
      <c r="AD866" s="68" t="str">
        <v>18</v>
      </c>
      <c r="AE866" s="61">
        <v>126.2</v>
      </c>
      <c r="AF866" s="61">
        <v>-1</v>
      </c>
      <c r="AG866" s="66" t="str">
        <f t="shared" si="510"/>
        <v/>
      </c>
      <c r="AH866" s="66" t="str">
        <f t="shared" si="511"/>
        <v/>
      </c>
      <c r="AI866" s="67">
        <f t="shared" si="512"/>
        <v>-126.2</v>
      </c>
      <c r="AJ866" s="61">
        <v>1</v>
      </c>
      <c r="AK866" s="66">
        <f t="shared" si="513"/>
        <v>126.2</v>
      </c>
      <c r="AL866" s="66" t="str">
        <f t="shared" si="514"/>
        <v/>
      </c>
      <c r="AM866" s="67" t="str">
        <f t="shared" si="515"/>
        <v/>
      </c>
      <c r="AN866" s="61">
        <v>-1</v>
      </c>
      <c r="AO866" s="66" t="str">
        <f t="shared" si="516"/>
        <v/>
      </c>
      <c r="AP866" s="66" t="str">
        <f t="shared" si="517"/>
        <v/>
      </c>
      <c r="AQ866" s="67">
        <f t="shared" si="518"/>
        <v>-126.2</v>
      </c>
      <c r="AR866" s="61">
        <v>-1</v>
      </c>
      <c r="AS866" s="66" t="str">
        <f t="shared" si="519"/>
        <v/>
      </c>
      <c r="AT866" s="66" t="str">
        <f t="shared" si="520"/>
        <v/>
      </c>
      <c r="AU866" s="67">
        <f t="shared" si="521"/>
        <v>-126.2</v>
      </c>
      <c r="AV866" s="61">
        <v>1</v>
      </c>
      <c r="AW866" s="66">
        <f t="shared" si="504"/>
        <v>126.2</v>
      </c>
      <c r="AX866" s="66" t="str">
        <f t="shared" si="505"/>
        <v/>
      </c>
      <c r="AY866" s="67" t="str">
        <f t="shared" si="506"/>
        <v/>
      </c>
      <c r="AZ866" s="61">
        <v>1</v>
      </c>
      <c r="BA866" s="66">
        <f t="shared" si="507"/>
        <v>126.2</v>
      </c>
      <c r="BB866" s="66" t="str">
        <f t="shared" si="508"/>
        <v/>
      </c>
      <c r="BC866" s="67" t="str">
        <f t="shared" si="509"/>
        <v/>
      </c>
    </row>
    <row r="867" spans="29:55">
      <c r="AD867" s="68" t="str">
        <v>19</v>
      </c>
      <c r="AE867" s="61">
        <v>114.39999999999999</v>
      </c>
      <c r="AF867" s="61">
        <v>-1</v>
      </c>
      <c r="AG867" s="66" t="str">
        <f t="shared" si="510"/>
        <v/>
      </c>
      <c r="AH867" s="66" t="str">
        <f t="shared" si="511"/>
        <v/>
      </c>
      <c r="AI867" s="67">
        <f t="shared" si="512"/>
        <v>-114.39999999999999</v>
      </c>
      <c r="AJ867" s="61">
        <v>1</v>
      </c>
      <c r="AK867" s="66">
        <f t="shared" si="513"/>
        <v>114.39999999999999</v>
      </c>
      <c r="AL867" s="66" t="str">
        <f t="shared" si="514"/>
        <v/>
      </c>
      <c r="AM867" s="67" t="str">
        <f t="shared" si="515"/>
        <v/>
      </c>
      <c r="AN867" s="61">
        <v>-1</v>
      </c>
      <c r="AO867" s="66" t="str">
        <f t="shared" si="516"/>
        <v/>
      </c>
      <c r="AP867" s="66" t="str">
        <f t="shared" si="517"/>
        <v/>
      </c>
      <c r="AQ867" s="67">
        <f t="shared" si="518"/>
        <v>-114.39999999999999</v>
      </c>
      <c r="AR867" s="61">
        <v>-1</v>
      </c>
      <c r="AS867" s="66" t="str">
        <f t="shared" si="519"/>
        <v/>
      </c>
      <c r="AT867" s="66" t="str">
        <f t="shared" si="520"/>
        <v/>
      </c>
      <c r="AU867" s="67">
        <f t="shared" si="521"/>
        <v>-114.39999999999999</v>
      </c>
      <c r="AV867" s="61">
        <v>0</v>
      </c>
      <c r="AW867" s="66" t="str">
        <f t="shared" si="504"/>
        <v/>
      </c>
      <c r="AX867" s="66">
        <f t="shared" si="505"/>
        <v>0</v>
      </c>
      <c r="AY867" s="67" t="str">
        <f t="shared" si="506"/>
        <v/>
      </c>
      <c r="AZ867" s="61">
        <v>1</v>
      </c>
      <c r="BA867" s="66">
        <f t="shared" si="507"/>
        <v>114.39999999999999</v>
      </c>
      <c r="BB867" s="66" t="str">
        <f t="shared" si="508"/>
        <v/>
      </c>
      <c r="BC867" s="67" t="str">
        <f t="shared" si="509"/>
        <v/>
      </c>
    </row>
    <row r="868" spans="29:55">
      <c r="AD868" s="68" t="str">
        <v>20</v>
      </c>
      <c r="AE868" s="61">
        <v>111.4</v>
      </c>
      <c r="AF868" s="61">
        <v>-1</v>
      </c>
      <c r="AG868" s="66" t="str">
        <f t="shared" si="510"/>
        <v/>
      </c>
      <c r="AH868" s="66" t="str">
        <f t="shared" si="511"/>
        <v/>
      </c>
      <c r="AI868" s="67">
        <f t="shared" si="512"/>
        <v>-111.4</v>
      </c>
      <c r="AJ868" s="61">
        <v>1</v>
      </c>
      <c r="AK868" s="66">
        <f t="shared" si="513"/>
        <v>111.4</v>
      </c>
      <c r="AL868" s="66" t="str">
        <f t="shared" si="514"/>
        <v/>
      </c>
      <c r="AM868" s="67" t="str">
        <f t="shared" si="515"/>
        <v/>
      </c>
      <c r="AN868" s="61">
        <v>-1</v>
      </c>
      <c r="AO868" s="66" t="str">
        <f t="shared" si="516"/>
        <v/>
      </c>
      <c r="AP868" s="66" t="str">
        <f t="shared" si="517"/>
        <v/>
      </c>
      <c r="AQ868" s="67">
        <f t="shared" si="518"/>
        <v>-111.4</v>
      </c>
      <c r="AR868" s="61">
        <v>-1</v>
      </c>
      <c r="AS868" s="66" t="str">
        <f t="shared" si="519"/>
        <v/>
      </c>
      <c r="AT868" s="66" t="str">
        <f t="shared" si="520"/>
        <v/>
      </c>
      <c r="AU868" s="67">
        <f t="shared" si="521"/>
        <v>-111.4</v>
      </c>
      <c r="AV868" s="61">
        <v>-1</v>
      </c>
      <c r="AW868" s="66" t="str">
        <f t="shared" si="504"/>
        <v/>
      </c>
      <c r="AX868" s="66" t="str">
        <f t="shared" si="505"/>
        <v/>
      </c>
      <c r="AY868" s="67">
        <f t="shared" si="506"/>
        <v>-111.4</v>
      </c>
      <c r="AZ868" s="61">
        <v>1</v>
      </c>
      <c r="BA868" s="66">
        <f t="shared" si="507"/>
        <v>111.4</v>
      </c>
      <c r="BB868" s="66" t="str">
        <f t="shared" si="508"/>
        <v/>
      </c>
      <c r="BC868" s="67" t="str">
        <f t="shared" si="509"/>
        <v/>
      </c>
    </row>
    <row r="869" spans="29:55">
      <c r="AD869" s="68" t="str">
        <v>21</v>
      </c>
      <c r="AE869" s="61">
        <v>112.99999999999999</v>
      </c>
      <c r="AF869" s="61">
        <v>-1</v>
      </c>
      <c r="AG869" s="66" t="str">
        <f t="shared" si="510"/>
        <v/>
      </c>
      <c r="AH869" s="66" t="str">
        <f t="shared" si="511"/>
        <v/>
      </c>
      <c r="AI869" s="67">
        <f t="shared" si="512"/>
        <v>-112.99999999999999</v>
      </c>
      <c r="AJ869" s="61">
        <v>1</v>
      </c>
      <c r="AK869" s="66">
        <f t="shared" si="513"/>
        <v>112.99999999999999</v>
      </c>
      <c r="AL869" s="66" t="str">
        <f t="shared" si="514"/>
        <v/>
      </c>
      <c r="AM869" s="67" t="str">
        <f t="shared" si="515"/>
        <v/>
      </c>
      <c r="AN869" s="61">
        <v>1</v>
      </c>
      <c r="AO869" s="66">
        <f t="shared" si="516"/>
        <v>112.99999999999999</v>
      </c>
      <c r="AP869" s="66" t="str">
        <f t="shared" si="517"/>
        <v/>
      </c>
      <c r="AQ869" s="67" t="str">
        <f t="shared" si="518"/>
        <v/>
      </c>
      <c r="AR869" s="61">
        <v>-1</v>
      </c>
      <c r="AS869" s="66" t="str">
        <f t="shared" si="519"/>
        <v/>
      </c>
      <c r="AT869" s="66" t="str">
        <f t="shared" si="520"/>
        <v/>
      </c>
      <c r="AU869" s="67">
        <f t="shared" si="521"/>
        <v>-112.99999999999999</v>
      </c>
      <c r="AV869" s="61">
        <v>-1</v>
      </c>
      <c r="AW869" s="66" t="str">
        <f t="shared" si="504"/>
        <v/>
      </c>
      <c r="AX869" s="66" t="str">
        <f t="shared" si="505"/>
        <v/>
      </c>
      <c r="AY869" s="67">
        <f t="shared" si="506"/>
        <v>-112.99999999999999</v>
      </c>
      <c r="AZ869" s="61">
        <v>-1</v>
      </c>
      <c r="BA869" s="66" t="str">
        <f t="shared" si="507"/>
        <v/>
      </c>
      <c r="BB869" s="66" t="str">
        <f t="shared" si="508"/>
        <v/>
      </c>
      <c r="BC869" s="67">
        <f t="shared" si="509"/>
        <v>-112.99999999999999</v>
      </c>
    </row>
    <row r="870" spans="29:55">
      <c r="AD870" s="68" t="str">
        <v>22</v>
      </c>
      <c r="AE870" s="61">
        <v>120.39999999999999</v>
      </c>
      <c r="AF870" s="61">
        <v>-1</v>
      </c>
      <c r="AG870" s="66" t="str">
        <f t="shared" si="510"/>
        <v/>
      </c>
      <c r="AH870" s="66" t="str">
        <f t="shared" si="511"/>
        <v/>
      </c>
      <c r="AI870" s="67">
        <f t="shared" si="512"/>
        <v>-120.39999999999999</v>
      </c>
      <c r="AJ870" s="61">
        <v>1</v>
      </c>
      <c r="AK870" s="66">
        <f t="shared" si="513"/>
        <v>120.39999999999999</v>
      </c>
      <c r="AL870" s="66" t="str">
        <f t="shared" si="514"/>
        <v/>
      </c>
      <c r="AM870" s="67" t="str">
        <f t="shared" si="515"/>
        <v/>
      </c>
      <c r="AN870" s="61">
        <v>1</v>
      </c>
      <c r="AO870" s="66">
        <f t="shared" si="516"/>
        <v>120.39999999999999</v>
      </c>
      <c r="AP870" s="66" t="str">
        <f t="shared" si="517"/>
        <v/>
      </c>
      <c r="AQ870" s="67" t="str">
        <f t="shared" si="518"/>
        <v/>
      </c>
      <c r="AR870" s="61">
        <v>-1</v>
      </c>
      <c r="AS870" s="66" t="str">
        <f t="shared" si="519"/>
        <v/>
      </c>
      <c r="AT870" s="66" t="str">
        <f t="shared" si="520"/>
        <v/>
      </c>
      <c r="AU870" s="67">
        <f t="shared" si="521"/>
        <v>-120.39999999999999</v>
      </c>
      <c r="AV870" s="61">
        <v>0</v>
      </c>
      <c r="AW870" s="66" t="str">
        <f t="shared" si="504"/>
        <v/>
      </c>
      <c r="AX870" s="66">
        <f t="shared" si="505"/>
        <v>0</v>
      </c>
      <c r="AY870" s="67" t="str">
        <f t="shared" si="506"/>
        <v/>
      </c>
      <c r="AZ870" s="61">
        <v>-1</v>
      </c>
      <c r="BA870" s="66" t="str">
        <f t="shared" si="507"/>
        <v/>
      </c>
      <c r="BB870" s="66" t="str">
        <f t="shared" si="508"/>
        <v/>
      </c>
      <c r="BC870" s="67">
        <f t="shared" si="509"/>
        <v>-120.39999999999999</v>
      </c>
    </row>
    <row r="871" spans="29:55">
      <c r="AD871" s="68" t="str">
        <v>23</v>
      </c>
      <c r="AE871" s="61">
        <v>135</v>
      </c>
      <c r="AF871" s="61">
        <v>-1</v>
      </c>
      <c r="AG871" s="66" t="str">
        <f t="shared" si="510"/>
        <v/>
      </c>
      <c r="AH871" s="66" t="str">
        <f t="shared" si="511"/>
        <v/>
      </c>
      <c r="AI871" s="67">
        <f t="shared" si="512"/>
        <v>-135</v>
      </c>
      <c r="AJ871" s="61">
        <v>1</v>
      </c>
      <c r="AK871" s="66">
        <f t="shared" si="513"/>
        <v>135</v>
      </c>
      <c r="AL871" s="66" t="str">
        <f t="shared" si="514"/>
        <v/>
      </c>
      <c r="AM871" s="67" t="str">
        <f t="shared" si="515"/>
        <v/>
      </c>
      <c r="AN871" s="61">
        <v>1</v>
      </c>
      <c r="AO871" s="66">
        <f t="shared" si="516"/>
        <v>135</v>
      </c>
      <c r="AP871" s="66" t="str">
        <f t="shared" si="517"/>
        <v/>
      </c>
      <c r="AQ871" s="67" t="str">
        <f t="shared" si="518"/>
        <v/>
      </c>
      <c r="AR871" s="61">
        <v>-1</v>
      </c>
      <c r="AS871" s="66" t="str">
        <f t="shared" si="519"/>
        <v/>
      </c>
      <c r="AT871" s="66" t="str">
        <f t="shared" si="520"/>
        <v/>
      </c>
      <c r="AU871" s="67">
        <f t="shared" si="521"/>
        <v>-135</v>
      </c>
      <c r="AV871" s="61">
        <v>1</v>
      </c>
      <c r="AW871" s="66">
        <f t="shared" si="504"/>
        <v>135</v>
      </c>
      <c r="AX871" s="66" t="str">
        <f t="shared" si="505"/>
        <v/>
      </c>
      <c r="AY871" s="67" t="str">
        <f t="shared" si="506"/>
        <v/>
      </c>
      <c r="AZ871" s="61">
        <v>-1</v>
      </c>
      <c r="BA871" s="66" t="str">
        <f t="shared" si="507"/>
        <v/>
      </c>
      <c r="BB871" s="66" t="str">
        <f t="shared" si="508"/>
        <v/>
      </c>
      <c r="BC871" s="67">
        <f t="shared" si="509"/>
        <v>-135</v>
      </c>
    </row>
    <row r="872" spans="29:55" ht="15.75" thickBot="1">
      <c r="AC872" s="476">
        <f>AD844</f>
        <v>44737</v>
      </c>
      <c r="AD872" s="69" t="s">
        <v>85</v>
      </c>
      <c r="AE872" s="70">
        <f>SUM(AE848:AE871)</f>
        <v>3886.7000000000007</v>
      </c>
      <c r="AF872" s="70"/>
      <c r="AG872" s="71">
        <f>ABS(SUM(AG848:AG871))</f>
        <v>1998.6999999999998</v>
      </c>
      <c r="AH872" s="70"/>
      <c r="AI872" s="72">
        <f>ABS(SUM(AI848:AI871))</f>
        <v>1888.0000000000002</v>
      </c>
      <c r="AJ872" s="70"/>
      <c r="AK872" s="71">
        <f>ABS(SUM(AK848:AK871))</f>
        <v>1669.4</v>
      </c>
      <c r="AL872" s="70"/>
      <c r="AM872" s="72">
        <f>ABS(SUM(AM848:AM871))</f>
        <v>2217.3000000000002</v>
      </c>
      <c r="AN872" s="70"/>
      <c r="AO872" s="71">
        <f>ABS(SUM(AO848:AO871))</f>
        <v>1927.8</v>
      </c>
      <c r="AP872" s="70"/>
      <c r="AQ872" s="72">
        <f>ABS(SUM(AQ848:AQ871))</f>
        <v>1958.9000000000003</v>
      </c>
      <c r="AR872" s="70"/>
      <c r="AS872" s="71">
        <f>ABS(SUM(AS848:AS871))</f>
        <v>2116.6</v>
      </c>
      <c r="AT872" s="70"/>
      <c r="AU872" s="72">
        <f>ABS(SUM(AU848:AU871))</f>
        <v>1770.1000000000001</v>
      </c>
      <c r="AV872" s="70"/>
      <c r="AW872" s="71">
        <f>ABS(SUM(AW848:AW871))</f>
        <v>1294.4000000000001</v>
      </c>
      <c r="AX872" s="70"/>
      <c r="AY872" s="72">
        <f>ABS(SUM(AY848:AY871))</f>
        <v>1300.1000000000001</v>
      </c>
      <c r="AZ872" s="70"/>
      <c r="BA872" s="71">
        <f>ABS(SUM(BA848:BA871))</f>
        <v>1966.5000000000002</v>
      </c>
      <c r="BB872" s="70"/>
      <c r="BC872" s="72">
        <f>ABS(SUM(BC848:BC871))</f>
        <v>1920.2</v>
      </c>
    </row>
  </sheetData>
  <sheetProtection selectLockedCells="1" selectUnlockedCells="1"/>
  <mergeCells count="553">
    <mergeCell ref="AZ845:BC845"/>
    <mergeCell ref="AS846:AU846"/>
    <mergeCell ref="AV846:AV847"/>
    <mergeCell ref="AW846:AY846"/>
    <mergeCell ref="AZ846:AZ847"/>
    <mergeCell ref="BA846:BC846"/>
    <mergeCell ref="AG846:AI846"/>
    <mergeCell ref="AJ846:AJ847"/>
    <mergeCell ref="AK846:AM846"/>
    <mergeCell ref="AN846:AN847"/>
    <mergeCell ref="AO846:AQ846"/>
    <mergeCell ref="AZ815:BC815"/>
    <mergeCell ref="AF816:AF817"/>
    <mergeCell ref="AG816:AI816"/>
    <mergeCell ref="AJ816:AJ817"/>
    <mergeCell ref="AK816:AM816"/>
    <mergeCell ref="AN816:AN817"/>
    <mergeCell ref="AO816:AQ816"/>
    <mergeCell ref="AR816:AR817"/>
    <mergeCell ref="AS816:AU816"/>
    <mergeCell ref="AZ816:AZ817"/>
    <mergeCell ref="BA816:BC816"/>
    <mergeCell ref="AV816:AV817"/>
    <mergeCell ref="AD815:AD817"/>
    <mergeCell ref="AF815:AI815"/>
    <mergeCell ref="AJ815:AM815"/>
    <mergeCell ref="AN815:AQ815"/>
    <mergeCell ref="AR815:AU815"/>
    <mergeCell ref="AV815:AY815"/>
    <mergeCell ref="AW816:AY816"/>
    <mergeCell ref="AF846:AF847"/>
    <mergeCell ref="AR846:AR847"/>
    <mergeCell ref="AD845:AD847"/>
    <mergeCell ref="AF845:AI845"/>
    <mergeCell ref="AJ845:AM845"/>
    <mergeCell ref="AN845:AQ845"/>
    <mergeCell ref="AR845:AU845"/>
    <mergeCell ref="AV845:AY845"/>
    <mergeCell ref="AD785:AD787"/>
    <mergeCell ref="AF785:AI785"/>
    <mergeCell ref="AJ785:AM785"/>
    <mergeCell ref="AN785:AQ785"/>
    <mergeCell ref="AR785:AU785"/>
    <mergeCell ref="AV785:AY785"/>
    <mergeCell ref="AZ785:BC785"/>
    <mergeCell ref="AF786:AF787"/>
    <mergeCell ref="AG786:AI786"/>
    <mergeCell ref="AJ786:AJ787"/>
    <mergeCell ref="AK786:AM786"/>
    <mergeCell ref="AN786:AN787"/>
    <mergeCell ref="AO786:AQ786"/>
    <mergeCell ref="AR786:AR787"/>
    <mergeCell ref="AS786:AU786"/>
    <mergeCell ref="AV786:AV787"/>
    <mergeCell ref="AW786:AY786"/>
    <mergeCell ref="AZ786:AZ787"/>
    <mergeCell ref="BA786:BC786"/>
    <mergeCell ref="AD755:AD757"/>
    <mergeCell ref="AF755:AI755"/>
    <mergeCell ref="AJ755:AM755"/>
    <mergeCell ref="AN755:AQ755"/>
    <mergeCell ref="AR755:AU755"/>
    <mergeCell ref="AV755:AY755"/>
    <mergeCell ref="AZ755:BC755"/>
    <mergeCell ref="AF756:AF757"/>
    <mergeCell ref="AG756:AI756"/>
    <mergeCell ref="AJ756:AJ757"/>
    <mergeCell ref="AK756:AM756"/>
    <mergeCell ref="AN756:AN757"/>
    <mergeCell ref="AO756:AQ756"/>
    <mergeCell ref="AR756:AR757"/>
    <mergeCell ref="AS756:AU756"/>
    <mergeCell ref="AV756:AV757"/>
    <mergeCell ref="AW756:AY756"/>
    <mergeCell ref="AZ756:AZ757"/>
    <mergeCell ref="BA756:BC756"/>
    <mergeCell ref="AD725:AD727"/>
    <mergeCell ref="AF725:AI725"/>
    <mergeCell ref="AJ725:AM725"/>
    <mergeCell ref="AN725:AQ725"/>
    <mergeCell ref="AR725:AU725"/>
    <mergeCell ref="AV725:AY725"/>
    <mergeCell ref="AZ725:BC725"/>
    <mergeCell ref="AF726:AF727"/>
    <mergeCell ref="AG726:AI726"/>
    <mergeCell ref="AJ726:AJ727"/>
    <mergeCell ref="AK726:AM726"/>
    <mergeCell ref="AN726:AN727"/>
    <mergeCell ref="AO726:AQ726"/>
    <mergeCell ref="AR726:AR727"/>
    <mergeCell ref="AS726:AU726"/>
    <mergeCell ref="AV726:AV727"/>
    <mergeCell ref="AW726:AY726"/>
    <mergeCell ref="AZ726:AZ727"/>
    <mergeCell ref="BA726:BC726"/>
    <mergeCell ref="AD695:AD697"/>
    <mergeCell ref="AF695:AI695"/>
    <mergeCell ref="AJ695:AM695"/>
    <mergeCell ref="AN695:AQ695"/>
    <mergeCell ref="AR695:AU695"/>
    <mergeCell ref="AV695:AY695"/>
    <mergeCell ref="AZ695:BC695"/>
    <mergeCell ref="AF696:AF697"/>
    <mergeCell ref="AG696:AI696"/>
    <mergeCell ref="AJ696:AJ697"/>
    <mergeCell ref="AK696:AM696"/>
    <mergeCell ref="AN696:AN697"/>
    <mergeCell ref="AO696:AQ696"/>
    <mergeCell ref="AR696:AR697"/>
    <mergeCell ref="AS696:AU696"/>
    <mergeCell ref="AV696:AV697"/>
    <mergeCell ref="AW696:AY696"/>
    <mergeCell ref="AZ696:AZ697"/>
    <mergeCell ref="BA696:BC696"/>
    <mergeCell ref="AD665:AD667"/>
    <mergeCell ref="AF665:AI665"/>
    <mergeCell ref="AJ665:AM665"/>
    <mergeCell ref="AN665:AQ665"/>
    <mergeCell ref="AR665:AU665"/>
    <mergeCell ref="AV665:AY665"/>
    <mergeCell ref="AW666:AY666"/>
    <mergeCell ref="AZ665:BC665"/>
    <mergeCell ref="AF666:AF667"/>
    <mergeCell ref="AG666:AI666"/>
    <mergeCell ref="AJ666:AJ667"/>
    <mergeCell ref="AK666:AM666"/>
    <mergeCell ref="AN666:AN667"/>
    <mergeCell ref="AO666:AQ666"/>
    <mergeCell ref="AR666:AR667"/>
    <mergeCell ref="AS666:AU666"/>
    <mergeCell ref="AV666:AV667"/>
    <mergeCell ref="AZ666:AZ667"/>
    <mergeCell ref="BA666:BC666"/>
    <mergeCell ref="AD635:AD637"/>
    <mergeCell ref="AF635:AI635"/>
    <mergeCell ref="AJ635:AM635"/>
    <mergeCell ref="AN635:AQ635"/>
    <mergeCell ref="AR635:AU635"/>
    <mergeCell ref="AV635:AY635"/>
    <mergeCell ref="AZ635:BC635"/>
    <mergeCell ref="AF636:AF637"/>
    <mergeCell ref="AG636:AI636"/>
    <mergeCell ref="AJ636:AJ637"/>
    <mergeCell ref="AK636:AM636"/>
    <mergeCell ref="AN636:AN637"/>
    <mergeCell ref="AO636:AQ636"/>
    <mergeCell ref="AR636:AR637"/>
    <mergeCell ref="AS636:AU636"/>
    <mergeCell ref="AV636:AV637"/>
    <mergeCell ref="AW636:AY636"/>
    <mergeCell ref="AZ636:AZ637"/>
    <mergeCell ref="BA636:BC636"/>
    <mergeCell ref="AD605:AD607"/>
    <mergeCell ref="AF605:AI605"/>
    <mergeCell ref="AJ605:AM605"/>
    <mergeCell ref="AN605:AQ605"/>
    <mergeCell ref="AR605:AU605"/>
    <mergeCell ref="AV605:AY605"/>
    <mergeCell ref="AZ605:BC605"/>
    <mergeCell ref="AF606:AF607"/>
    <mergeCell ref="AG606:AI606"/>
    <mergeCell ref="AJ606:AJ607"/>
    <mergeCell ref="AK606:AM606"/>
    <mergeCell ref="AN606:AN607"/>
    <mergeCell ref="AO606:AQ606"/>
    <mergeCell ref="AR606:AR607"/>
    <mergeCell ref="AS606:AU606"/>
    <mergeCell ref="AV606:AV607"/>
    <mergeCell ref="AW606:AY606"/>
    <mergeCell ref="AZ606:AZ607"/>
    <mergeCell ref="BA606:BC606"/>
    <mergeCell ref="AD575:AD577"/>
    <mergeCell ref="AF575:AI575"/>
    <mergeCell ref="AJ575:AM575"/>
    <mergeCell ref="AN575:AQ575"/>
    <mergeCell ref="AR575:AU575"/>
    <mergeCell ref="AV575:AY575"/>
    <mergeCell ref="AZ575:BC575"/>
    <mergeCell ref="AF576:AF577"/>
    <mergeCell ref="AG576:AI576"/>
    <mergeCell ref="AJ576:AJ577"/>
    <mergeCell ref="AK576:AM576"/>
    <mergeCell ref="AN576:AN577"/>
    <mergeCell ref="AO576:AQ576"/>
    <mergeCell ref="AR576:AR577"/>
    <mergeCell ref="AS576:AU576"/>
    <mergeCell ref="AV576:AV577"/>
    <mergeCell ref="AW576:AY576"/>
    <mergeCell ref="AZ576:AZ577"/>
    <mergeCell ref="BA576:BC576"/>
    <mergeCell ref="AD545:AD547"/>
    <mergeCell ref="AF545:AI545"/>
    <mergeCell ref="AJ545:AM545"/>
    <mergeCell ref="AN545:AQ545"/>
    <mergeCell ref="AR545:AU545"/>
    <mergeCell ref="AV545:AY545"/>
    <mergeCell ref="AZ545:BC545"/>
    <mergeCell ref="AF546:AF547"/>
    <mergeCell ref="AG546:AI546"/>
    <mergeCell ref="AJ546:AJ547"/>
    <mergeCell ref="AK546:AM546"/>
    <mergeCell ref="AN546:AN547"/>
    <mergeCell ref="AO546:AQ546"/>
    <mergeCell ref="AR546:AR547"/>
    <mergeCell ref="AS546:AU546"/>
    <mergeCell ref="AV546:AV547"/>
    <mergeCell ref="AW546:AY546"/>
    <mergeCell ref="AZ546:AZ547"/>
    <mergeCell ref="BA546:BC546"/>
    <mergeCell ref="AD515:AD517"/>
    <mergeCell ref="AF515:AI515"/>
    <mergeCell ref="AJ515:AM515"/>
    <mergeCell ref="AN515:AQ515"/>
    <mergeCell ref="AR515:AU515"/>
    <mergeCell ref="AV515:AY515"/>
    <mergeCell ref="AW516:AY516"/>
    <mergeCell ref="AZ515:BC515"/>
    <mergeCell ref="AF516:AF517"/>
    <mergeCell ref="AG516:AI516"/>
    <mergeCell ref="AJ516:AJ517"/>
    <mergeCell ref="AK516:AM516"/>
    <mergeCell ref="AN516:AN517"/>
    <mergeCell ref="AO516:AQ516"/>
    <mergeCell ref="AR516:AR517"/>
    <mergeCell ref="AS516:AU516"/>
    <mergeCell ref="AV516:AV517"/>
    <mergeCell ref="AZ516:AZ517"/>
    <mergeCell ref="BA516:BC516"/>
    <mergeCell ref="AD485:AD487"/>
    <mergeCell ref="AF485:AI485"/>
    <mergeCell ref="AJ485:AM485"/>
    <mergeCell ref="AN485:AQ485"/>
    <mergeCell ref="AR485:AU485"/>
    <mergeCell ref="AV485:AY485"/>
    <mergeCell ref="AZ485:BC485"/>
    <mergeCell ref="AF486:AF487"/>
    <mergeCell ref="AG486:AI486"/>
    <mergeCell ref="AJ486:AJ487"/>
    <mergeCell ref="AK486:AM486"/>
    <mergeCell ref="AN486:AN487"/>
    <mergeCell ref="AO486:AQ486"/>
    <mergeCell ref="AR486:AR487"/>
    <mergeCell ref="AS486:AU486"/>
    <mergeCell ref="AV486:AV487"/>
    <mergeCell ref="AW486:AY486"/>
    <mergeCell ref="AZ486:AZ487"/>
    <mergeCell ref="BA486:BC486"/>
    <mergeCell ref="AD455:AD457"/>
    <mergeCell ref="AF455:AI455"/>
    <mergeCell ref="AJ455:AM455"/>
    <mergeCell ref="AN455:AQ455"/>
    <mergeCell ref="AR455:AU455"/>
    <mergeCell ref="AV455:AY455"/>
    <mergeCell ref="AZ455:BC455"/>
    <mergeCell ref="AF456:AF457"/>
    <mergeCell ref="AG456:AI456"/>
    <mergeCell ref="AJ456:AJ457"/>
    <mergeCell ref="AK456:AM456"/>
    <mergeCell ref="AN456:AN457"/>
    <mergeCell ref="AO456:AQ456"/>
    <mergeCell ref="AR456:AR457"/>
    <mergeCell ref="AS456:AU456"/>
    <mergeCell ref="AV456:AV457"/>
    <mergeCell ref="AW456:AY456"/>
    <mergeCell ref="AZ456:AZ457"/>
    <mergeCell ref="BA456:BC456"/>
    <mergeCell ref="AD425:AD427"/>
    <mergeCell ref="AF425:AI425"/>
    <mergeCell ref="AJ425:AM425"/>
    <mergeCell ref="AN425:AQ425"/>
    <mergeCell ref="AR425:AU425"/>
    <mergeCell ref="AV425:AY425"/>
    <mergeCell ref="AZ425:BC425"/>
    <mergeCell ref="AF426:AF427"/>
    <mergeCell ref="AG426:AI426"/>
    <mergeCell ref="AJ426:AJ427"/>
    <mergeCell ref="AK426:AM426"/>
    <mergeCell ref="AN426:AN427"/>
    <mergeCell ref="AO426:AQ426"/>
    <mergeCell ref="AR426:AR427"/>
    <mergeCell ref="AS426:AU426"/>
    <mergeCell ref="AV426:AV427"/>
    <mergeCell ref="AW426:AY426"/>
    <mergeCell ref="AZ426:AZ427"/>
    <mergeCell ref="BA426:BC426"/>
    <mergeCell ref="AD395:AD397"/>
    <mergeCell ref="AF395:AI395"/>
    <mergeCell ref="AJ395:AM395"/>
    <mergeCell ref="AN395:AQ395"/>
    <mergeCell ref="AR395:AU395"/>
    <mergeCell ref="AV395:AY395"/>
    <mergeCell ref="AZ395:BC395"/>
    <mergeCell ref="AF396:AF397"/>
    <mergeCell ref="AG396:AI396"/>
    <mergeCell ref="AJ396:AJ397"/>
    <mergeCell ref="AK396:AM396"/>
    <mergeCell ref="AN396:AN397"/>
    <mergeCell ref="AO396:AQ396"/>
    <mergeCell ref="AR396:AR397"/>
    <mergeCell ref="AS396:AU396"/>
    <mergeCell ref="AV396:AV397"/>
    <mergeCell ref="AW396:AY396"/>
    <mergeCell ref="AZ396:AZ397"/>
    <mergeCell ref="BA396:BC396"/>
    <mergeCell ref="AD365:AD367"/>
    <mergeCell ref="AF365:AI365"/>
    <mergeCell ref="AJ365:AM365"/>
    <mergeCell ref="AN365:AQ365"/>
    <mergeCell ref="AR365:AU365"/>
    <mergeCell ref="AV365:AY365"/>
    <mergeCell ref="AW366:AY366"/>
    <mergeCell ref="AZ365:BC365"/>
    <mergeCell ref="AF366:AF367"/>
    <mergeCell ref="AG366:AI366"/>
    <mergeCell ref="AJ366:AJ367"/>
    <mergeCell ref="AK366:AM366"/>
    <mergeCell ref="AN366:AN367"/>
    <mergeCell ref="AO366:AQ366"/>
    <mergeCell ref="AR366:AR367"/>
    <mergeCell ref="AS366:AU366"/>
    <mergeCell ref="AV366:AV367"/>
    <mergeCell ref="AZ366:AZ367"/>
    <mergeCell ref="BA366:BC366"/>
    <mergeCell ref="AD335:AD337"/>
    <mergeCell ref="AF335:AI335"/>
    <mergeCell ref="AJ335:AM335"/>
    <mergeCell ref="AN335:AQ335"/>
    <mergeCell ref="AR335:AU335"/>
    <mergeCell ref="AV335:AY335"/>
    <mergeCell ref="AZ335:BC335"/>
    <mergeCell ref="AF336:AF337"/>
    <mergeCell ref="AG336:AI336"/>
    <mergeCell ref="AJ336:AJ337"/>
    <mergeCell ref="AK336:AM336"/>
    <mergeCell ref="AN336:AN337"/>
    <mergeCell ref="AO336:AQ336"/>
    <mergeCell ref="AR336:AR337"/>
    <mergeCell ref="AS336:AU336"/>
    <mergeCell ref="AV336:AV337"/>
    <mergeCell ref="AW336:AY336"/>
    <mergeCell ref="AZ336:AZ337"/>
    <mergeCell ref="BA336:BC336"/>
    <mergeCell ref="AD305:AD307"/>
    <mergeCell ref="AF305:AI305"/>
    <mergeCell ref="AJ305:AM305"/>
    <mergeCell ref="AN305:AQ305"/>
    <mergeCell ref="AR305:AU305"/>
    <mergeCell ref="AV305:AY305"/>
    <mergeCell ref="AZ305:BC305"/>
    <mergeCell ref="AF306:AF307"/>
    <mergeCell ref="AG306:AI306"/>
    <mergeCell ref="AJ306:AJ307"/>
    <mergeCell ref="AK306:AM306"/>
    <mergeCell ref="AN306:AN307"/>
    <mergeCell ref="AO306:AQ306"/>
    <mergeCell ref="AR306:AR307"/>
    <mergeCell ref="AS306:AU306"/>
    <mergeCell ref="AV306:AV307"/>
    <mergeCell ref="AW306:AY306"/>
    <mergeCell ref="AZ306:AZ307"/>
    <mergeCell ref="BA306:BC306"/>
    <mergeCell ref="AD275:AD277"/>
    <mergeCell ref="AF275:AI275"/>
    <mergeCell ref="AJ275:AM275"/>
    <mergeCell ref="AN275:AQ275"/>
    <mergeCell ref="AR275:AU275"/>
    <mergeCell ref="AV275:AY275"/>
    <mergeCell ref="AZ275:BC275"/>
    <mergeCell ref="AF276:AF277"/>
    <mergeCell ref="AG276:AI276"/>
    <mergeCell ref="AJ276:AJ277"/>
    <mergeCell ref="AK276:AM276"/>
    <mergeCell ref="AN276:AN277"/>
    <mergeCell ref="AO276:AQ276"/>
    <mergeCell ref="AR276:AR277"/>
    <mergeCell ref="AS276:AU276"/>
    <mergeCell ref="AV276:AV277"/>
    <mergeCell ref="AW276:AY276"/>
    <mergeCell ref="AZ276:AZ277"/>
    <mergeCell ref="BA276:BC276"/>
    <mergeCell ref="AD245:AD247"/>
    <mergeCell ref="AF245:AI245"/>
    <mergeCell ref="AJ245:AM245"/>
    <mergeCell ref="AN245:AQ245"/>
    <mergeCell ref="AR245:AU245"/>
    <mergeCell ref="AV245:AY245"/>
    <mergeCell ref="AZ245:BC245"/>
    <mergeCell ref="AF246:AF247"/>
    <mergeCell ref="AG246:AI246"/>
    <mergeCell ref="AJ246:AJ247"/>
    <mergeCell ref="AK246:AM246"/>
    <mergeCell ref="AN246:AN247"/>
    <mergeCell ref="AO246:AQ246"/>
    <mergeCell ref="AR246:AR247"/>
    <mergeCell ref="AS246:AU246"/>
    <mergeCell ref="AV246:AV247"/>
    <mergeCell ref="AW246:AY246"/>
    <mergeCell ref="AZ246:AZ247"/>
    <mergeCell ref="BA246:BC246"/>
    <mergeCell ref="AD215:AD217"/>
    <mergeCell ref="AF215:AI215"/>
    <mergeCell ref="AJ215:AM215"/>
    <mergeCell ref="AN215:AQ215"/>
    <mergeCell ref="AR215:AU215"/>
    <mergeCell ref="AV215:AY215"/>
    <mergeCell ref="AW216:AY216"/>
    <mergeCell ref="AZ215:BC215"/>
    <mergeCell ref="AF216:AF217"/>
    <mergeCell ref="AG216:AI216"/>
    <mergeCell ref="AJ216:AJ217"/>
    <mergeCell ref="AK216:AM216"/>
    <mergeCell ref="AN216:AN217"/>
    <mergeCell ref="AO216:AQ216"/>
    <mergeCell ref="AR216:AR217"/>
    <mergeCell ref="AS216:AU216"/>
    <mergeCell ref="AV216:AV217"/>
    <mergeCell ref="AZ216:AZ217"/>
    <mergeCell ref="BA216:BC216"/>
    <mergeCell ref="AD185:AD187"/>
    <mergeCell ref="AF185:AI185"/>
    <mergeCell ref="AJ185:AM185"/>
    <mergeCell ref="AN185:AQ185"/>
    <mergeCell ref="AR185:AU185"/>
    <mergeCell ref="AV185:AY185"/>
    <mergeCell ref="AZ185:BC185"/>
    <mergeCell ref="AF186:AF187"/>
    <mergeCell ref="AG186:AI186"/>
    <mergeCell ref="AJ186:AJ187"/>
    <mergeCell ref="AK186:AM186"/>
    <mergeCell ref="AN186:AN187"/>
    <mergeCell ref="AO186:AQ186"/>
    <mergeCell ref="AR186:AR187"/>
    <mergeCell ref="AS186:AU186"/>
    <mergeCell ref="AV186:AV187"/>
    <mergeCell ref="AW186:AY186"/>
    <mergeCell ref="AZ186:AZ187"/>
    <mergeCell ref="BA186:BC186"/>
    <mergeCell ref="AD155:AD157"/>
    <mergeCell ref="AF155:AI155"/>
    <mergeCell ref="AJ155:AM155"/>
    <mergeCell ref="AN155:AQ155"/>
    <mergeCell ref="AR155:AU155"/>
    <mergeCell ref="AV155:AY155"/>
    <mergeCell ref="AZ155:BC155"/>
    <mergeCell ref="AF156:AF157"/>
    <mergeCell ref="AG156:AI156"/>
    <mergeCell ref="AJ156:AJ157"/>
    <mergeCell ref="AK156:AM156"/>
    <mergeCell ref="AN156:AN157"/>
    <mergeCell ref="AO156:AQ156"/>
    <mergeCell ref="AR156:AR157"/>
    <mergeCell ref="AS156:AU156"/>
    <mergeCell ref="AV156:AV157"/>
    <mergeCell ref="AW156:AY156"/>
    <mergeCell ref="AZ156:AZ157"/>
    <mergeCell ref="BA156:BC156"/>
    <mergeCell ref="AD125:AD127"/>
    <mergeCell ref="AF125:AI125"/>
    <mergeCell ref="AJ125:AM125"/>
    <mergeCell ref="AN125:AQ125"/>
    <mergeCell ref="AR125:AU125"/>
    <mergeCell ref="AV125:AY125"/>
    <mergeCell ref="AZ125:BC125"/>
    <mergeCell ref="AF126:AF127"/>
    <mergeCell ref="AG126:AI126"/>
    <mergeCell ref="AJ126:AJ127"/>
    <mergeCell ref="AK126:AM126"/>
    <mergeCell ref="AN126:AN127"/>
    <mergeCell ref="AO126:AQ126"/>
    <mergeCell ref="AR126:AR127"/>
    <mergeCell ref="AS126:AU126"/>
    <mergeCell ref="AV126:AV127"/>
    <mergeCell ref="AW126:AY126"/>
    <mergeCell ref="AZ126:AZ127"/>
    <mergeCell ref="BA126:BC126"/>
    <mergeCell ref="AD95:AD97"/>
    <mergeCell ref="AF95:AI95"/>
    <mergeCell ref="AJ95:AM95"/>
    <mergeCell ref="AN95:AQ95"/>
    <mergeCell ref="AR95:AU95"/>
    <mergeCell ref="AV95:AY95"/>
    <mergeCell ref="AZ95:BC95"/>
    <mergeCell ref="AF96:AF97"/>
    <mergeCell ref="AG96:AI96"/>
    <mergeCell ref="AJ96:AJ97"/>
    <mergeCell ref="AK96:AM96"/>
    <mergeCell ref="AN96:AN97"/>
    <mergeCell ref="AO96:AQ96"/>
    <mergeCell ref="AR96:AR97"/>
    <mergeCell ref="AS96:AU96"/>
    <mergeCell ref="AV96:AV97"/>
    <mergeCell ref="AW96:AY96"/>
    <mergeCell ref="AZ96:AZ97"/>
    <mergeCell ref="BA96:BC96"/>
    <mergeCell ref="AD65:AD67"/>
    <mergeCell ref="AF65:AI65"/>
    <mergeCell ref="AJ65:AM65"/>
    <mergeCell ref="AN65:AQ65"/>
    <mergeCell ref="AR65:AU65"/>
    <mergeCell ref="AV65:AY65"/>
    <mergeCell ref="AW66:AY66"/>
    <mergeCell ref="AZ65:BC65"/>
    <mergeCell ref="AF66:AF67"/>
    <mergeCell ref="AG66:AI66"/>
    <mergeCell ref="AJ66:AJ67"/>
    <mergeCell ref="AK66:AM66"/>
    <mergeCell ref="AN66:AN67"/>
    <mergeCell ref="AO66:AQ66"/>
    <mergeCell ref="AR66:AR67"/>
    <mergeCell ref="AS66:AU66"/>
    <mergeCell ref="AV66:AV67"/>
    <mergeCell ref="AZ66:AZ67"/>
    <mergeCell ref="BA66:BC66"/>
    <mergeCell ref="AZ5:BC5"/>
    <mergeCell ref="AZ6:AZ7"/>
    <mergeCell ref="BA6:BC6"/>
    <mergeCell ref="AD35:AD37"/>
    <mergeCell ref="AF35:AI35"/>
    <mergeCell ref="AJ35:AM35"/>
    <mergeCell ref="AN35:AQ35"/>
    <mergeCell ref="AR35:AU35"/>
    <mergeCell ref="AV35:AY35"/>
    <mergeCell ref="AZ35:BC35"/>
    <mergeCell ref="AF36:AF37"/>
    <mergeCell ref="AG36:AI36"/>
    <mergeCell ref="AJ36:AJ37"/>
    <mergeCell ref="AK36:AM36"/>
    <mergeCell ref="AN36:AN37"/>
    <mergeCell ref="AO36:AQ36"/>
    <mergeCell ref="AR36:AR37"/>
    <mergeCell ref="AS36:AU36"/>
    <mergeCell ref="AV36:AV37"/>
    <mergeCell ref="AW36:AY36"/>
    <mergeCell ref="AZ36:AZ37"/>
    <mergeCell ref="BA36:BC36"/>
    <mergeCell ref="AN5:AQ5"/>
    <mergeCell ref="AN6:AN7"/>
    <mergeCell ref="AO6:AQ6"/>
    <mergeCell ref="AR5:AU5"/>
    <mergeCell ref="AR6:AR7"/>
    <mergeCell ref="AS6:AU6"/>
    <mergeCell ref="AV5:AY5"/>
    <mergeCell ref="AV6:AV7"/>
    <mergeCell ref="AW6:AY6"/>
    <mergeCell ref="B4:B5"/>
    <mergeCell ref="C4:Z4"/>
    <mergeCell ref="AD5:AD7"/>
    <mergeCell ref="AF5:AI5"/>
    <mergeCell ref="AF6:AF7"/>
    <mergeCell ref="AG6:AI6"/>
    <mergeCell ref="AJ5:AM5"/>
    <mergeCell ref="AJ6:AJ7"/>
    <mergeCell ref="AK6:AM6"/>
  </mergeCells>
  <phoneticPr fontId="26" type="noConversion"/>
  <printOptions horizontalCentered="1"/>
  <pageMargins left="0.25" right="0.2" top="1.6298611111111112" bottom="0.98402777777777772" header="0.51180555555555551" footer="0.51180555555555551"/>
  <pageSetup paperSize="9" scale="75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O43"/>
  <sheetViews>
    <sheetView showGridLines="0" zoomScaleSheetLayoutView="75" workbookViewId="0">
      <selection activeCell="B3" sqref="B3:O33"/>
    </sheetView>
  </sheetViews>
  <sheetFormatPr defaultColWidth="8.85546875" defaultRowHeight="14.25"/>
  <cols>
    <col min="1" max="1" width="2.85546875" style="1" customWidth="1"/>
    <col min="2" max="2" width="18.42578125" style="43" customWidth="1"/>
    <col min="3" max="3" width="6.85546875" style="43" customWidth="1"/>
    <col min="4" max="15" width="6.85546875" style="1" customWidth="1"/>
    <col min="16" max="16384" width="8.85546875" style="1"/>
  </cols>
  <sheetData>
    <row r="1" spans="2:15" ht="16.5">
      <c r="B1" s="52" t="s">
        <v>548</v>
      </c>
    </row>
    <row r="2" spans="2:15" ht="6" customHeight="1"/>
    <row r="3" spans="2:15" ht="21" customHeight="1">
      <c r="B3" s="592" t="s">
        <v>86</v>
      </c>
      <c r="C3" s="678" t="s">
        <v>646</v>
      </c>
      <c r="D3" s="679" t="s">
        <v>559</v>
      </c>
      <c r="E3" s="679"/>
      <c r="F3" s="679" t="s">
        <v>562</v>
      </c>
      <c r="G3" s="679"/>
      <c r="H3" s="679" t="s">
        <v>563</v>
      </c>
      <c r="I3" s="679"/>
      <c r="J3" s="679" t="s">
        <v>564</v>
      </c>
      <c r="K3" s="679"/>
      <c r="L3" s="679" t="s">
        <v>565</v>
      </c>
      <c r="M3" s="679"/>
      <c r="N3" s="679" t="s">
        <v>566</v>
      </c>
      <c r="O3" s="679"/>
    </row>
    <row r="4" spans="2:15" ht="21" customHeight="1">
      <c r="B4" s="592" t="s">
        <v>87</v>
      </c>
      <c r="C4" s="678"/>
      <c r="D4" s="604" t="s">
        <v>76</v>
      </c>
      <c r="E4" s="604" t="s">
        <v>77</v>
      </c>
      <c r="F4" s="604" t="s">
        <v>76</v>
      </c>
      <c r="G4" s="604" t="s">
        <v>77</v>
      </c>
      <c r="H4" s="604" t="s">
        <v>76</v>
      </c>
      <c r="I4" s="604" t="s">
        <v>77</v>
      </c>
      <c r="J4" s="604" t="s">
        <v>76</v>
      </c>
      <c r="K4" s="604" t="s">
        <v>77</v>
      </c>
      <c r="L4" s="604" t="s">
        <v>76</v>
      </c>
      <c r="M4" s="604" t="s">
        <v>77</v>
      </c>
      <c r="N4" s="604" t="s">
        <v>76</v>
      </c>
      <c r="O4" s="604" t="s">
        <v>77</v>
      </c>
    </row>
    <row r="5" spans="2:15" ht="15">
      <c r="B5" s="597">
        <f>skemA1!B5</f>
        <v>44709</v>
      </c>
      <c r="C5" s="598">
        <f>VLOOKUP($B5,'Tabel 2'!$AC$4:$BC$872,3,)</f>
        <v>4095.7000000000003</v>
      </c>
      <c r="D5" s="598">
        <f>VLOOKUP($B5,'Tabel 2'!$AC$4:$BC$872,5,)</f>
        <v>2121.7000000000003</v>
      </c>
      <c r="E5" s="598">
        <f>VLOOKUP($B5,'Tabel 2'!$AC$4:$BC$872,7,)</f>
        <v>1974</v>
      </c>
      <c r="F5" s="598">
        <f>VLOOKUP($B5,'Tabel 2'!$AC$4:$BC$872,9,)</f>
        <v>1812.5</v>
      </c>
      <c r="G5" s="598">
        <f>VLOOKUP($B5,'Tabel 2'!$AC$4:$BC$872,11,)</f>
        <v>2283.1999999999998</v>
      </c>
      <c r="H5" s="598">
        <f>VLOOKUP($B5,'Tabel 2'!$AC$4:$BC$872,13,)</f>
        <v>1722.3</v>
      </c>
      <c r="I5" s="598">
        <f>VLOOKUP($B5,'Tabel 2'!$AC$4:$BC$872,15,)</f>
        <v>2373.4000000000005</v>
      </c>
      <c r="J5" s="598">
        <f>VLOOKUP($B5,'Tabel 2'!$AC$4:$BC$872,17,)</f>
        <v>2251.5</v>
      </c>
      <c r="K5" s="598">
        <f>VLOOKUP($B5,'Tabel 2'!$AC$4:$BC$872,19,)</f>
        <v>1844.2</v>
      </c>
      <c r="L5" s="598">
        <f>VLOOKUP($B5,'Tabel 2'!$AC$4:$BC$872,21,)</f>
        <v>1350.4999999999998</v>
      </c>
      <c r="M5" s="598">
        <f>VLOOKUP($B5,'Tabel 2'!$AC$4:$BC$872,23,)</f>
        <v>1380.3</v>
      </c>
      <c r="N5" s="598">
        <f>VLOOKUP($B5,'Tabel 2'!$AC$4:$BC$872,25,)</f>
        <v>2063.8999999999996</v>
      </c>
      <c r="O5" s="599">
        <f>VLOOKUP($B5,'Tabel 2'!$AC$4:$BC$872,27,)</f>
        <v>2031.8000000000002</v>
      </c>
    </row>
    <row r="6" spans="2:15" ht="15">
      <c r="B6" s="605">
        <f>skemA1!B6</f>
        <v>44710</v>
      </c>
      <c r="C6" s="606">
        <f>VLOOKUP($B6,'Tabel 2'!$AC$4:$BC$872,3,)</f>
        <v>3972.2000000000003</v>
      </c>
      <c r="D6" s="606">
        <f>VLOOKUP($B6,'Tabel 2'!$AC$4:$BC$872,5,)</f>
        <v>2071.1999999999998</v>
      </c>
      <c r="E6" s="606">
        <f>VLOOKUP($B6,'Tabel 2'!$AC$4:$BC$872,7,)</f>
        <v>1901.0000000000002</v>
      </c>
      <c r="F6" s="606">
        <f>VLOOKUP($B6,'Tabel 2'!$AC$4:$BC$872,9,)</f>
        <v>1672.1000000000001</v>
      </c>
      <c r="G6" s="606">
        <f>VLOOKUP($B6,'Tabel 2'!$AC$4:$BC$872,11,)</f>
        <v>2300.1000000000004</v>
      </c>
      <c r="H6" s="606">
        <f>VLOOKUP($B6,'Tabel 2'!$AC$4:$BC$872,13,)</f>
        <v>1553.5</v>
      </c>
      <c r="I6" s="606">
        <f>VLOOKUP($B6,'Tabel 2'!$AC$4:$BC$872,15,)</f>
        <v>2418.6999999999998</v>
      </c>
      <c r="J6" s="606">
        <f>VLOOKUP($B6,'Tabel 2'!$AC$4:$BC$872,17,)</f>
        <v>2114.9</v>
      </c>
      <c r="K6" s="606">
        <f>VLOOKUP($B6,'Tabel 2'!$AC$4:$BC$872,19,)</f>
        <v>1857.3000000000002</v>
      </c>
      <c r="L6" s="606">
        <f>VLOOKUP($B6,'Tabel 2'!$AC$4:$BC$872,21,)</f>
        <v>1305.9000000000001</v>
      </c>
      <c r="M6" s="606">
        <f>VLOOKUP($B6,'Tabel 2'!$AC$4:$BC$872,23,)</f>
        <v>1340.5</v>
      </c>
      <c r="N6" s="606">
        <f>VLOOKUP($B6,'Tabel 2'!$AC$4:$BC$872,25,)</f>
        <v>2001.4</v>
      </c>
      <c r="O6" s="607">
        <f>VLOOKUP($B6,'Tabel 2'!$AC$4:$BC$872,27,)</f>
        <v>1970.8</v>
      </c>
    </row>
    <row r="7" spans="2:15" ht="15">
      <c r="B7" s="597">
        <f>skemA1!B7</f>
        <v>44711</v>
      </c>
      <c r="C7" s="600">
        <f>VLOOKUP($B7,'Tabel 2'!$AC$4:$BC$872,3,)</f>
        <v>3961.8999999999996</v>
      </c>
      <c r="D7" s="600">
        <f>VLOOKUP($B7,'Tabel 2'!$AC$4:$BC$872,5,)</f>
        <v>2108.5</v>
      </c>
      <c r="E7" s="600">
        <f>VLOOKUP($B7,'Tabel 2'!$AC$4:$BC$872,7,)</f>
        <v>1853.4000000000003</v>
      </c>
      <c r="F7" s="600">
        <f>VLOOKUP($B7,'Tabel 2'!$AC$4:$BC$872,9,)</f>
        <v>1658.8999999999999</v>
      </c>
      <c r="G7" s="600">
        <f>VLOOKUP($B7,'Tabel 2'!$AC$4:$BC$872,11,)</f>
        <v>2303</v>
      </c>
      <c r="H7" s="600">
        <f>VLOOKUP($B7,'Tabel 2'!$AC$4:$BC$872,13,)</f>
        <v>1483.4</v>
      </c>
      <c r="I7" s="600">
        <f>VLOOKUP($B7,'Tabel 2'!$AC$4:$BC$872,15,)</f>
        <v>2478.4999999999995</v>
      </c>
      <c r="J7" s="600">
        <f>VLOOKUP($B7,'Tabel 2'!$AC$4:$BC$872,17,)</f>
        <v>2003.3</v>
      </c>
      <c r="K7" s="600">
        <f>VLOOKUP($B7,'Tabel 2'!$AC$4:$BC$872,19,)</f>
        <v>1958.6000000000001</v>
      </c>
      <c r="L7" s="600">
        <f>VLOOKUP($B7,'Tabel 2'!$AC$4:$BC$872,21,)</f>
        <v>1301.4000000000001</v>
      </c>
      <c r="M7" s="600">
        <f>VLOOKUP($B7,'Tabel 2'!$AC$4:$BC$872,23,)</f>
        <v>1335.8</v>
      </c>
      <c r="N7" s="600">
        <f>VLOOKUP($B7,'Tabel 2'!$AC$4:$BC$872,25,)</f>
        <v>1988.8000000000002</v>
      </c>
      <c r="O7" s="601">
        <f>VLOOKUP($B7,'Tabel 2'!$AC$4:$BC$872,27,)</f>
        <v>1973.0999999999997</v>
      </c>
    </row>
    <row r="8" spans="2:15" ht="15">
      <c r="B8" s="605">
        <f>skemA1!B8</f>
        <v>44712</v>
      </c>
      <c r="C8" s="606">
        <f>VLOOKUP($B8,'Tabel 2'!$AC$4:$BC$872,3,)</f>
        <v>3940.2000000000003</v>
      </c>
      <c r="D8" s="606">
        <f>VLOOKUP($B8,'Tabel 2'!$AC$4:$BC$872,5,)</f>
        <v>2154.1</v>
      </c>
      <c r="E8" s="606">
        <f>VLOOKUP($B8,'Tabel 2'!$AC$4:$BC$872,7,)</f>
        <v>1786.1</v>
      </c>
      <c r="F8" s="606">
        <f>VLOOKUP($B8,'Tabel 2'!$AC$4:$BC$872,9,)</f>
        <v>1628.3999999999996</v>
      </c>
      <c r="G8" s="606">
        <f>VLOOKUP($B8,'Tabel 2'!$AC$4:$BC$872,11,)</f>
        <v>2311.8000000000002</v>
      </c>
      <c r="H8" s="606">
        <f>VLOOKUP($B8,'Tabel 2'!$AC$4:$BC$872,13,)</f>
        <v>1468.5999999999997</v>
      </c>
      <c r="I8" s="606">
        <f>VLOOKUP($B8,'Tabel 2'!$AC$4:$BC$872,15,)</f>
        <v>2471.6</v>
      </c>
      <c r="J8" s="606">
        <f>VLOOKUP($B8,'Tabel 2'!$AC$4:$BC$872,17,)</f>
        <v>1858.1</v>
      </c>
      <c r="K8" s="606">
        <f>VLOOKUP($B8,'Tabel 2'!$AC$4:$BC$872,19,)</f>
        <v>2082.1</v>
      </c>
      <c r="L8" s="606">
        <f>VLOOKUP($B8,'Tabel 2'!$AC$4:$BC$872,21,)</f>
        <v>1305.3</v>
      </c>
      <c r="M8" s="606">
        <f>VLOOKUP($B8,'Tabel 2'!$AC$4:$BC$872,23,)</f>
        <v>1316.8000000000002</v>
      </c>
      <c r="N8" s="606">
        <f>VLOOKUP($B8,'Tabel 2'!$AC$4:$BC$872,25,)</f>
        <v>1961.5</v>
      </c>
      <c r="O8" s="607">
        <f>VLOOKUP($B8,'Tabel 2'!$AC$4:$BC$872,27,)</f>
        <v>1978.6999999999996</v>
      </c>
    </row>
    <row r="9" spans="2:15" ht="15">
      <c r="B9" s="597">
        <f>skemA1!B9</f>
        <v>44713</v>
      </c>
      <c r="C9" s="600">
        <f>VLOOKUP($B9,'Tabel 2'!$AC$4:$BC$872,3,)</f>
        <v>3986.1000000000004</v>
      </c>
      <c r="D9" s="600">
        <f>VLOOKUP($B9,'Tabel 2'!$AC$4:$BC$872,5,)</f>
        <v>2241.7000000000003</v>
      </c>
      <c r="E9" s="600">
        <f>VLOOKUP($B9,'Tabel 2'!$AC$4:$BC$872,7,)</f>
        <v>1744.4000000000003</v>
      </c>
      <c r="F9" s="600">
        <f>VLOOKUP($B9,'Tabel 2'!$AC$4:$BC$872,9,)</f>
        <v>1657.5000000000002</v>
      </c>
      <c r="G9" s="600">
        <f>VLOOKUP($B9,'Tabel 2'!$AC$4:$BC$872,11,)</f>
        <v>2328.6</v>
      </c>
      <c r="H9" s="600">
        <f>VLOOKUP($B9,'Tabel 2'!$AC$4:$BC$872,13,)</f>
        <v>1516.6000000000001</v>
      </c>
      <c r="I9" s="600">
        <f>VLOOKUP($B9,'Tabel 2'!$AC$4:$BC$872,15,)</f>
        <v>2469.5000000000005</v>
      </c>
      <c r="J9" s="600">
        <f>VLOOKUP($B9,'Tabel 2'!$AC$4:$BC$872,17,)</f>
        <v>1770.3000000000004</v>
      </c>
      <c r="K9" s="600">
        <f>VLOOKUP($B9,'Tabel 2'!$AC$4:$BC$872,19,)</f>
        <v>2215.8000000000002</v>
      </c>
      <c r="L9" s="600">
        <f>VLOOKUP($B9,'Tabel 2'!$AC$4:$BC$872,21,)</f>
        <v>1327.0000000000002</v>
      </c>
      <c r="M9" s="600">
        <f>VLOOKUP($B9,'Tabel 2'!$AC$4:$BC$872,23,)</f>
        <v>1334.1</v>
      </c>
      <c r="N9" s="600">
        <f>VLOOKUP($B9,'Tabel 2'!$AC$4:$BC$872,25,)</f>
        <v>1991.4000000000003</v>
      </c>
      <c r="O9" s="601">
        <f>VLOOKUP($B9,'Tabel 2'!$AC$4:$BC$872,27,)</f>
        <v>1994.7</v>
      </c>
    </row>
    <row r="10" spans="2:15" ht="15">
      <c r="B10" s="605">
        <f>skemA1!B10</f>
        <v>44714</v>
      </c>
      <c r="C10" s="606">
        <f>VLOOKUP($B10,'Tabel 2'!$AC$4:$BC$872,3,)</f>
        <v>4046.7</v>
      </c>
      <c r="D10" s="606">
        <f>VLOOKUP($B10,'Tabel 2'!$AC$4:$BC$872,5,)</f>
        <v>2337.7000000000003</v>
      </c>
      <c r="E10" s="606">
        <f>VLOOKUP($B10,'Tabel 2'!$AC$4:$BC$872,7,)</f>
        <v>1708.9999999999998</v>
      </c>
      <c r="F10" s="606">
        <f>VLOOKUP($B10,'Tabel 2'!$AC$4:$BC$872,9,)</f>
        <v>1734.4</v>
      </c>
      <c r="G10" s="606">
        <f>VLOOKUP($B10,'Tabel 2'!$AC$4:$BC$872,11,)</f>
        <v>2312.2999999999997</v>
      </c>
      <c r="H10" s="606">
        <f>VLOOKUP($B10,'Tabel 2'!$AC$4:$BC$872,13,)</f>
        <v>1623.0999999999997</v>
      </c>
      <c r="I10" s="606">
        <f>VLOOKUP($B10,'Tabel 2'!$AC$4:$BC$872,15,)</f>
        <v>2423.6</v>
      </c>
      <c r="J10" s="606">
        <f>VLOOKUP($B10,'Tabel 2'!$AC$4:$BC$872,17,)</f>
        <v>1704.6</v>
      </c>
      <c r="K10" s="606">
        <f>VLOOKUP($B10,'Tabel 2'!$AC$4:$BC$872,19,)</f>
        <v>2342.1</v>
      </c>
      <c r="L10" s="606">
        <f>VLOOKUP($B10,'Tabel 2'!$AC$4:$BC$872,21,)</f>
        <v>1350.2</v>
      </c>
      <c r="M10" s="606">
        <f>VLOOKUP($B10,'Tabel 2'!$AC$4:$BC$872,23,)</f>
        <v>1346.9999999999998</v>
      </c>
      <c r="N10" s="606">
        <f>VLOOKUP($B10,'Tabel 2'!$AC$4:$BC$872,25,)</f>
        <v>1996.9999999999998</v>
      </c>
      <c r="O10" s="607">
        <f>VLOOKUP($B10,'Tabel 2'!$AC$4:$BC$872,27,)</f>
        <v>2049.6999999999998</v>
      </c>
    </row>
    <row r="11" spans="2:15" ht="15">
      <c r="B11" s="597">
        <f>skemA1!B11</f>
        <v>44715</v>
      </c>
      <c r="C11" s="600">
        <f>VLOOKUP($B11,'Tabel 2'!$AC$4:$BC$872,3,)</f>
        <v>4026.3</v>
      </c>
      <c r="D11" s="600">
        <f>VLOOKUP($B11,'Tabel 2'!$AC$4:$BC$872,5,)</f>
        <v>2358.9</v>
      </c>
      <c r="E11" s="600">
        <f>VLOOKUP($B11,'Tabel 2'!$AC$4:$BC$872,7,)</f>
        <v>1667.3999999999999</v>
      </c>
      <c r="F11" s="600">
        <f>VLOOKUP($B11,'Tabel 2'!$AC$4:$BC$872,9,)</f>
        <v>1773.6999999999996</v>
      </c>
      <c r="G11" s="600">
        <f>VLOOKUP($B11,'Tabel 2'!$AC$4:$BC$872,11,)</f>
        <v>2252.6</v>
      </c>
      <c r="H11" s="600">
        <f>VLOOKUP($B11,'Tabel 2'!$AC$4:$BC$872,13,)</f>
        <v>1715.6000000000001</v>
      </c>
      <c r="I11" s="600">
        <f>VLOOKUP($B11,'Tabel 2'!$AC$4:$BC$872,15,)</f>
        <v>2310.7000000000003</v>
      </c>
      <c r="J11" s="600">
        <f>VLOOKUP($B11,'Tabel 2'!$AC$4:$BC$872,17,)</f>
        <v>1643.3000000000002</v>
      </c>
      <c r="K11" s="600">
        <f>VLOOKUP($B11,'Tabel 2'!$AC$4:$BC$872,19,)</f>
        <v>2383</v>
      </c>
      <c r="L11" s="600">
        <f>VLOOKUP($B11,'Tabel 2'!$AC$4:$BC$872,21,)</f>
        <v>1340.3</v>
      </c>
      <c r="M11" s="600">
        <f>VLOOKUP($B11,'Tabel 2'!$AC$4:$BC$872,23,)</f>
        <v>1341.1</v>
      </c>
      <c r="N11" s="600">
        <f>VLOOKUP($B11,'Tabel 2'!$AC$4:$BC$872,25,)</f>
        <v>1993.8</v>
      </c>
      <c r="O11" s="601">
        <f>VLOOKUP($B11,'Tabel 2'!$AC$4:$BC$872,27,)</f>
        <v>2032.5</v>
      </c>
    </row>
    <row r="12" spans="2:15" ht="15">
      <c r="B12" s="605">
        <f>skemA1!B12</f>
        <v>44716</v>
      </c>
      <c r="C12" s="606">
        <f>VLOOKUP($B12,'Tabel 2'!$AC$4:$BC$872,3,)</f>
        <v>3981.5500000000011</v>
      </c>
      <c r="D12" s="606">
        <f>VLOOKUP($B12,'Tabel 2'!$AC$4:$BC$872,5,)</f>
        <v>2332.75</v>
      </c>
      <c r="E12" s="606">
        <f>VLOOKUP($B12,'Tabel 2'!$AC$4:$BC$872,7,)</f>
        <v>1648.8</v>
      </c>
      <c r="F12" s="606">
        <f>VLOOKUP($B12,'Tabel 2'!$AC$4:$BC$872,9,)</f>
        <v>1818.25</v>
      </c>
      <c r="G12" s="606">
        <f>VLOOKUP($B12,'Tabel 2'!$AC$4:$BC$872,11,)</f>
        <v>2163.3000000000002</v>
      </c>
      <c r="H12" s="606">
        <f>VLOOKUP($B12,'Tabel 2'!$AC$4:$BC$872,13,)</f>
        <v>1782.8500000000001</v>
      </c>
      <c r="I12" s="606">
        <f>VLOOKUP($B12,'Tabel 2'!$AC$4:$BC$872,15,)</f>
        <v>2198.7000000000003</v>
      </c>
      <c r="J12" s="606">
        <f>VLOOKUP($B12,'Tabel 2'!$AC$4:$BC$872,17,)</f>
        <v>1584.8500000000001</v>
      </c>
      <c r="K12" s="606">
        <f>VLOOKUP($B12,'Tabel 2'!$AC$4:$BC$872,19,)</f>
        <v>2396.6999999999998</v>
      </c>
      <c r="L12" s="606">
        <f>VLOOKUP($B12,'Tabel 2'!$AC$4:$BC$872,21,)</f>
        <v>1329.7</v>
      </c>
      <c r="M12" s="606">
        <f>VLOOKUP($B12,'Tabel 2'!$AC$4:$BC$872,23,)</f>
        <v>1327.3999999999999</v>
      </c>
      <c r="N12" s="606">
        <f>VLOOKUP($B12,'Tabel 2'!$AC$4:$BC$872,25,)</f>
        <v>1981.9499999999998</v>
      </c>
      <c r="O12" s="607">
        <f>VLOOKUP($B12,'Tabel 2'!$AC$4:$BC$872,27,)</f>
        <v>1999.6000000000001</v>
      </c>
    </row>
    <row r="13" spans="2:15" ht="15">
      <c r="B13" s="597">
        <f>skemA1!B13</f>
        <v>44717</v>
      </c>
      <c r="C13" s="600">
        <f>VLOOKUP($B13,'Tabel 2'!$AC$4:$BC$872,3,)</f>
        <v>4007.1000000000008</v>
      </c>
      <c r="D13" s="600">
        <f>VLOOKUP($B13,'Tabel 2'!$AC$4:$BC$872,5,)</f>
        <v>2354.5000000000005</v>
      </c>
      <c r="E13" s="600">
        <f>VLOOKUP($B13,'Tabel 2'!$AC$4:$BC$872,7,)</f>
        <v>1652.6000000000001</v>
      </c>
      <c r="F13" s="600">
        <f>VLOOKUP($B13,'Tabel 2'!$AC$4:$BC$872,9,)</f>
        <v>1900.3000000000002</v>
      </c>
      <c r="G13" s="600">
        <f>VLOOKUP($B13,'Tabel 2'!$AC$4:$BC$872,11,)</f>
        <v>2106.8000000000002</v>
      </c>
      <c r="H13" s="600">
        <f>VLOOKUP($B13,'Tabel 2'!$AC$4:$BC$872,13,)</f>
        <v>1879.8000000000004</v>
      </c>
      <c r="I13" s="600">
        <f>VLOOKUP($B13,'Tabel 2'!$AC$4:$BC$872,15,)</f>
        <v>2127.3000000000002</v>
      </c>
      <c r="J13" s="600">
        <f>VLOOKUP($B13,'Tabel 2'!$AC$4:$BC$872,17,)</f>
        <v>1609.9</v>
      </c>
      <c r="K13" s="600">
        <f>VLOOKUP($B13,'Tabel 2'!$AC$4:$BC$872,19,)</f>
        <v>2397.2000000000003</v>
      </c>
      <c r="L13" s="600">
        <f>VLOOKUP($B13,'Tabel 2'!$AC$4:$BC$872,21,)</f>
        <v>1336.4</v>
      </c>
      <c r="M13" s="600">
        <f>VLOOKUP($B13,'Tabel 2'!$AC$4:$BC$872,23,)</f>
        <v>1334.8999999999999</v>
      </c>
      <c r="N13" s="600">
        <f>VLOOKUP($B13,'Tabel 2'!$AC$4:$BC$872,25,)</f>
        <v>1986.2</v>
      </c>
      <c r="O13" s="601">
        <f>VLOOKUP($B13,'Tabel 2'!$AC$4:$BC$872,27,)</f>
        <v>2020.9000000000003</v>
      </c>
    </row>
    <row r="14" spans="2:15" ht="15">
      <c r="B14" s="605">
        <f>skemA1!B14</f>
        <v>44718</v>
      </c>
      <c r="C14" s="606">
        <f>VLOOKUP($B14,'Tabel 2'!$AC$4:$BC$872,3,)</f>
        <v>4012.6000000000004</v>
      </c>
      <c r="D14" s="606">
        <f>VLOOKUP($B14,'Tabel 2'!$AC$4:$BC$872,5,)</f>
        <v>2331.6</v>
      </c>
      <c r="E14" s="606">
        <f>VLOOKUP($B14,'Tabel 2'!$AC$4:$BC$872,7,)</f>
        <v>1681</v>
      </c>
      <c r="F14" s="606">
        <f>VLOOKUP($B14,'Tabel 2'!$AC$4:$BC$872,9,)</f>
        <v>1968.9</v>
      </c>
      <c r="G14" s="606">
        <f>VLOOKUP($B14,'Tabel 2'!$AC$4:$BC$872,11,)</f>
        <v>2043.7</v>
      </c>
      <c r="H14" s="606">
        <f>VLOOKUP($B14,'Tabel 2'!$AC$4:$BC$872,13,)</f>
        <v>1965.6</v>
      </c>
      <c r="I14" s="606">
        <f>VLOOKUP($B14,'Tabel 2'!$AC$4:$BC$872,15,)</f>
        <v>2047.0000000000002</v>
      </c>
      <c r="J14" s="606">
        <f>VLOOKUP($B14,'Tabel 2'!$AC$4:$BC$872,17,)</f>
        <v>1653.8999999999999</v>
      </c>
      <c r="K14" s="606">
        <f>VLOOKUP($B14,'Tabel 2'!$AC$4:$BC$872,19,)</f>
        <v>2358.7000000000003</v>
      </c>
      <c r="L14" s="606">
        <f>VLOOKUP($B14,'Tabel 2'!$AC$4:$BC$872,21,)</f>
        <v>1343.5</v>
      </c>
      <c r="M14" s="606">
        <f>VLOOKUP($B14,'Tabel 2'!$AC$4:$BC$872,23,)</f>
        <v>1333.5000000000002</v>
      </c>
      <c r="N14" s="606">
        <f>VLOOKUP($B14,'Tabel 2'!$AC$4:$BC$872,25,)</f>
        <v>1994.7</v>
      </c>
      <c r="O14" s="607">
        <f>VLOOKUP($B14,'Tabel 2'!$AC$4:$BC$872,27,)</f>
        <v>2017.9</v>
      </c>
    </row>
    <row r="15" spans="2:15" ht="15">
      <c r="B15" s="597">
        <f>skemA1!B15</f>
        <v>44719</v>
      </c>
      <c r="C15" s="600">
        <f>VLOOKUP($B15,'Tabel 2'!$AC$4:$BC$872,3,)</f>
        <v>4016.7</v>
      </c>
      <c r="D15" s="600">
        <f>VLOOKUP($B15,'Tabel 2'!$AC$4:$BC$872,5,)</f>
        <v>2286.7999999999997</v>
      </c>
      <c r="E15" s="600">
        <f>VLOOKUP($B15,'Tabel 2'!$AC$4:$BC$872,7,)</f>
        <v>1729.8999999999999</v>
      </c>
      <c r="F15" s="600">
        <f>VLOOKUP($B15,'Tabel 2'!$AC$4:$BC$872,9,)</f>
        <v>1998.6999999999998</v>
      </c>
      <c r="G15" s="600">
        <f>VLOOKUP($B15,'Tabel 2'!$AC$4:$BC$872,11,)</f>
        <v>2018</v>
      </c>
      <c r="H15" s="600">
        <f>VLOOKUP($B15,'Tabel 2'!$AC$4:$BC$872,13,)</f>
        <v>2028.1</v>
      </c>
      <c r="I15" s="600">
        <f>VLOOKUP($B15,'Tabel 2'!$AC$4:$BC$872,15,)</f>
        <v>1988.6000000000004</v>
      </c>
      <c r="J15" s="600">
        <f>VLOOKUP($B15,'Tabel 2'!$AC$4:$BC$872,17,)</f>
        <v>1725.4</v>
      </c>
      <c r="K15" s="600">
        <f>VLOOKUP($B15,'Tabel 2'!$AC$4:$BC$872,19,)</f>
        <v>2291.3000000000002</v>
      </c>
      <c r="L15" s="600">
        <f>VLOOKUP($B15,'Tabel 2'!$AC$4:$BC$872,21,)</f>
        <v>1338.7</v>
      </c>
      <c r="M15" s="600">
        <f>VLOOKUP($B15,'Tabel 2'!$AC$4:$BC$872,23,)</f>
        <v>1339.8</v>
      </c>
      <c r="N15" s="600">
        <f>VLOOKUP($B15,'Tabel 2'!$AC$4:$BC$872,25,)</f>
        <v>2004.4</v>
      </c>
      <c r="O15" s="601">
        <f>VLOOKUP($B15,'Tabel 2'!$AC$4:$BC$872,27,)</f>
        <v>2012.3000000000002</v>
      </c>
    </row>
    <row r="16" spans="2:15" ht="15">
      <c r="B16" s="605">
        <f>skemA1!B16</f>
        <v>44720</v>
      </c>
      <c r="C16" s="606">
        <f>VLOOKUP($B16,'Tabel 2'!$AC$4:$BC$872,3,)</f>
        <v>4016.7000000000007</v>
      </c>
      <c r="D16" s="606">
        <f>VLOOKUP($B16,'Tabel 2'!$AC$4:$BC$872,5,)</f>
        <v>2224.5</v>
      </c>
      <c r="E16" s="606">
        <f>VLOOKUP($B16,'Tabel 2'!$AC$4:$BC$872,7,)</f>
        <v>1792.2</v>
      </c>
      <c r="F16" s="606">
        <f>VLOOKUP($B16,'Tabel 2'!$AC$4:$BC$872,9,)</f>
        <v>2025.4999999999998</v>
      </c>
      <c r="G16" s="606">
        <f>VLOOKUP($B16,'Tabel 2'!$AC$4:$BC$872,11,)</f>
        <v>1991.2</v>
      </c>
      <c r="H16" s="606">
        <f>VLOOKUP($B16,'Tabel 2'!$AC$4:$BC$872,13,)</f>
        <v>2071.6000000000004</v>
      </c>
      <c r="I16" s="606">
        <f>VLOOKUP($B16,'Tabel 2'!$AC$4:$BC$872,15,)</f>
        <v>1945.1</v>
      </c>
      <c r="J16" s="606">
        <f>VLOOKUP($B16,'Tabel 2'!$AC$4:$BC$872,17,)</f>
        <v>1839.1</v>
      </c>
      <c r="K16" s="606">
        <f>VLOOKUP($B16,'Tabel 2'!$AC$4:$BC$872,19,)</f>
        <v>2177.6000000000004</v>
      </c>
      <c r="L16" s="606">
        <f>VLOOKUP($B16,'Tabel 2'!$AC$4:$BC$872,21,)</f>
        <v>1334.2</v>
      </c>
      <c r="M16" s="606">
        <f>VLOOKUP($B16,'Tabel 2'!$AC$4:$BC$872,23,)</f>
        <v>1345.5</v>
      </c>
      <c r="N16" s="606">
        <f>VLOOKUP($B16,'Tabel 2'!$AC$4:$BC$872,25,)</f>
        <v>2004.3999999999999</v>
      </c>
      <c r="O16" s="607">
        <f>VLOOKUP($B16,'Tabel 2'!$AC$4:$BC$872,27,)</f>
        <v>2012.3</v>
      </c>
    </row>
    <row r="17" spans="2:15" ht="15">
      <c r="B17" s="597">
        <f>skemA1!B17</f>
        <v>44721</v>
      </c>
      <c r="C17" s="600">
        <f>VLOOKUP($B17,'Tabel 2'!$AC$4:$BC$872,3,)</f>
        <v>3950.2000000000007</v>
      </c>
      <c r="D17" s="600">
        <f>VLOOKUP($B17,'Tabel 2'!$AC$4:$BC$872,5,)</f>
        <v>2132.1000000000004</v>
      </c>
      <c r="E17" s="600">
        <f>VLOOKUP($B17,'Tabel 2'!$AC$4:$BC$872,7,)</f>
        <v>1818.1000000000004</v>
      </c>
      <c r="F17" s="600">
        <f>VLOOKUP($B17,'Tabel 2'!$AC$4:$BC$872,9,)</f>
        <v>1945.3000000000002</v>
      </c>
      <c r="G17" s="600">
        <f>VLOOKUP($B17,'Tabel 2'!$AC$4:$BC$872,11,)</f>
        <v>2004.9000000000003</v>
      </c>
      <c r="H17" s="600">
        <f>VLOOKUP($B17,'Tabel 2'!$AC$4:$BC$872,13,)</f>
        <v>2027.6000000000004</v>
      </c>
      <c r="I17" s="600">
        <f>VLOOKUP($B17,'Tabel 2'!$AC$4:$BC$872,15,)</f>
        <v>1922.6</v>
      </c>
      <c r="J17" s="600">
        <f>VLOOKUP($B17,'Tabel 2'!$AC$4:$BC$872,17,)</f>
        <v>1928.2000000000003</v>
      </c>
      <c r="K17" s="600">
        <f>VLOOKUP($B17,'Tabel 2'!$AC$4:$BC$872,19,)</f>
        <v>2022.0000000000005</v>
      </c>
      <c r="L17" s="600">
        <f>VLOOKUP($B17,'Tabel 2'!$AC$4:$BC$872,21,)</f>
        <v>1320.3</v>
      </c>
      <c r="M17" s="600">
        <f>VLOOKUP($B17,'Tabel 2'!$AC$4:$BC$872,23,)</f>
        <v>1314.8</v>
      </c>
      <c r="N17" s="600">
        <f>VLOOKUP($B17,'Tabel 2'!$AC$4:$BC$872,25,)</f>
        <v>1970.8000000000002</v>
      </c>
      <c r="O17" s="601">
        <f>VLOOKUP($B17,'Tabel 2'!$AC$4:$BC$872,27,)</f>
        <v>1979.4</v>
      </c>
    </row>
    <row r="18" spans="2:15" ht="15">
      <c r="B18" s="605">
        <f>skemA1!B18</f>
        <v>44722</v>
      </c>
      <c r="C18" s="606">
        <f>VLOOKUP($B18,'Tabel 2'!$AC$4:$BC$872,3,)</f>
        <v>3946.3000000000006</v>
      </c>
      <c r="D18" s="606">
        <f>VLOOKUP($B18,'Tabel 2'!$AC$4:$BC$872,5,)</f>
        <v>2079.9</v>
      </c>
      <c r="E18" s="606">
        <f>VLOOKUP($B18,'Tabel 2'!$AC$4:$BC$872,7,)</f>
        <v>1866.3999999999996</v>
      </c>
      <c r="F18" s="606">
        <f>VLOOKUP($B18,'Tabel 2'!$AC$4:$BC$872,9,)</f>
        <v>1899.9999999999998</v>
      </c>
      <c r="G18" s="606">
        <f>VLOOKUP($B18,'Tabel 2'!$AC$4:$BC$872,11,)</f>
        <v>2046.3</v>
      </c>
      <c r="H18" s="606">
        <f>VLOOKUP($B18,'Tabel 2'!$AC$4:$BC$872,13,)</f>
        <v>1998.3999999999996</v>
      </c>
      <c r="I18" s="606">
        <f>VLOOKUP($B18,'Tabel 2'!$AC$4:$BC$872,15,)</f>
        <v>1947.9</v>
      </c>
      <c r="J18" s="606">
        <f>VLOOKUP($B18,'Tabel 2'!$AC$4:$BC$872,17,)</f>
        <v>2052</v>
      </c>
      <c r="K18" s="606">
        <f>VLOOKUP($B18,'Tabel 2'!$AC$4:$BC$872,19,)</f>
        <v>1894.3</v>
      </c>
      <c r="L18" s="606">
        <f>VLOOKUP($B18,'Tabel 2'!$AC$4:$BC$872,21,)</f>
        <v>1310.0999999999999</v>
      </c>
      <c r="M18" s="606">
        <f>VLOOKUP($B18,'Tabel 2'!$AC$4:$BC$872,23,)</f>
        <v>1319.7999999999997</v>
      </c>
      <c r="N18" s="606">
        <f>VLOOKUP($B18,'Tabel 2'!$AC$4:$BC$872,25,)</f>
        <v>1974.9</v>
      </c>
      <c r="O18" s="607">
        <f>VLOOKUP($B18,'Tabel 2'!$AC$4:$BC$872,27,)</f>
        <v>1971.3999999999999</v>
      </c>
    </row>
    <row r="19" spans="2:15" ht="15">
      <c r="B19" s="597">
        <f>skemA1!B19</f>
        <v>44723</v>
      </c>
      <c r="C19" s="600">
        <f>VLOOKUP($B19,'Tabel 2'!$AC$4:$BC$872,3,)</f>
        <v>3973.7000000000016</v>
      </c>
      <c r="D19" s="600">
        <f>VLOOKUP($B19,'Tabel 2'!$AC$4:$BC$872,5,)</f>
        <v>2041.3999999999999</v>
      </c>
      <c r="E19" s="600">
        <f>VLOOKUP($B19,'Tabel 2'!$AC$4:$BC$872,7,)</f>
        <v>1932.2999999999997</v>
      </c>
      <c r="F19" s="600">
        <f>VLOOKUP($B19,'Tabel 2'!$AC$4:$BC$872,9,)</f>
        <v>1805.7999999999997</v>
      </c>
      <c r="G19" s="600">
        <f>VLOOKUP($B19,'Tabel 2'!$AC$4:$BC$872,11,)</f>
        <v>2167.9</v>
      </c>
      <c r="H19" s="600">
        <f>VLOOKUP($B19,'Tabel 2'!$AC$4:$BC$872,13,)</f>
        <v>1908.2999999999997</v>
      </c>
      <c r="I19" s="600">
        <f>VLOOKUP($B19,'Tabel 2'!$AC$4:$BC$872,15,)</f>
        <v>2065.4</v>
      </c>
      <c r="J19" s="600">
        <f>VLOOKUP($B19,'Tabel 2'!$AC$4:$BC$872,17,)</f>
        <v>2152.5</v>
      </c>
      <c r="K19" s="600">
        <f>VLOOKUP($B19,'Tabel 2'!$AC$4:$BC$872,19,)</f>
        <v>1821.1999999999996</v>
      </c>
      <c r="L19" s="600">
        <f>VLOOKUP($B19,'Tabel 2'!$AC$4:$BC$872,21,)</f>
        <v>1329.6000000000001</v>
      </c>
      <c r="M19" s="600">
        <f>VLOOKUP($B19,'Tabel 2'!$AC$4:$BC$872,23,)</f>
        <v>1320.4999999999998</v>
      </c>
      <c r="N19" s="600">
        <f>VLOOKUP($B19,'Tabel 2'!$AC$4:$BC$872,25,)</f>
        <v>1998.8999999999999</v>
      </c>
      <c r="O19" s="601">
        <f>VLOOKUP($B19,'Tabel 2'!$AC$4:$BC$872,27,)</f>
        <v>1974.7999999999997</v>
      </c>
    </row>
    <row r="20" spans="2:15" ht="15">
      <c r="B20" s="605">
        <f>skemA1!B20</f>
        <v>44724</v>
      </c>
      <c r="C20" s="606">
        <f>VLOOKUP($B20,'Tabel 2'!$AC$4:$BC$872,3,)</f>
        <v>3953.1</v>
      </c>
      <c r="D20" s="606">
        <f>VLOOKUP($B20,'Tabel 2'!$AC$4:$BC$872,5,)</f>
        <v>2007.2</v>
      </c>
      <c r="E20" s="606">
        <f>VLOOKUP($B20,'Tabel 2'!$AC$4:$BC$872,7,)</f>
        <v>1945.8999999999999</v>
      </c>
      <c r="F20" s="606">
        <f>VLOOKUP($B20,'Tabel 2'!$AC$4:$BC$872,9,)</f>
        <v>1668.0999999999997</v>
      </c>
      <c r="G20" s="606">
        <f>VLOOKUP($B20,'Tabel 2'!$AC$4:$BC$872,11,)</f>
        <v>2285</v>
      </c>
      <c r="H20" s="606">
        <f>VLOOKUP($B20,'Tabel 2'!$AC$4:$BC$872,13,)</f>
        <v>1773.2</v>
      </c>
      <c r="I20" s="606">
        <f>VLOOKUP($B20,'Tabel 2'!$AC$4:$BC$872,15,)</f>
        <v>2179.9</v>
      </c>
      <c r="J20" s="606">
        <f>VLOOKUP($B20,'Tabel 2'!$AC$4:$BC$872,17,)</f>
        <v>2193</v>
      </c>
      <c r="K20" s="606">
        <f>VLOOKUP($B20,'Tabel 2'!$AC$4:$BC$872,19,)</f>
        <v>1760.0999999999997</v>
      </c>
      <c r="L20" s="606">
        <f>VLOOKUP($B20,'Tabel 2'!$AC$4:$BC$872,21,)</f>
        <v>1319.9</v>
      </c>
      <c r="M20" s="606">
        <f>VLOOKUP($B20,'Tabel 2'!$AC$4:$BC$872,23,)</f>
        <v>1314.1</v>
      </c>
      <c r="N20" s="606">
        <f>VLOOKUP($B20,'Tabel 2'!$AC$4:$BC$872,25,)</f>
        <v>1994.1</v>
      </c>
      <c r="O20" s="607">
        <f>VLOOKUP($B20,'Tabel 2'!$AC$4:$BC$872,27,)</f>
        <v>1959</v>
      </c>
    </row>
    <row r="21" spans="2:15" ht="15">
      <c r="B21" s="597">
        <f>skemA1!B21</f>
        <v>44725</v>
      </c>
      <c r="C21" s="600">
        <f>VLOOKUP($B21,'Tabel 2'!$AC$4:$BC$872,3,)</f>
        <v>3997.7</v>
      </c>
      <c r="D21" s="600">
        <f>VLOOKUP($B21,'Tabel 2'!$AC$4:$BC$872,5,)</f>
        <v>2072.5</v>
      </c>
      <c r="E21" s="600">
        <f>VLOOKUP($B21,'Tabel 2'!$AC$4:$BC$872,7,)</f>
        <v>1925.2</v>
      </c>
      <c r="F21" s="600">
        <f>VLOOKUP($B21,'Tabel 2'!$AC$4:$BC$872,9,)</f>
        <v>1579.3999999999999</v>
      </c>
      <c r="G21" s="600">
        <f>VLOOKUP($B21,'Tabel 2'!$AC$4:$BC$872,11,)</f>
        <v>2418.2999999999997</v>
      </c>
      <c r="H21" s="600">
        <f>VLOOKUP($B21,'Tabel 2'!$AC$4:$BC$872,13,)</f>
        <v>1683.5</v>
      </c>
      <c r="I21" s="600">
        <f>VLOOKUP($B21,'Tabel 2'!$AC$4:$BC$872,15,)</f>
        <v>2314.1999999999998</v>
      </c>
      <c r="J21" s="600">
        <f>VLOOKUP($B21,'Tabel 2'!$AC$4:$BC$872,17,)</f>
        <v>2170.6000000000004</v>
      </c>
      <c r="K21" s="600">
        <f>VLOOKUP($B21,'Tabel 2'!$AC$4:$BC$872,19,)</f>
        <v>1827.1</v>
      </c>
      <c r="L21" s="600">
        <f>VLOOKUP($B21,'Tabel 2'!$AC$4:$BC$872,21,)</f>
        <v>1326.7</v>
      </c>
      <c r="M21" s="600">
        <f>VLOOKUP($B21,'Tabel 2'!$AC$4:$BC$872,23,)</f>
        <v>1336</v>
      </c>
      <c r="N21" s="600">
        <f>VLOOKUP($B21,'Tabel 2'!$AC$4:$BC$872,25,)</f>
        <v>2026.4</v>
      </c>
      <c r="O21" s="601">
        <f>VLOOKUP($B21,'Tabel 2'!$AC$4:$BC$872,27,)</f>
        <v>1971.3000000000002</v>
      </c>
    </row>
    <row r="22" spans="2:15" ht="15">
      <c r="B22" s="605">
        <f>skemA1!B22</f>
        <v>44726</v>
      </c>
      <c r="C22" s="606">
        <f>VLOOKUP($B22,'Tabel 2'!$AC$4:$BC$872,3,)</f>
        <v>3984.9999999999995</v>
      </c>
      <c r="D22" s="606">
        <f>VLOOKUP($B22,'Tabel 2'!$AC$4:$BC$872,5,)</f>
        <v>2139.1</v>
      </c>
      <c r="E22" s="606">
        <f>VLOOKUP($B22,'Tabel 2'!$AC$4:$BC$872,7,)</f>
        <v>1845.9</v>
      </c>
      <c r="F22" s="606">
        <f>VLOOKUP($B22,'Tabel 2'!$AC$4:$BC$872,9,)</f>
        <v>1502.1</v>
      </c>
      <c r="G22" s="606">
        <f>VLOOKUP($B22,'Tabel 2'!$AC$4:$BC$872,11,)</f>
        <v>2482.8999999999996</v>
      </c>
      <c r="H22" s="606">
        <f>VLOOKUP($B22,'Tabel 2'!$AC$4:$BC$872,13,)</f>
        <v>1607.3</v>
      </c>
      <c r="I22" s="606">
        <f>VLOOKUP($B22,'Tabel 2'!$AC$4:$BC$872,15,)</f>
        <v>2377.7000000000003</v>
      </c>
      <c r="J22" s="606">
        <f>VLOOKUP($B22,'Tabel 2'!$AC$4:$BC$872,17,)</f>
        <v>2068.3999999999996</v>
      </c>
      <c r="K22" s="606">
        <f>VLOOKUP($B22,'Tabel 2'!$AC$4:$BC$872,19,)</f>
        <v>1916.6000000000001</v>
      </c>
      <c r="L22" s="606">
        <f>VLOOKUP($B22,'Tabel 2'!$AC$4:$BC$872,21,)</f>
        <v>1314.7</v>
      </c>
      <c r="M22" s="606">
        <f>VLOOKUP($B22,'Tabel 2'!$AC$4:$BC$872,23,)</f>
        <v>1340.1000000000001</v>
      </c>
      <c r="N22" s="606">
        <f>VLOOKUP($B22,'Tabel 2'!$AC$4:$BC$872,25,)</f>
        <v>2007.9000000000003</v>
      </c>
      <c r="O22" s="607">
        <f>VLOOKUP($B22,'Tabel 2'!$AC$4:$BC$872,27,)</f>
        <v>1977.1</v>
      </c>
    </row>
    <row r="23" spans="2:15" ht="15">
      <c r="B23" s="597">
        <f>skemA1!B23</f>
        <v>44727</v>
      </c>
      <c r="C23" s="600">
        <f>VLOOKUP($B23,'Tabel 2'!$AC$4:$BC$872,3,)</f>
        <v>3998.9</v>
      </c>
      <c r="D23" s="600">
        <f>VLOOKUP($B23,'Tabel 2'!$AC$4:$BC$872,5,)</f>
        <v>2240.6999999999998</v>
      </c>
      <c r="E23" s="600">
        <f>VLOOKUP($B23,'Tabel 2'!$AC$4:$BC$872,7,)</f>
        <v>1758.1999999999998</v>
      </c>
      <c r="F23" s="600">
        <f>VLOOKUP($B23,'Tabel 2'!$AC$4:$BC$872,9,)</f>
        <v>1498.6</v>
      </c>
      <c r="G23" s="600">
        <f>VLOOKUP($B23,'Tabel 2'!$AC$4:$BC$872,11,)</f>
        <v>2500.3000000000002</v>
      </c>
      <c r="H23" s="600">
        <f>VLOOKUP($B23,'Tabel 2'!$AC$4:$BC$872,13,)</f>
        <v>1585.1999999999998</v>
      </c>
      <c r="I23" s="600">
        <f>VLOOKUP($B23,'Tabel 2'!$AC$4:$BC$872,15,)</f>
        <v>2413.7000000000003</v>
      </c>
      <c r="J23" s="600">
        <f>VLOOKUP($B23,'Tabel 2'!$AC$4:$BC$872,17,)</f>
        <v>1946.2</v>
      </c>
      <c r="K23" s="600">
        <f>VLOOKUP($B23,'Tabel 2'!$AC$4:$BC$872,19,)</f>
        <v>2052.6999999999998</v>
      </c>
      <c r="L23" s="600">
        <f>VLOOKUP($B23,'Tabel 2'!$AC$4:$BC$872,21,)</f>
        <v>1322.7</v>
      </c>
      <c r="M23" s="600">
        <f>VLOOKUP($B23,'Tabel 2'!$AC$4:$BC$872,23,)</f>
        <v>1340.6999999999998</v>
      </c>
      <c r="N23" s="600">
        <f>VLOOKUP($B23,'Tabel 2'!$AC$4:$BC$872,25,)</f>
        <v>1998.2999999999997</v>
      </c>
      <c r="O23" s="601">
        <f>VLOOKUP($B23,'Tabel 2'!$AC$4:$BC$872,27,)</f>
        <v>2000.6</v>
      </c>
    </row>
    <row r="24" spans="2:15" ht="15">
      <c r="B24" s="605">
        <f>skemA1!B24</f>
        <v>44728</v>
      </c>
      <c r="C24" s="606">
        <f>VLOOKUP($B24,'Tabel 2'!$AC$4:$BC$872,3,)</f>
        <v>3976.8</v>
      </c>
      <c r="D24" s="606">
        <f>VLOOKUP($B24,'Tabel 2'!$AC$4:$BC$872,5,)</f>
        <v>2350.1999999999998</v>
      </c>
      <c r="E24" s="606">
        <f>VLOOKUP($B24,'Tabel 2'!$AC$4:$BC$872,7,)</f>
        <v>1626.6</v>
      </c>
      <c r="F24" s="606">
        <f>VLOOKUP($B24,'Tabel 2'!$AC$4:$BC$872,9,)</f>
        <v>1555.9</v>
      </c>
      <c r="G24" s="606">
        <f>VLOOKUP($B24,'Tabel 2'!$AC$4:$BC$872,11,)</f>
        <v>2420.9</v>
      </c>
      <c r="H24" s="606">
        <f>VLOOKUP($B24,'Tabel 2'!$AC$4:$BC$872,13,)</f>
        <v>1583.2</v>
      </c>
      <c r="I24" s="606">
        <f>VLOOKUP($B24,'Tabel 2'!$AC$4:$BC$872,15,)</f>
        <v>2393.6</v>
      </c>
      <c r="J24" s="606">
        <f>VLOOKUP($B24,'Tabel 2'!$AC$4:$BC$872,17,)</f>
        <v>1814.1000000000001</v>
      </c>
      <c r="K24" s="606">
        <f>VLOOKUP($B24,'Tabel 2'!$AC$4:$BC$872,19,)</f>
        <v>2162.7000000000003</v>
      </c>
      <c r="L24" s="606">
        <f>VLOOKUP($B24,'Tabel 2'!$AC$4:$BC$872,21,)</f>
        <v>1328.9</v>
      </c>
      <c r="M24" s="606">
        <f>VLOOKUP($B24,'Tabel 2'!$AC$4:$BC$872,23,)</f>
        <v>1319.2</v>
      </c>
      <c r="N24" s="606">
        <f>VLOOKUP($B24,'Tabel 2'!$AC$4:$BC$872,25,)</f>
        <v>1985.3000000000002</v>
      </c>
      <c r="O24" s="607">
        <f>VLOOKUP($B24,'Tabel 2'!$AC$4:$BC$872,27,)</f>
        <v>1991.5</v>
      </c>
    </row>
    <row r="25" spans="2:15" ht="15">
      <c r="B25" s="597">
        <f>skemA1!B25</f>
        <v>44729</v>
      </c>
      <c r="C25" s="600">
        <f>VLOOKUP($B25,'Tabel 2'!$AC$4:$BC$872,3,)</f>
        <v>4022.4</v>
      </c>
      <c r="D25" s="600">
        <f>VLOOKUP($B25,'Tabel 2'!$AC$4:$BC$872,5,)</f>
        <v>2440.5000000000005</v>
      </c>
      <c r="E25" s="600">
        <f>VLOOKUP($B25,'Tabel 2'!$AC$4:$BC$872,7,)</f>
        <v>1581.9</v>
      </c>
      <c r="F25" s="600">
        <f>VLOOKUP($B25,'Tabel 2'!$AC$4:$BC$872,9,)</f>
        <v>1705.6</v>
      </c>
      <c r="G25" s="600">
        <f>VLOOKUP($B25,'Tabel 2'!$AC$4:$BC$872,11,)</f>
        <v>2316.8000000000002</v>
      </c>
      <c r="H25" s="600">
        <f>VLOOKUP($B25,'Tabel 2'!$AC$4:$BC$872,13,)</f>
        <v>1677.8000000000004</v>
      </c>
      <c r="I25" s="600">
        <f>VLOOKUP($B25,'Tabel 2'!$AC$4:$BC$872,15,)</f>
        <v>2344.6000000000004</v>
      </c>
      <c r="J25" s="600">
        <f>VLOOKUP($B25,'Tabel 2'!$AC$4:$BC$872,17,)</f>
        <v>1708.7000000000003</v>
      </c>
      <c r="K25" s="600">
        <f>VLOOKUP($B25,'Tabel 2'!$AC$4:$BC$872,19,)</f>
        <v>2313.6999999999998</v>
      </c>
      <c r="L25" s="600">
        <f>VLOOKUP($B25,'Tabel 2'!$AC$4:$BC$872,21,)</f>
        <v>1344.4</v>
      </c>
      <c r="M25" s="600">
        <f>VLOOKUP($B25,'Tabel 2'!$AC$4:$BC$872,23,)</f>
        <v>1337.7</v>
      </c>
      <c r="N25" s="600">
        <f>VLOOKUP($B25,'Tabel 2'!$AC$4:$BC$872,25,)</f>
        <v>2007.1000000000001</v>
      </c>
      <c r="O25" s="601">
        <f>VLOOKUP($B25,'Tabel 2'!$AC$4:$BC$872,27,)</f>
        <v>2015.3000000000002</v>
      </c>
    </row>
    <row r="26" spans="2:15" ht="15">
      <c r="B26" s="605">
        <f>skemA1!B26</f>
        <v>44730</v>
      </c>
      <c r="C26" s="606">
        <f>VLOOKUP($B26,'Tabel 2'!$AC$4:$BC$872,3,)</f>
        <v>4030.3</v>
      </c>
      <c r="D26" s="606">
        <f>VLOOKUP($B26,'Tabel 2'!$AC$4:$BC$872,5,)</f>
        <v>2447.6999999999998</v>
      </c>
      <c r="E26" s="606">
        <f>VLOOKUP($B26,'Tabel 2'!$AC$4:$BC$872,7,)</f>
        <v>1582.6</v>
      </c>
      <c r="F26" s="606">
        <f>VLOOKUP($B26,'Tabel 2'!$AC$4:$BC$872,9,)</f>
        <v>1841.8999999999999</v>
      </c>
      <c r="G26" s="606">
        <f>VLOOKUP($B26,'Tabel 2'!$AC$4:$BC$872,11,)</f>
        <v>2188.4</v>
      </c>
      <c r="H26" s="606">
        <f>VLOOKUP($B26,'Tabel 2'!$AC$4:$BC$872,13,)</f>
        <v>1797</v>
      </c>
      <c r="I26" s="606">
        <f>VLOOKUP($B26,'Tabel 2'!$AC$4:$BC$872,15,)</f>
        <v>2233.3000000000002</v>
      </c>
      <c r="J26" s="606">
        <f>VLOOKUP($B26,'Tabel 2'!$AC$4:$BC$872,17,)</f>
        <v>1633.9</v>
      </c>
      <c r="K26" s="606">
        <f>VLOOKUP($B26,'Tabel 2'!$AC$4:$BC$872,19,)</f>
        <v>2396.4</v>
      </c>
      <c r="L26" s="606">
        <f>VLOOKUP($B26,'Tabel 2'!$AC$4:$BC$872,21,)</f>
        <v>1350.1000000000001</v>
      </c>
      <c r="M26" s="606">
        <f>VLOOKUP($B26,'Tabel 2'!$AC$4:$BC$872,23,)</f>
        <v>1331</v>
      </c>
      <c r="N26" s="606">
        <f>VLOOKUP($B26,'Tabel 2'!$AC$4:$BC$872,25,)</f>
        <v>1992.4000000000003</v>
      </c>
      <c r="O26" s="607">
        <f>VLOOKUP($B26,'Tabel 2'!$AC$4:$BC$872,27,)</f>
        <v>2037.8999999999999</v>
      </c>
    </row>
    <row r="27" spans="2:15" ht="15">
      <c r="B27" s="597">
        <f>skemA1!B27</f>
        <v>44731</v>
      </c>
      <c r="C27" s="600">
        <f>VLOOKUP($B27,'Tabel 2'!$AC$4:$BC$872,3,)</f>
        <v>4014.1</v>
      </c>
      <c r="D27" s="600">
        <f>VLOOKUP($B27,'Tabel 2'!$AC$4:$BC$872,5,)</f>
        <v>2407.6999999999998</v>
      </c>
      <c r="E27" s="600">
        <f>VLOOKUP($B27,'Tabel 2'!$AC$4:$BC$872,7,)</f>
        <v>1606.4</v>
      </c>
      <c r="F27" s="600">
        <f>VLOOKUP($B27,'Tabel 2'!$AC$4:$BC$872,9,)</f>
        <v>1935.9</v>
      </c>
      <c r="G27" s="600">
        <f>VLOOKUP($B27,'Tabel 2'!$AC$4:$BC$872,11,)</f>
        <v>2078.2000000000003</v>
      </c>
      <c r="H27" s="600">
        <f>VLOOKUP($B27,'Tabel 2'!$AC$4:$BC$872,13,)</f>
        <v>1895.5</v>
      </c>
      <c r="I27" s="600">
        <f>VLOOKUP($B27,'Tabel 2'!$AC$4:$BC$872,15,)</f>
        <v>2118.6000000000004</v>
      </c>
      <c r="J27" s="600">
        <f>VLOOKUP($B27,'Tabel 2'!$AC$4:$BC$872,17,)</f>
        <v>1572.9</v>
      </c>
      <c r="K27" s="600">
        <f>VLOOKUP($B27,'Tabel 2'!$AC$4:$BC$872,19,)</f>
        <v>2441.1999999999998</v>
      </c>
      <c r="L27" s="600">
        <f>VLOOKUP($B27,'Tabel 2'!$AC$4:$BC$872,21,)</f>
        <v>1350.6000000000001</v>
      </c>
      <c r="M27" s="600">
        <f>VLOOKUP($B27,'Tabel 2'!$AC$4:$BC$872,23,)</f>
        <v>1324.8</v>
      </c>
      <c r="N27" s="600">
        <f>VLOOKUP($B27,'Tabel 2'!$AC$4:$BC$872,25,)</f>
        <v>2006.9</v>
      </c>
      <c r="O27" s="601">
        <f>VLOOKUP($B27,'Tabel 2'!$AC$4:$BC$872,27,)</f>
        <v>2007.1999999999998</v>
      </c>
    </row>
    <row r="28" spans="2:15" ht="15">
      <c r="B28" s="605">
        <f>skemA1!B28</f>
        <v>44732</v>
      </c>
      <c r="C28" s="606">
        <f>VLOOKUP($B28,'Tabel 2'!$AC$4:$BC$872,3,)</f>
        <v>4074.3999999999996</v>
      </c>
      <c r="D28" s="606">
        <f>VLOOKUP($B28,'Tabel 2'!$AC$4:$BC$872,5,)</f>
        <v>2361.3999999999996</v>
      </c>
      <c r="E28" s="606">
        <f>VLOOKUP($B28,'Tabel 2'!$AC$4:$BC$872,7,)</f>
        <v>1713</v>
      </c>
      <c r="F28" s="606">
        <f>VLOOKUP($B28,'Tabel 2'!$AC$4:$BC$872,9,)</f>
        <v>2017.8000000000002</v>
      </c>
      <c r="G28" s="606">
        <f>VLOOKUP($B28,'Tabel 2'!$AC$4:$BC$872,11,)</f>
        <v>2056.6</v>
      </c>
      <c r="H28" s="606">
        <f>VLOOKUP($B28,'Tabel 2'!$AC$4:$BC$872,13,)</f>
        <v>2051.3000000000002</v>
      </c>
      <c r="I28" s="606">
        <f>VLOOKUP($B28,'Tabel 2'!$AC$4:$BC$872,15,)</f>
        <v>2023.1000000000001</v>
      </c>
      <c r="J28" s="606">
        <f>VLOOKUP($B28,'Tabel 2'!$AC$4:$BC$872,17,)</f>
        <v>1631.2</v>
      </c>
      <c r="K28" s="606">
        <f>VLOOKUP($B28,'Tabel 2'!$AC$4:$BC$872,19,)</f>
        <v>2443.1999999999998</v>
      </c>
      <c r="L28" s="606">
        <f>VLOOKUP($B28,'Tabel 2'!$AC$4:$BC$872,21,)</f>
        <v>1361.9</v>
      </c>
      <c r="M28" s="606">
        <f>VLOOKUP($B28,'Tabel 2'!$AC$4:$BC$872,23,)</f>
        <v>1355.2</v>
      </c>
      <c r="N28" s="606">
        <f>VLOOKUP($B28,'Tabel 2'!$AC$4:$BC$872,25,)</f>
        <v>2044.4999999999998</v>
      </c>
      <c r="O28" s="607">
        <f>VLOOKUP($B28,'Tabel 2'!$AC$4:$BC$872,27,)</f>
        <v>2029.9000000000003</v>
      </c>
    </row>
    <row r="29" spans="2:15" ht="15">
      <c r="B29" s="597">
        <f>skemA1!B29</f>
        <v>44733</v>
      </c>
      <c r="C29" s="600">
        <f>VLOOKUP($B29,'Tabel 2'!$AC$4:$BC$872,3,)</f>
        <v>4061.5</v>
      </c>
      <c r="D29" s="600">
        <f>VLOOKUP($B29,'Tabel 2'!$AC$4:$BC$872,5,)</f>
        <v>2283.6999999999998</v>
      </c>
      <c r="E29" s="600">
        <f>VLOOKUP($B29,'Tabel 2'!$AC$4:$BC$872,7,)</f>
        <v>1777.8</v>
      </c>
      <c r="F29" s="600">
        <f>VLOOKUP($B29,'Tabel 2'!$AC$4:$BC$872,9,)</f>
        <v>2004</v>
      </c>
      <c r="G29" s="600">
        <f>VLOOKUP($B29,'Tabel 2'!$AC$4:$BC$872,11,)</f>
        <v>2057.5</v>
      </c>
      <c r="H29" s="600">
        <f>VLOOKUP($B29,'Tabel 2'!$AC$4:$BC$872,13,)</f>
        <v>2144.7000000000003</v>
      </c>
      <c r="I29" s="600">
        <f>VLOOKUP($B29,'Tabel 2'!$AC$4:$BC$872,15,)</f>
        <v>1916.8</v>
      </c>
      <c r="J29" s="600">
        <f>VLOOKUP($B29,'Tabel 2'!$AC$4:$BC$872,17,)</f>
        <v>1721.8000000000002</v>
      </c>
      <c r="K29" s="600">
        <f>VLOOKUP($B29,'Tabel 2'!$AC$4:$BC$872,19,)</f>
        <v>2339.6999999999998</v>
      </c>
      <c r="L29" s="600">
        <f>VLOOKUP($B29,'Tabel 2'!$AC$4:$BC$872,21,)</f>
        <v>1344.9</v>
      </c>
      <c r="M29" s="600">
        <f>VLOOKUP($B29,'Tabel 2'!$AC$4:$BC$872,23,)</f>
        <v>1358.6999999999998</v>
      </c>
      <c r="N29" s="600">
        <f>VLOOKUP($B29,'Tabel 2'!$AC$4:$BC$872,25,)</f>
        <v>2032.8000000000002</v>
      </c>
      <c r="O29" s="601">
        <f>VLOOKUP($B29,'Tabel 2'!$AC$4:$BC$872,27,)</f>
        <v>2028.6999999999998</v>
      </c>
    </row>
    <row r="30" spans="2:15" ht="15">
      <c r="B30" s="605">
        <f>skemA1!B30</f>
        <v>44734</v>
      </c>
      <c r="C30" s="606">
        <f>VLOOKUP($B30,'Tabel 2'!$AC$4:$BC$872,3,)</f>
        <v>3990.7000000000003</v>
      </c>
      <c r="D30" s="606">
        <f>VLOOKUP($B30,'Tabel 2'!$AC$4:$BC$872,5,)</f>
        <v>2187.2000000000003</v>
      </c>
      <c r="E30" s="606">
        <f>VLOOKUP($B30,'Tabel 2'!$AC$4:$BC$872,7,)</f>
        <v>1803.5</v>
      </c>
      <c r="F30" s="606">
        <f>VLOOKUP($B30,'Tabel 2'!$AC$4:$BC$872,9,)</f>
        <v>1914.8999999999996</v>
      </c>
      <c r="G30" s="606">
        <f>VLOOKUP($B30,'Tabel 2'!$AC$4:$BC$872,11,)</f>
        <v>2075.8000000000002</v>
      </c>
      <c r="H30" s="606">
        <f>VLOOKUP($B30,'Tabel 2'!$AC$4:$BC$872,13,)</f>
        <v>2168</v>
      </c>
      <c r="I30" s="606">
        <f>VLOOKUP($B30,'Tabel 2'!$AC$4:$BC$872,15,)</f>
        <v>1822.7000000000005</v>
      </c>
      <c r="J30" s="606">
        <f>VLOOKUP($B30,'Tabel 2'!$AC$4:$BC$872,17,)</f>
        <v>1817.0000000000002</v>
      </c>
      <c r="K30" s="606">
        <f>VLOOKUP($B30,'Tabel 2'!$AC$4:$BC$872,19,)</f>
        <v>2173.6999999999998</v>
      </c>
      <c r="L30" s="606">
        <f>VLOOKUP($B30,'Tabel 2'!$AC$4:$BC$872,21,)</f>
        <v>1333.1999999999998</v>
      </c>
      <c r="M30" s="606">
        <f>VLOOKUP($B30,'Tabel 2'!$AC$4:$BC$872,23,)</f>
        <v>1325.1</v>
      </c>
      <c r="N30" s="606">
        <f>VLOOKUP($B30,'Tabel 2'!$AC$4:$BC$872,25,)</f>
        <v>1986.7000000000003</v>
      </c>
      <c r="O30" s="607">
        <f>VLOOKUP($B30,'Tabel 2'!$AC$4:$BC$872,27,)</f>
        <v>2004</v>
      </c>
    </row>
    <row r="31" spans="2:15" ht="15">
      <c r="B31" s="597">
        <f>skemA1!B31</f>
        <v>44735</v>
      </c>
      <c r="C31" s="600">
        <f>VLOOKUP($B31,'Tabel 2'!$AC$4:$BC$872,3,)</f>
        <v>3881.9999999999995</v>
      </c>
      <c r="D31" s="600">
        <f>VLOOKUP($B31,'Tabel 2'!$AC$4:$BC$872,5,)</f>
        <v>2053.0000000000005</v>
      </c>
      <c r="E31" s="600">
        <f>VLOOKUP($B31,'Tabel 2'!$AC$4:$BC$872,7,)</f>
        <v>1828.9999999999998</v>
      </c>
      <c r="F31" s="600">
        <f>VLOOKUP($B31,'Tabel 2'!$AC$4:$BC$872,9,)</f>
        <v>1774.9</v>
      </c>
      <c r="G31" s="600">
        <f>VLOOKUP($B31,'Tabel 2'!$AC$4:$BC$872,11,)</f>
        <v>2107.1</v>
      </c>
      <c r="H31" s="600">
        <f>VLOOKUP($B31,'Tabel 2'!$AC$4:$BC$872,13,)</f>
        <v>2097.9</v>
      </c>
      <c r="I31" s="600">
        <f>VLOOKUP($B31,'Tabel 2'!$AC$4:$BC$872,15,)</f>
        <v>1784.1</v>
      </c>
      <c r="J31" s="600">
        <f>VLOOKUP($B31,'Tabel 2'!$AC$4:$BC$872,17,)</f>
        <v>1905.3000000000002</v>
      </c>
      <c r="K31" s="600">
        <f>VLOOKUP($B31,'Tabel 2'!$AC$4:$BC$872,19,)</f>
        <v>1976.7</v>
      </c>
      <c r="L31" s="600">
        <f>VLOOKUP($B31,'Tabel 2'!$AC$4:$BC$872,21,)</f>
        <v>1293.3000000000002</v>
      </c>
      <c r="M31" s="600">
        <f>VLOOKUP($B31,'Tabel 2'!$AC$4:$BC$872,23,)</f>
        <v>1299.5999999999999</v>
      </c>
      <c r="N31" s="600">
        <f>VLOOKUP($B31,'Tabel 2'!$AC$4:$BC$872,25,)</f>
        <v>1944.2</v>
      </c>
      <c r="O31" s="601">
        <f>VLOOKUP($B31,'Tabel 2'!$AC$4:$BC$872,27,)</f>
        <v>1937.8000000000002</v>
      </c>
    </row>
    <row r="32" spans="2:15" ht="15">
      <c r="B32" s="605">
        <f>skemA1!B32</f>
        <v>44736</v>
      </c>
      <c r="C32" s="606">
        <f>VLOOKUP($B32,'Tabel 2'!$AC$4:$BC$872,3,)</f>
        <v>3845.6</v>
      </c>
      <c r="D32" s="606">
        <f>VLOOKUP($B32,'Tabel 2'!$AC$4:$BC$872,5,)</f>
        <v>1996.4000000000005</v>
      </c>
      <c r="E32" s="606">
        <f>VLOOKUP($B32,'Tabel 2'!$AC$4:$BC$872,7,)</f>
        <v>1849.2</v>
      </c>
      <c r="F32" s="606">
        <f>VLOOKUP($B32,'Tabel 2'!$AC$4:$BC$872,9,)</f>
        <v>1708</v>
      </c>
      <c r="G32" s="606">
        <f>VLOOKUP($B32,'Tabel 2'!$AC$4:$BC$872,11,)</f>
        <v>2137.6</v>
      </c>
      <c r="H32" s="606">
        <f>VLOOKUP($B32,'Tabel 2'!$AC$4:$BC$872,13,)</f>
        <v>2012.6000000000004</v>
      </c>
      <c r="I32" s="606">
        <f>VLOOKUP($B32,'Tabel 2'!$AC$4:$BC$872,15,)</f>
        <v>1833.0000000000002</v>
      </c>
      <c r="J32" s="606">
        <f>VLOOKUP($B32,'Tabel 2'!$AC$4:$BC$872,17,)</f>
        <v>2009.8000000000004</v>
      </c>
      <c r="K32" s="606">
        <f>VLOOKUP($B32,'Tabel 2'!$AC$4:$BC$872,19,)</f>
        <v>1835.8000000000002</v>
      </c>
      <c r="L32" s="606">
        <f>VLOOKUP($B32,'Tabel 2'!$AC$4:$BC$872,21,)</f>
        <v>1287.5</v>
      </c>
      <c r="M32" s="606">
        <f>VLOOKUP($B32,'Tabel 2'!$AC$4:$BC$872,23,)</f>
        <v>1274.5000000000002</v>
      </c>
      <c r="N32" s="606">
        <f>VLOOKUP($B32,'Tabel 2'!$AC$4:$BC$872,25,)</f>
        <v>1921.2</v>
      </c>
      <c r="O32" s="607">
        <f>VLOOKUP($B32,'Tabel 2'!$AC$4:$BC$872,27,)</f>
        <v>1924.4000000000005</v>
      </c>
    </row>
    <row r="33" spans="2:15" ht="15">
      <c r="B33" s="597">
        <f>skemA1!B33</f>
        <v>44737</v>
      </c>
      <c r="C33" s="602">
        <f>VLOOKUP($B33,'Tabel 2'!$AC$4:$BC$872,3,)</f>
        <v>3886.7000000000007</v>
      </c>
      <c r="D33" s="602">
        <f>VLOOKUP($B33,'Tabel 2'!$AC$4:$BC$872,5,)</f>
        <v>1998.6999999999998</v>
      </c>
      <c r="E33" s="602">
        <f>VLOOKUP($B33,'Tabel 2'!$AC$4:$BC$872,7,)</f>
        <v>1888.0000000000002</v>
      </c>
      <c r="F33" s="602">
        <f>VLOOKUP($B33,'Tabel 2'!$AC$4:$BC$872,9,)</f>
        <v>1669.4</v>
      </c>
      <c r="G33" s="602">
        <f>VLOOKUP($B33,'Tabel 2'!$AC$4:$BC$872,11,)</f>
        <v>2217.3000000000002</v>
      </c>
      <c r="H33" s="602">
        <f>VLOOKUP($B33,'Tabel 2'!$AC$4:$BC$872,13,)</f>
        <v>1927.8</v>
      </c>
      <c r="I33" s="602">
        <f>VLOOKUP($B33,'Tabel 2'!$AC$4:$BC$872,15,)</f>
        <v>1958.9000000000003</v>
      </c>
      <c r="J33" s="602">
        <f>VLOOKUP($B33,'Tabel 2'!$AC$4:$BC$872,17,)</f>
        <v>2116.6</v>
      </c>
      <c r="K33" s="602">
        <f>VLOOKUP($B33,'Tabel 2'!$AC$4:$BC$872,19,)</f>
        <v>1770.1000000000001</v>
      </c>
      <c r="L33" s="602">
        <f>VLOOKUP($B33,'Tabel 2'!$AC$4:$BC$872,21,)</f>
        <v>1294.4000000000001</v>
      </c>
      <c r="M33" s="602">
        <f>VLOOKUP($B33,'Tabel 2'!$AC$4:$BC$872,23,)</f>
        <v>1300.1000000000001</v>
      </c>
      <c r="N33" s="602">
        <f>VLOOKUP($B33,'Tabel 2'!$AC$4:$BC$872,25,)</f>
        <v>1966.5000000000002</v>
      </c>
      <c r="O33" s="603">
        <f>VLOOKUP($B33,'Tabel 2'!$AC$4:$BC$872,27,)</f>
        <v>1920.2</v>
      </c>
    </row>
    <row r="34" spans="2:15">
      <c r="B34" s="39"/>
    </row>
    <row r="40" spans="2:15" ht="15">
      <c r="D40" s="537" t="s">
        <v>76</v>
      </c>
    </row>
    <row r="41" spans="2:15" ht="15">
      <c r="D41" s="538">
        <v>3125.5000000000005</v>
      </c>
    </row>
    <row r="42" spans="2:15" ht="15">
      <c r="D42" s="539">
        <v>3149.1000000000004</v>
      </c>
    </row>
    <row r="43" spans="2:15" ht="15">
      <c r="D43" s="540">
        <v>3202.2999999999997</v>
      </c>
    </row>
  </sheetData>
  <sheetProtection selectLockedCells="1" selectUnlockedCells="1"/>
  <mergeCells count="7">
    <mergeCell ref="C3:C4"/>
    <mergeCell ref="J3:K3"/>
    <mergeCell ref="L3:M3"/>
    <mergeCell ref="N3:O3"/>
    <mergeCell ref="D3:E3"/>
    <mergeCell ref="F3:G3"/>
    <mergeCell ref="H3:I3"/>
  </mergeCells>
  <phoneticPr fontId="26" type="noConversion"/>
  <printOptions horizontalCentered="1"/>
  <pageMargins left="0.5" right="0.5" top="1.179861111111111" bottom="0.75" header="0.51180555555555551" footer="0.51180555555555551"/>
  <pageSetup paperSize="9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74"/>
  <sheetViews>
    <sheetView showGridLines="0" topLeftCell="A38" zoomScaleSheetLayoutView="115" workbookViewId="0">
      <selection activeCell="B41" sqref="B41:I72"/>
    </sheetView>
  </sheetViews>
  <sheetFormatPr defaultColWidth="9.140625" defaultRowHeight="14.25"/>
  <cols>
    <col min="1" max="1" width="2.85546875" style="1" customWidth="1"/>
    <col min="2" max="2" width="19.42578125" style="1" customWidth="1"/>
    <col min="3" max="11" width="8.5703125" style="1" customWidth="1"/>
    <col min="12" max="16384" width="9.140625" style="1"/>
  </cols>
  <sheetData>
    <row r="1" spans="2:9">
      <c r="B1" s="1" t="s">
        <v>90</v>
      </c>
    </row>
    <row r="3" spans="2:9" ht="18.75">
      <c r="B3" s="75" t="s">
        <v>86</v>
      </c>
      <c r="C3" s="66" t="s">
        <v>78</v>
      </c>
      <c r="D3" s="66" t="s">
        <v>79</v>
      </c>
      <c r="E3" s="66" t="s">
        <v>80</v>
      </c>
      <c r="F3" s="66" t="s">
        <v>81</v>
      </c>
      <c r="G3" s="66" t="s">
        <v>82</v>
      </c>
      <c r="H3" s="66" t="s">
        <v>83</v>
      </c>
      <c r="I3" s="66" t="s">
        <v>84</v>
      </c>
    </row>
    <row r="4" spans="2:9">
      <c r="B4" s="63" t="s">
        <v>87</v>
      </c>
      <c r="C4" s="76"/>
      <c r="D4" s="62"/>
      <c r="E4" s="62"/>
      <c r="F4" s="62"/>
      <c r="G4" s="62"/>
      <c r="H4" s="62"/>
      <c r="I4" s="62"/>
    </row>
    <row r="5" spans="2:9">
      <c r="B5" s="478">
        <f>skemA2!B5</f>
        <v>44709</v>
      </c>
      <c r="C5" s="63">
        <f>skemA2!C5</f>
        <v>4095.7000000000003</v>
      </c>
      <c r="D5" s="63">
        <f>skemA2!D5-skemA2!E5</f>
        <v>147.70000000000027</v>
      </c>
      <c r="E5" s="63">
        <f>skemA2!F5-skemA2!G5</f>
        <v>-470.69999999999982</v>
      </c>
      <c r="F5" s="63">
        <f>skemA2!H5-skemA2!I5</f>
        <v>-651.10000000000059</v>
      </c>
      <c r="G5" s="63">
        <f>skemA2!J5-skemA2!K5</f>
        <v>407.29999999999995</v>
      </c>
      <c r="H5" s="63">
        <f>skemA2!L5-skemA2!M5</f>
        <v>-29.800000000000182</v>
      </c>
      <c r="I5" s="63">
        <f>skemA2!N5-skemA2!O5</f>
        <v>32.099999999999454</v>
      </c>
    </row>
    <row r="6" spans="2:9">
      <c r="B6" s="478">
        <f>skemA2!B6</f>
        <v>44710</v>
      </c>
      <c r="C6" s="63">
        <f>skemA2!C6</f>
        <v>3972.2000000000003</v>
      </c>
      <c r="D6" s="63">
        <f>skemA2!D6-skemA2!E6</f>
        <v>170.19999999999959</v>
      </c>
      <c r="E6" s="63">
        <f>skemA2!F6-skemA2!G6</f>
        <v>-628.00000000000023</v>
      </c>
      <c r="F6" s="63">
        <f>skemA2!H6-skemA2!I6</f>
        <v>-865.19999999999982</v>
      </c>
      <c r="G6" s="63">
        <f>skemA2!J6-skemA2!K6</f>
        <v>257.59999999999991</v>
      </c>
      <c r="H6" s="63">
        <f>skemA2!L6-skemA2!M6</f>
        <v>-34.599999999999909</v>
      </c>
      <c r="I6" s="63">
        <f>skemA2!N6-skemA2!O6</f>
        <v>30.600000000000136</v>
      </c>
    </row>
    <row r="7" spans="2:9">
      <c r="B7" s="478">
        <f>skemA2!B7</f>
        <v>44711</v>
      </c>
      <c r="C7" s="63">
        <f>skemA2!C7</f>
        <v>3961.8999999999996</v>
      </c>
      <c r="D7" s="63">
        <f>skemA2!D7-skemA2!E7</f>
        <v>255.09999999999968</v>
      </c>
      <c r="E7" s="63">
        <f>skemA2!F7-skemA2!G7</f>
        <v>-644.10000000000014</v>
      </c>
      <c r="F7" s="63">
        <f>skemA2!H7-skemA2!I7</f>
        <v>-995.09999999999945</v>
      </c>
      <c r="G7" s="63">
        <f>skemA2!J7-skemA2!K7</f>
        <v>44.699999999999818</v>
      </c>
      <c r="H7" s="63">
        <f>skemA2!L7-skemA2!M7</f>
        <v>-34.399999999999864</v>
      </c>
      <c r="I7" s="63">
        <f>skemA2!N7-skemA2!O7</f>
        <v>15.7000000000005</v>
      </c>
    </row>
    <row r="8" spans="2:9">
      <c r="B8" s="478">
        <f>skemA2!B8</f>
        <v>44712</v>
      </c>
      <c r="C8" s="63">
        <f>skemA2!C8</f>
        <v>3940.2000000000003</v>
      </c>
      <c r="D8" s="63">
        <f>skemA2!D8-skemA2!E8</f>
        <v>368</v>
      </c>
      <c r="E8" s="63">
        <f>skemA2!F8-skemA2!G8</f>
        <v>-683.40000000000055</v>
      </c>
      <c r="F8" s="63">
        <f>skemA2!H8-skemA2!I8</f>
        <v>-1003.0000000000002</v>
      </c>
      <c r="G8" s="63">
        <f>skemA2!J8-skemA2!K8</f>
        <v>-224</v>
      </c>
      <c r="H8" s="63">
        <f>skemA2!L8-skemA2!M8</f>
        <v>-11.500000000000227</v>
      </c>
      <c r="I8" s="63">
        <f>skemA2!N8-skemA2!O8</f>
        <v>-17.199999999999591</v>
      </c>
    </row>
    <row r="9" spans="2:9">
      <c r="B9" s="478">
        <f>skemA2!B9</f>
        <v>44713</v>
      </c>
      <c r="C9" s="63">
        <f>skemA2!C9</f>
        <v>3986.1000000000004</v>
      </c>
      <c r="D9" s="63">
        <f>skemA2!D9-skemA2!E9</f>
        <v>497.29999999999995</v>
      </c>
      <c r="E9" s="63">
        <f>skemA2!F9-skemA2!G9</f>
        <v>-671.09999999999968</v>
      </c>
      <c r="F9" s="63">
        <f>skemA2!H9-skemA2!I9</f>
        <v>-952.90000000000032</v>
      </c>
      <c r="G9" s="63">
        <f>skemA2!J9-skemA2!K9</f>
        <v>-445.49999999999977</v>
      </c>
      <c r="H9" s="63">
        <f>skemA2!L9-skemA2!M9</f>
        <v>-7.0999999999996817</v>
      </c>
      <c r="I9" s="63">
        <f>skemA2!N9-skemA2!O9</f>
        <v>-3.2999999999997272</v>
      </c>
    </row>
    <row r="10" spans="2:9">
      <c r="B10" s="478">
        <f>skemA2!B10</f>
        <v>44714</v>
      </c>
      <c r="C10" s="63">
        <f>skemA2!C10</f>
        <v>4046.7</v>
      </c>
      <c r="D10" s="63">
        <f>skemA2!D10-skemA2!E10</f>
        <v>628.7000000000005</v>
      </c>
      <c r="E10" s="63">
        <f>skemA2!F10-skemA2!G10</f>
        <v>-577.89999999999964</v>
      </c>
      <c r="F10" s="63">
        <f>skemA2!H10-skemA2!I10</f>
        <v>-800.50000000000023</v>
      </c>
      <c r="G10" s="63">
        <f>skemA2!J10-skemA2!K10</f>
        <v>-637.5</v>
      </c>
      <c r="H10" s="63">
        <f>skemA2!L10-skemA2!M10</f>
        <v>3.2000000000002728</v>
      </c>
      <c r="I10" s="63">
        <f>skemA2!N10-skemA2!O10</f>
        <v>-52.700000000000045</v>
      </c>
    </row>
    <row r="11" spans="2:9">
      <c r="B11" s="478">
        <f>skemA2!B11</f>
        <v>44715</v>
      </c>
      <c r="C11" s="63">
        <f>skemA2!C11</f>
        <v>4026.3</v>
      </c>
      <c r="D11" s="63">
        <f>skemA2!D11-skemA2!E11</f>
        <v>691.50000000000023</v>
      </c>
      <c r="E11" s="63">
        <f>skemA2!F11-skemA2!G11</f>
        <v>-478.90000000000032</v>
      </c>
      <c r="F11" s="63">
        <f>skemA2!H11-skemA2!I11</f>
        <v>-595.10000000000014</v>
      </c>
      <c r="G11" s="63">
        <f>skemA2!J11-skemA2!K11</f>
        <v>-739.69999999999982</v>
      </c>
      <c r="H11" s="63">
        <f>skemA2!L11-skemA2!M11</f>
        <v>-0.79999999999995453</v>
      </c>
      <c r="I11" s="63">
        <f>skemA2!N11-skemA2!O11</f>
        <v>-38.700000000000045</v>
      </c>
    </row>
    <row r="12" spans="2:9">
      <c r="B12" s="478">
        <f>skemA2!B12</f>
        <v>44716</v>
      </c>
      <c r="C12" s="63">
        <f>skemA2!C12</f>
        <v>3981.5500000000011</v>
      </c>
      <c r="D12" s="63">
        <f>skemA2!D12-skemA2!E12</f>
        <v>683.95</v>
      </c>
      <c r="E12" s="63">
        <f>skemA2!F12-skemA2!G12</f>
        <v>-345.05000000000018</v>
      </c>
      <c r="F12" s="63">
        <f>skemA2!H12-skemA2!I12</f>
        <v>-415.85000000000014</v>
      </c>
      <c r="G12" s="63">
        <f>skemA2!J12-skemA2!K12</f>
        <v>-811.84999999999968</v>
      </c>
      <c r="H12" s="63">
        <f>skemA2!L12-skemA2!M12</f>
        <v>2.3000000000001819</v>
      </c>
      <c r="I12" s="63">
        <f>skemA2!N12-skemA2!O12</f>
        <v>-17.650000000000318</v>
      </c>
    </row>
    <row r="13" spans="2:9">
      <c r="B13" s="478">
        <f>skemA2!B13</f>
        <v>44717</v>
      </c>
      <c r="C13" s="63">
        <f>skemA2!C13</f>
        <v>4007.1000000000008</v>
      </c>
      <c r="D13" s="63">
        <f>skemA2!D13-skemA2!E13</f>
        <v>701.90000000000032</v>
      </c>
      <c r="E13" s="63">
        <f>skemA2!F13-skemA2!G13</f>
        <v>-206.5</v>
      </c>
      <c r="F13" s="63">
        <f>skemA2!H13-skemA2!I13</f>
        <v>-247.49999999999977</v>
      </c>
      <c r="G13" s="63">
        <f>skemA2!J13-skemA2!K13</f>
        <v>-787.30000000000018</v>
      </c>
      <c r="H13" s="63">
        <f>skemA2!L13-skemA2!M13</f>
        <v>1.5000000000002274</v>
      </c>
      <c r="I13" s="63">
        <f>skemA2!N13-skemA2!O13</f>
        <v>-34.700000000000273</v>
      </c>
    </row>
    <row r="14" spans="2:9">
      <c r="B14" s="478">
        <f>skemA2!B14</f>
        <v>44718</v>
      </c>
      <c r="C14" s="63">
        <f>skemA2!C14</f>
        <v>4012.6000000000004</v>
      </c>
      <c r="D14" s="63">
        <f>skemA2!D14-skemA2!E14</f>
        <v>650.59999999999991</v>
      </c>
      <c r="E14" s="63">
        <f>skemA2!F14-skemA2!G14</f>
        <v>-74.799999999999955</v>
      </c>
      <c r="F14" s="63">
        <f>skemA2!H14-skemA2!I14</f>
        <v>-81.400000000000318</v>
      </c>
      <c r="G14" s="63">
        <f>skemA2!J14-skemA2!K14</f>
        <v>-704.80000000000041</v>
      </c>
      <c r="H14" s="63">
        <f>skemA2!L14-skemA2!M14</f>
        <v>9.9999999999997726</v>
      </c>
      <c r="I14" s="63">
        <f>skemA2!N14-skemA2!O14</f>
        <v>-23.200000000000045</v>
      </c>
    </row>
    <row r="15" spans="2:9">
      <c r="B15" s="478">
        <f>skemA2!B15</f>
        <v>44719</v>
      </c>
      <c r="C15" s="63">
        <f>skemA2!C15</f>
        <v>4016.7</v>
      </c>
      <c r="D15" s="63">
        <f>skemA2!D15-skemA2!E15</f>
        <v>556.89999999999986</v>
      </c>
      <c r="E15" s="63">
        <f>skemA2!F15-skemA2!G15</f>
        <v>-19.300000000000182</v>
      </c>
      <c r="F15" s="63">
        <f>skemA2!H15-skemA2!I15</f>
        <v>39.499999999999545</v>
      </c>
      <c r="G15" s="63">
        <f>skemA2!J15-skemA2!K15</f>
        <v>-565.90000000000009</v>
      </c>
      <c r="H15" s="63">
        <f>skemA2!L15-skemA2!M15</f>
        <v>-1.0999999999999091</v>
      </c>
      <c r="I15" s="63">
        <f>skemA2!N15-skemA2!O15</f>
        <v>-7.9000000000000909</v>
      </c>
    </row>
    <row r="16" spans="2:9">
      <c r="B16" s="478">
        <f>skemA2!B16</f>
        <v>44720</v>
      </c>
      <c r="C16" s="63">
        <f>skemA2!C16</f>
        <v>4016.7000000000007</v>
      </c>
      <c r="D16" s="63">
        <f>skemA2!D16-skemA2!E16</f>
        <v>432.29999999999995</v>
      </c>
      <c r="E16" s="63">
        <f>skemA2!F16-skemA2!G16</f>
        <v>34.299999999999727</v>
      </c>
      <c r="F16" s="63">
        <f>skemA2!H16-skemA2!I16</f>
        <v>126.50000000000045</v>
      </c>
      <c r="G16" s="63">
        <f>skemA2!J16-skemA2!K16</f>
        <v>-338.50000000000045</v>
      </c>
      <c r="H16" s="63">
        <f>skemA2!L16-skemA2!M16</f>
        <v>-11.299999999999955</v>
      </c>
      <c r="I16" s="63">
        <f>skemA2!N16-skemA2!O16</f>
        <v>-7.9000000000000909</v>
      </c>
    </row>
    <row r="17" spans="2:9">
      <c r="B17" s="478">
        <f>skemA2!B17</f>
        <v>44721</v>
      </c>
      <c r="C17" s="63">
        <f>skemA2!C17</f>
        <v>3950.2000000000007</v>
      </c>
      <c r="D17" s="63">
        <f>skemA2!D17-skemA2!E17</f>
        <v>314</v>
      </c>
      <c r="E17" s="63">
        <f>skemA2!F17-skemA2!G17</f>
        <v>-59.600000000000136</v>
      </c>
      <c r="F17" s="63">
        <f>skemA2!H17-skemA2!I17</f>
        <v>105.00000000000045</v>
      </c>
      <c r="G17" s="63">
        <f>skemA2!J17-skemA2!K17</f>
        <v>-93.800000000000182</v>
      </c>
      <c r="H17" s="63">
        <f>skemA2!L17-skemA2!M17</f>
        <v>5.5</v>
      </c>
      <c r="I17" s="63">
        <f>skemA2!N17-skemA2!O17</f>
        <v>-8.5999999999999091</v>
      </c>
    </row>
    <row r="18" spans="2:9">
      <c r="B18" s="478">
        <f>skemA2!B18</f>
        <v>44722</v>
      </c>
      <c r="C18" s="63">
        <f>skemA2!C18</f>
        <v>3946.3000000000006</v>
      </c>
      <c r="D18" s="63">
        <f>skemA2!D18-skemA2!E18</f>
        <v>213.50000000000045</v>
      </c>
      <c r="E18" s="63">
        <f>skemA2!F18-skemA2!G18</f>
        <v>-146.30000000000018</v>
      </c>
      <c r="F18" s="63">
        <f>skemA2!H18-skemA2!I18</f>
        <v>50.499999999999545</v>
      </c>
      <c r="G18" s="63">
        <f>skemA2!J18-skemA2!K18</f>
        <v>157.70000000000005</v>
      </c>
      <c r="H18" s="63">
        <f>skemA2!L18-skemA2!M18</f>
        <v>-9.6999999999998181</v>
      </c>
      <c r="I18" s="63">
        <f>skemA2!N18-skemA2!O18</f>
        <v>3.5000000000002274</v>
      </c>
    </row>
    <row r="19" spans="2:9">
      <c r="B19" s="478">
        <f>skemA2!B19</f>
        <v>44723</v>
      </c>
      <c r="C19" s="63">
        <f>skemA2!C19</f>
        <v>3973.7000000000016</v>
      </c>
      <c r="D19" s="63">
        <f>skemA2!D19-skemA2!E19</f>
        <v>109.10000000000014</v>
      </c>
      <c r="E19" s="63">
        <f>skemA2!F19-skemA2!G19</f>
        <v>-362.10000000000036</v>
      </c>
      <c r="F19" s="63">
        <f>skemA2!H19-skemA2!I19</f>
        <v>-157.10000000000036</v>
      </c>
      <c r="G19" s="63">
        <f>skemA2!J19-skemA2!K19</f>
        <v>331.30000000000041</v>
      </c>
      <c r="H19" s="63">
        <f>skemA2!L19-skemA2!M19</f>
        <v>9.1000000000003638</v>
      </c>
      <c r="I19" s="63">
        <f>skemA2!N19-skemA2!O19</f>
        <v>24.100000000000136</v>
      </c>
    </row>
    <row r="20" spans="2:9">
      <c r="B20" s="478">
        <f>skemA2!B20</f>
        <v>44724</v>
      </c>
      <c r="C20" s="63">
        <f>skemA2!C20</f>
        <v>3953.1</v>
      </c>
      <c r="D20" s="63">
        <f>skemA2!D20-skemA2!E20</f>
        <v>61.300000000000182</v>
      </c>
      <c r="E20" s="63">
        <f>skemA2!F20-skemA2!G20</f>
        <v>-616.90000000000032</v>
      </c>
      <c r="F20" s="63">
        <f>skemA2!H20-skemA2!I20</f>
        <v>-406.70000000000005</v>
      </c>
      <c r="G20" s="63">
        <f>skemA2!J20-skemA2!K20</f>
        <v>432.90000000000032</v>
      </c>
      <c r="H20" s="63">
        <f>skemA2!L20-skemA2!M20</f>
        <v>5.8000000000001819</v>
      </c>
      <c r="I20" s="63">
        <f>skemA2!N20-skemA2!O20</f>
        <v>35.099999999999909</v>
      </c>
    </row>
    <row r="21" spans="2:9">
      <c r="B21" s="478">
        <f>skemA2!B21</f>
        <v>44725</v>
      </c>
      <c r="C21" s="63">
        <f>skemA2!C21</f>
        <v>3997.7</v>
      </c>
      <c r="D21" s="63">
        <f>skemA2!D21-skemA2!E21</f>
        <v>147.29999999999995</v>
      </c>
      <c r="E21" s="63">
        <f>skemA2!F21-skemA2!G21</f>
        <v>-838.89999999999986</v>
      </c>
      <c r="F21" s="63">
        <f>skemA2!H21-skemA2!I21</f>
        <v>-630.69999999999982</v>
      </c>
      <c r="G21" s="63">
        <f>skemA2!J21-skemA2!K21</f>
        <v>343.50000000000045</v>
      </c>
      <c r="H21" s="63">
        <f>skemA2!L21-skemA2!M21</f>
        <v>-9.2999999999999545</v>
      </c>
      <c r="I21" s="63">
        <f>skemA2!N21-skemA2!O21</f>
        <v>55.099999999999909</v>
      </c>
    </row>
    <row r="22" spans="2:9">
      <c r="B22" s="478">
        <f>skemA2!B22</f>
        <v>44726</v>
      </c>
      <c r="C22" s="63">
        <f>skemA2!C22</f>
        <v>3984.9999999999995</v>
      </c>
      <c r="D22" s="63">
        <f>skemA2!D22-skemA2!E22</f>
        <v>293.19999999999982</v>
      </c>
      <c r="E22" s="63">
        <f>skemA2!F22-skemA2!G22</f>
        <v>-980.79999999999973</v>
      </c>
      <c r="F22" s="63">
        <f>skemA2!H22-skemA2!I22</f>
        <v>-770.40000000000032</v>
      </c>
      <c r="G22" s="63">
        <f>skemA2!J22-skemA2!K22</f>
        <v>151.7999999999995</v>
      </c>
      <c r="H22" s="63">
        <f>skemA2!L22-skemA2!M22</f>
        <v>-25.400000000000091</v>
      </c>
      <c r="I22" s="63">
        <f>skemA2!N22-skemA2!O22</f>
        <v>30.800000000000409</v>
      </c>
    </row>
    <row r="23" spans="2:9">
      <c r="B23" s="478">
        <f>skemA2!B23</f>
        <v>44727</v>
      </c>
      <c r="C23" s="63">
        <f>skemA2!C23</f>
        <v>3998.9</v>
      </c>
      <c r="D23" s="63">
        <f>skemA2!D23-skemA2!E23</f>
        <v>482.5</v>
      </c>
      <c r="E23" s="63">
        <f>skemA2!F23-skemA2!G23</f>
        <v>-1001.7000000000003</v>
      </c>
      <c r="F23" s="63">
        <f>skemA2!H23-skemA2!I23</f>
        <v>-828.50000000000045</v>
      </c>
      <c r="G23" s="63">
        <f>skemA2!J23-skemA2!K23</f>
        <v>-106.49999999999977</v>
      </c>
      <c r="H23" s="63">
        <f>skemA2!L23-skemA2!M23</f>
        <v>-17.999999999999773</v>
      </c>
      <c r="I23" s="63">
        <f>skemA2!N23-skemA2!O23</f>
        <v>-2.3000000000001819</v>
      </c>
    </row>
    <row r="24" spans="2:9">
      <c r="B24" s="478">
        <f>skemA2!B24</f>
        <v>44728</v>
      </c>
      <c r="C24" s="63">
        <f>skemA2!C24</f>
        <v>3976.8</v>
      </c>
      <c r="D24" s="63">
        <f>skemA2!D24-skemA2!E24</f>
        <v>723.59999999999991</v>
      </c>
      <c r="E24" s="63">
        <f>skemA2!F24-skemA2!G24</f>
        <v>-865</v>
      </c>
      <c r="F24" s="63">
        <f>skemA2!H24-skemA2!I24</f>
        <v>-810.39999999999986</v>
      </c>
      <c r="G24" s="63">
        <f>skemA2!J24-skemA2!K24</f>
        <v>-348.60000000000014</v>
      </c>
      <c r="H24" s="63">
        <f>skemA2!L24-skemA2!M24</f>
        <v>9.7000000000000455</v>
      </c>
      <c r="I24" s="63">
        <f>skemA2!N24-skemA2!O24</f>
        <v>-6.1999999999998181</v>
      </c>
    </row>
    <row r="25" spans="2:9">
      <c r="B25" s="478">
        <f>skemA2!B25</f>
        <v>44729</v>
      </c>
      <c r="C25" s="63">
        <f>skemA2!C25</f>
        <v>4022.4</v>
      </c>
      <c r="D25" s="63">
        <f>skemA2!D25-skemA2!E25</f>
        <v>858.60000000000036</v>
      </c>
      <c r="E25" s="63">
        <f>skemA2!F25-skemA2!G25</f>
        <v>-611.20000000000027</v>
      </c>
      <c r="F25" s="63">
        <f>skemA2!H25-skemA2!I25</f>
        <v>-666.8</v>
      </c>
      <c r="G25" s="63">
        <f>skemA2!J25-skemA2!K25</f>
        <v>-604.99999999999955</v>
      </c>
      <c r="H25" s="63">
        <f>skemA2!L25-skemA2!M25</f>
        <v>6.7000000000000455</v>
      </c>
      <c r="I25" s="63">
        <f>skemA2!N25-skemA2!O25</f>
        <v>-8.2000000000000455</v>
      </c>
    </row>
    <row r="26" spans="2:9">
      <c r="B26" s="478">
        <f>skemA2!B26</f>
        <v>44730</v>
      </c>
      <c r="C26" s="63">
        <f>skemA2!C26</f>
        <v>4030.3</v>
      </c>
      <c r="D26" s="63">
        <f>skemA2!D26-skemA2!E26</f>
        <v>865.09999999999991</v>
      </c>
      <c r="E26" s="63">
        <f>skemA2!F26-skemA2!G26</f>
        <v>-346.50000000000023</v>
      </c>
      <c r="F26" s="63">
        <f>skemA2!H26-skemA2!I26</f>
        <v>-436.30000000000018</v>
      </c>
      <c r="G26" s="63">
        <f>skemA2!J26-skemA2!K26</f>
        <v>-762.5</v>
      </c>
      <c r="H26" s="63">
        <f>skemA2!L26-skemA2!M26</f>
        <v>19.100000000000136</v>
      </c>
      <c r="I26" s="63">
        <f>skemA2!N26-skemA2!O26</f>
        <v>-45.499999999999545</v>
      </c>
    </row>
    <row r="27" spans="2:9">
      <c r="B27" s="478">
        <f>skemA2!B27</f>
        <v>44731</v>
      </c>
      <c r="C27" s="63">
        <f>skemA2!C27</f>
        <v>4014.1</v>
      </c>
      <c r="D27" s="63">
        <f>skemA2!D27-skemA2!E27</f>
        <v>801.29999999999973</v>
      </c>
      <c r="E27" s="63">
        <f>skemA2!F27-skemA2!G27</f>
        <v>-142.30000000000018</v>
      </c>
      <c r="F27" s="63">
        <f>skemA2!H27-skemA2!I27</f>
        <v>-223.10000000000036</v>
      </c>
      <c r="G27" s="63">
        <f>skemA2!J27-skemA2!K27</f>
        <v>-868.29999999999973</v>
      </c>
      <c r="H27" s="63">
        <f>skemA2!L27-skemA2!M27</f>
        <v>25.800000000000182</v>
      </c>
      <c r="I27" s="63">
        <f>skemA2!N27-skemA2!O27</f>
        <v>-0.29999999999972715</v>
      </c>
    </row>
    <row r="28" spans="2:9">
      <c r="B28" s="478">
        <f>skemA2!B28</f>
        <v>44732</v>
      </c>
      <c r="C28" s="63">
        <f>skemA2!C28</f>
        <v>4074.3999999999996</v>
      </c>
      <c r="D28" s="63">
        <f>skemA2!D28-skemA2!E28</f>
        <v>648.39999999999964</v>
      </c>
      <c r="E28" s="63">
        <f>skemA2!F28-skemA2!G28</f>
        <v>-38.799999999999727</v>
      </c>
      <c r="F28" s="63">
        <f>skemA2!H28-skemA2!I28</f>
        <v>28.200000000000045</v>
      </c>
      <c r="G28" s="63">
        <f>skemA2!J28-skemA2!K28</f>
        <v>-811.99999999999977</v>
      </c>
      <c r="H28" s="63">
        <f>skemA2!L28-skemA2!M28</f>
        <v>6.7000000000000455</v>
      </c>
      <c r="I28" s="63">
        <f>skemA2!N28-skemA2!O28</f>
        <v>14.599999999999454</v>
      </c>
    </row>
    <row r="29" spans="2:9">
      <c r="B29" s="478">
        <f>skemA2!B29</f>
        <v>44733</v>
      </c>
      <c r="C29" s="63">
        <f>skemA2!C29</f>
        <v>4061.5</v>
      </c>
      <c r="D29" s="63">
        <f>skemA2!D29-skemA2!E29</f>
        <v>505.89999999999986</v>
      </c>
      <c r="E29" s="63">
        <f>skemA2!F29-skemA2!G29</f>
        <v>-53.5</v>
      </c>
      <c r="F29" s="63">
        <f>skemA2!H29-skemA2!I29</f>
        <v>227.90000000000032</v>
      </c>
      <c r="G29" s="63">
        <f>skemA2!J29-skemA2!K29</f>
        <v>-617.89999999999964</v>
      </c>
      <c r="H29" s="63">
        <f>skemA2!L29-skemA2!M29</f>
        <v>-13.799999999999727</v>
      </c>
      <c r="I29" s="63">
        <f>skemA2!N29-skemA2!O29</f>
        <v>4.1000000000003638</v>
      </c>
    </row>
    <row r="30" spans="2:9">
      <c r="B30" s="478">
        <f>skemA2!B30</f>
        <v>44734</v>
      </c>
      <c r="C30" s="63">
        <f>skemA2!C30</f>
        <v>3990.7000000000003</v>
      </c>
      <c r="D30" s="63">
        <f>skemA2!D30-skemA2!E30</f>
        <v>383.70000000000027</v>
      </c>
      <c r="E30" s="63">
        <f>skemA2!F30-skemA2!G30</f>
        <v>-160.90000000000055</v>
      </c>
      <c r="F30" s="63">
        <f>skemA2!H30-skemA2!I30</f>
        <v>345.2999999999995</v>
      </c>
      <c r="G30" s="63">
        <f>skemA2!J30-skemA2!K30</f>
        <v>-356.69999999999959</v>
      </c>
      <c r="H30" s="63">
        <f>skemA2!L30-skemA2!M30</f>
        <v>8.0999999999999091</v>
      </c>
      <c r="I30" s="63">
        <f>skemA2!N30-skemA2!O30</f>
        <v>-17.299999999999727</v>
      </c>
    </row>
    <row r="31" spans="2:9">
      <c r="B31" s="478">
        <f>skemA2!B31</f>
        <v>44735</v>
      </c>
      <c r="C31" s="63">
        <f>skemA2!C31</f>
        <v>3881.9999999999995</v>
      </c>
      <c r="D31" s="63">
        <f>skemA2!D31-skemA2!E31</f>
        <v>224.00000000000068</v>
      </c>
      <c r="E31" s="63">
        <f>skemA2!F31-skemA2!G31</f>
        <v>-332.19999999999982</v>
      </c>
      <c r="F31" s="63">
        <f>skemA2!H31-skemA2!I31</f>
        <v>313.80000000000018</v>
      </c>
      <c r="G31" s="63">
        <f>skemA2!J31-skemA2!K31</f>
        <v>-71.399999999999864</v>
      </c>
      <c r="H31" s="63">
        <f>skemA2!L31-skemA2!M31</f>
        <v>-6.2999999999997272</v>
      </c>
      <c r="I31" s="63">
        <f>skemA2!N31-skemA2!O31</f>
        <v>6.3999999999998636</v>
      </c>
    </row>
    <row r="32" spans="2:9">
      <c r="B32" s="478">
        <f>skemA2!B32</f>
        <v>44736</v>
      </c>
      <c r="C32" s="63">
        <f>skemA2!C32</f>
        <v>3845.6</v>
      </c>
      <c r="D32" s="63">
        <f>skemA2!D32-skemA2!E32</f>
        <v>147.2000000000005</v>
      </c>
      <c r="E32" s="63">
        <f>skemA2!F32-skemA2!G32</f>
        <v>-429.59999999999991</v>
      </c>
      <c r="F32" s="63">
        <f>skemA2!H32-skemA2!I32</f>
        <v>179.60000000000014</v>
      </c>
      <c r="G32" s="63">
        <f>skemA2!J32-skemA2!K32</f>
        <v>174.00000000000023</v>
      </c>
      <c r="H32" s="63">
        <f>skemA2!L32-skemA2!M32</f>
        <v>12.999999999999773</v>
      </c>
      <c r="I32" s="63">
        <f>skemA2!N32-skemA2!O32</f>
        <v>-3.2000000000005002</v>
      </c>
    </row>
    <row r="33" spans="2:9">
      <c r="B33" s="478">
        <f>skemA2!B33</f>
        <v>44737</v>
      </c>
      <c r="C33" s="63">
        <f>skemA2!C33</f>
        <v>3886.7000000000007</v>
      </c>
      <c r="D33" s="63">
        <f>skemA2!D33-skemA2!E33</f>
        <v>110.69999999999959</v>
      </c>
      <c r="E33" s="63">
        <f>skemA2!F33-skemA2!G33</f>
        <v>-547.90000000000009</v>
      </c>
      <c r="F33" s="63">
        <f>skemA2!H33-skemA2!I33</f>
        <v>-31.100000000000364</v>
      </c>
      <c r="G33" s="63">
        <f>skemA2!J33-skemA2!K33</f>
        <v>346.49999999999977</v>
      </c>
      <c r="H33" s="63">
        <f>skemA2!L33-skemA2!M33</f>
        <v>-5.7000000000000455</v>
      </c>
      <c r="I33" s="63">
        <f>skemA2!N33-skemA2!O33</f>
        <v>46.300000000000182</v>
      </c>
    </row>
    <row r="34" spans="2:9">
      <c r="B34" s="478"/>
      <c r="C34" s="63">
        <f>SUM(C5:C33)</f>
        <v>115653.15</v>
      </c>
      <c r="D34" s="63">
        <f t="shared" ref="D34:I34" si="0">SUM(D5:D33)</f>
        <v>12673.550000000001</v>
      </c>
      <c r="E34" s="63">
        <f t="shared" si="0"/>
        <v>-12299.650000000005</v>
      </c>
      <c r="F34" s="63">
        <f t="shared" si="0"/>
        <v>-10152.450000000001</v>
      </c>
      <c r="G34" s="63">
        <f t="shared" si="0"/>
        <v>-7250.449999999998</v>
      </c>
      <c r="H34" s="63">
        <f t="shared" si="0"/>
        <v>-92.299999999997681</v>
      </c>
      <c r="I34" s="63">
        <f t="shared" si="0"/>
        <v>3.550000000000864</v>
      </c>
    </row>
    <row r="39" spans="2:9" ht="15">
      <c r="B39" s="52" t="s">
        <v>549</v>
      </c>
    </row>
    <row r="40" spans="2:9" ht="6.75" customHeight="1"/>
    <row r="41" spans="2:9" ht="15">
      <c r="B41" s="592" t="s">
        <v>86</v>
      </c>
      <c r="C41" s="678" t="s">
        <v>646</v>
      </c>
      <c r="D41" s="592" t="s">
        <v>559</v>
      </c>
      <c r="E41" s="592" t="s">
        <v>562</v>
      </c>
      <c r="F41" s="592" t="s">
        <v>563</v>
      </c>
      <c r="G41" s="592" t="s">
        <v>564</v>
      </c>
      <c r="H41" s="592" t="s">
        <v>565</v>
      </c>
      <c r="I41" s="592" t="s">
        <v>566</v>
      </c>
    </row>
    <row r="42" spans="2:9" ht="15">
      <c r="B42" s="592" t="s">
        <v>87</v>
      </c>
      <c r="C42" s="678"/>
      <c r="D42" s="592">
        <v>100</v>
      </c>
      <c r="E42" s="592">
        <v>1000</v>
      </c>
      <c r="F42" s="592">
        <v>900</v>
      </c>
      <c r="G42" s="592">
        <v>1000</v>
      </c>
      <c r="H42" s="592">
        <v>100</v>
      </c>
      <c r="I42" s="592">
        <v>200</v>
      </c>
    </row>
    <row r="43" spans="2:9" ht="15">
      <c r="B43" s="597">
        <f>skemA2!B5</f>
        <v>44709</v>
      </c>
      <c r="C43" s="608">
        <f>C5</f>
        <v>4095.7000000000003</v>
      </c>
      <c r="D43" s="608">
        <f>D5+$D$42</f>
        <v>247.70000000000027</v>
      </c>
      <c r="E43" s="608">
        <f>E5+$E$42</f>
        <v>529.30000000000018</v>
      </c>
      <c r="F43" s="608">
        <f>F5+$F$42</f>
        <v>248.89999999999941</v>
      </c>
      <c r="G43" s="608">
        <f>G5+$G$42</f>
        <v>1407.3</v>
      </c>
      <c r="H43" s="608">
        <f>H5+$H$42</f>
        <v>70.199999999999818</v>
      </c>
      <c r="I43" s="609">
        <f>I5+$I$42</f>
        <v>232.09999999999945</v>
      </c>
    </row>
    <row r="44" spans="2:9" ht="15">
      <c r="B44" s="605">
        <f>skemA2!B6</f>
        <v>44710</v>
      </c>
      <c r="C44" s="610">
        <f t="shared" ref="C44:C71" si="1">C6</f>
        <v>3972.2000000000003</v>
      </c>
      <c r="D44" s="610">
        <f t="shared" ref="D44:D71" si="2">D6+$D$42</f>
        <v>270.19999999999959</v>
      </c>
      <c r="E44" s="610">
        <f t="shared" ref="E44:E71" si="3">E6+$E$42</f>
        <v>371.99999999999977</v>
      </c>
      <c r="F44" s="610">
        <f t="shared" ref="F44:F71" si="4">F6+$F$42</f>
        <v>34.800000000000182</v>
      </c>
      <c r="G44" s="610">
        <f t="shared" ref="G44:G71" si="5">G6+$G$42</f>
        <v>1257.5999999999999</v>
      </c>
      <c r="H44" s="610">
        <f t="shared" ref="H44:H71" si="6">H6+$H$42</f>
        <v>65.400000000000091</v>
      </c>
      <c r="I44" s="611">
        <f t="shared" ref="I44:I71" si="7">I6+$I$42</f>
        <v>230.60000000000014</v>
      </c>
    </row>
    <row r="45" spans="2:9" ht="15">
      <c r="B45" s="597">
        <f>skemA2!B7</f>
        <v>44711</v>
      </c>
      <c r="C45" s="608">
        <f t="shared" si="1"/>
        <v>3961.8999999999996</v>
      </c>
      <c r="D45" s="608">
        <f t="shared" si="2"/>
        <v>355.09999999999968</v>
      </c>
      <c r="E45" s="608">
        <f t="shared" si="3"/>
        <v>355.89999999999986</v>
      </c>
      <c r="F45" s="608">
        <f t="shared" si="4"/>
        <v>-95.099999999999454</v>
      </c>
      <c r="G45" s="608">
        <f t="shared" si="5"/>
        <v>1044.6999999999998</v>
      </c>
      <c r="H45" s="608">
        <f t="shared" si="6"/>
        <v>65.600000000000136</v>
      </c>
      <c r="I45" s="609">
        <f t="shared" si="7"/>
        <v>215.7000000000005</v>
      </c>
    </row>
    <row r="46" spans="2:9" ht="15">
      <c r="B46" s="605">
        <f>skemA2!B8</f>
        <v>44712</v>
      </c>
      <c r="C46" s="610">
        <f t="shared" si="1"/>
        <v>3940.2000000000003</v>
      </c>
      <c r="D46" s="610">
        <f t="shared" si="2"/>
        <v>468</v>
      </c>
      <c r="E46" s="610">
        <f t="shared" si="3"/>
        <v>316.59999999999945</v>
      </c>
      <c r="F46" s="610">
        <f t="shared" si="4"/>
        <v>-103.00000000000023</v>
      </c>
      <c r="G46" s="610">
        <f t="shared" si="5"/>
        <v>776</v>
      </c>
      <c r="H46" s="610">
        <f t="shared" si="6"/>
        <v>88.499999999999773</v>
      </c>
      <c r="I46" s="611">
        <f t="shared" si="7"/>
        <v>182.80000000000041</v>
      </c>
    </row>
    <row r="47" spans="2:9" ht="15">
      <c r="B47" s="597">
        <f>skemA2!B9</f>
        <v>44713</v>
      </c>
      <c r="C47" s="608">
        <f t="shared" si="1"/>
        <v>3986.1000000000004</v>
      </c>
      <c r="D47" s="608">
        <f t="shared" si="2"/>
        <v>597.29999999999995</v>
      </c>
      <c r="E47" s="608">
        <f t="shared" si="3"/>
        <v>328.90000000000032</v>
      </c>
      <c r="F47" s="608">
        <f t="shared" si="4"/>
        <v>-52.900000000000318</v>
      </c>
      <c r="G47" s="608">
        <f t="shared" si="5"/>
        <v>554.50000000000023</v>
      </c>
      <c r="H47" s="608">
        <f t="shared" si="6"/>
        <v>92.900000000000318</v>
      </c>
      <c r="I47" s="609">
        <f t="shared" si="7"/>
        <v>196.70000000000027</v>
      </c>
    </row>
    <row r="48" spans="2:9" ht="15">
      <c r="B48" s="605">
        <f>skemA2!B10</f>
        <v>44714</v>
      </c>
      <c r="C48" s="610">
        <f t="shared" si="1"/>
        <v>4046.7</v>
      </c>
      <c r="D48" s="610">
        <f t="shared" si="2"/>
        <v>728.7000000000005</v>
      </c>
      <c r="E48" s="610">
        <f t="shared" si="3"/>
        <v>422.10000000000036</v>
      </c>
      <c r="F48" s="610">
        <f t="shared" si="4"/>
        <v>99.499999999999773</v>
      </c>
      <c r="G48" s="610">
        <f t="shared" si="5"/>
        <v>362.5</v>
      </c>
      <c r="H48" s="610">
        <f t="shared" si="6"/>
        <v>103.20000000000027</v>
      </c>
      <c r="I48" s="611">
        <f t="shared" si="7"/>
        <v>147.29999999999995</v>
      </c>
    </row>
    <row r="49" spans="2:9" ht="15">
      <c r="B49" s="597">
        <f>skemA2!B11</f>
        <v>44715</v>
      </c>
      <c r="C49" s="608">
        <f t="shared" si="1"/>
        <v>4026.3</v>
      </c>
      <c r="D49" s="608">
        <f t="shared" si="2"/>
        <v>791.50000000000023</v>
      </c>
      <c r="E49" s="608">
        <f t="shared" si="3"/>
        <v>521.09999999999968</v>
      </c>
      <c r="F49" s="608">
        <f t="shared" si="4"/>
        <v>304.89999999999986</v>
      </c>
      <c r="G49" s="608">
        <f t="shared" si="5"/>
        <v>260.30000000000018</v>
      </c>
      <c r="H49" s="608">
        <f t="shared" si="6"/>
        <v>99.200000000000045</v>
      </c>
      <c r="I49" s="609">
        <f t="shared" si="7"/>
        <v>161.29999999999995</v>
      </c>
    </row>
    <row r="50" spans="2:9" ht="15">
      <c r="B50" s="605">
        <f>skemA2!B12</f>
        <v>44716</v>
      </c>
      <c r="C50" s="610">
        <f t="shared" si="1"/>
        <v>3981.5500000000011</v>
      </c>
      <c r="D50" s="610">
        <f t="shared" si="2"/>
        <v>783.95</v>
      </c>
      <c r="E50" s="610">
        <f t="shared" si="3"/>
        <v>654.94999999999982</v>
      </c>
      <c r="F50" s="610">
        <f t="shared" si="4"/>
        <v>484.14999999999986</v>
      </c>
      <c r="G50" s="610">
        <f t="shared" si="5"/>
        <v>188.15000000000032</v>
      </c>
      <c r="H50" s="610">
        <f t="shared" si="6"/>
        <v>102.30000000000018</v>
      </c>
      <c r="I50" s="611">
        <f t="shared" si="7"/>
        <v>182.34999999999968</v>
      </c>
    </row>
    <row r="51" spans="2:9" ht="15">
      <c r="B51" s="597">
        <f>skemA2!B13</f>
        <v>44717</v>
      </c>
      <c r="C51" s="608">
        <f t="shared" si="1"/>
        <v>4007.1000000000008</v>
      </c>
      <c r="D51" s="608">
        <f t="shared" si="2"/>
        <v>801.90000000000032</v>
      </c>
      <c r="E51" s="608">
        <f t="shared" si="3"/>
        <v>793.5</v>
      </c>
      <c r="F51" s="608">
        <f t="shared" si="4"/>
        <v>652.50000000000023</v>
      </c>
      <c r="G51" s="608">
        <f t="shared" si="5"/>
        <v>212.69999999999982</v>
      </c>
      <c r="H51" s="608">
        <f t="shared" si="6"/>
        <v>101.50000000000023</v>
      </c>
      <c r="I51" s="609">
        <f t="shared" si="7"/>
        <v>165.29999999999973</v>
      </c>
    </row>
    <row r="52" spans="2:9" ht="15">
      <c r="B52" s="605">
        <f>skemA2!B14</f>
        <v>44718</v>
      </c>
      <c r="C52" s="610">
        <f t="shared" si="1"/>
        <v>4012.6000000000004</v>
      </c>
      <c r="D52" s="610">
        <f t="shared" si="2"/>
        <v>750.59999999999991</v>
      </c>
      <c r="E52" s="610">
        <f t="shared" si="3"/>
        <v>925.2</v>
      </c>
      <c r="F52" s="610">
        <f t="shared" si="4"/>
        <v>818.59999999999968</v>
      </c>
      <c r="G52" s="610">
        <f t="shared" si="5"/>
        <v>295.19999999999959</v>
      </c>
      <c r="H52" s="610">
        <f t="shared" si="6"/>
        <v>109.99999999999977</v>
      </c>
      <c r="I52" s="611">
        <f t="shared" si="7"/>
        <v>176.79999999999995</v>
      </c>
    </row>
    <row r="53" spans="2:9" ht="15">
      <c r="B53" s="597">
        <f>skemA2!B15</f>
        <v>44719</v>
      </c>
      <c r="C53" s="608">
        <f t="shared" si="1"/>
        <v>4016.7</v>
      </c>
      <c r="D53" s="608">
        <f t="shared" si="2"/>
        <v>656.89999999999986</v>
      </c>
      <c r="E53" s="608">
        <f t="shared" si="3"/>
        <v>980.69999999999982</v>
      </c>
      <c r="F53" s="608">
        <f t="shared" si="4"/>
        <v>939.49999999999955</v>
      </c>
      <c r="G53" s="608">
        <f t="shared" si="5"/>
        <v>434.09999999999991</v>
      </c>
      <c r="H53" s="608">
        <f t="shared" si="6"/>
        <v>98.900000000000091</v>
      </c>
      <c r="I53" s="609">
        <f t="shared" si="7"/>
        <v>192.09999999999991</v>
      </c>
    </row>
    <row r="54" spans="2:9" ht="15">
      <c r="B54" s="605">
        <f>skemA2!B16</f>
        <v>44720</v>
      </c>
      <c r="C54" s="610">
        <f t="shared" si="1"/>
        <v>4016.7000000000007</v>
      </c>
      <c r="D54" s="610">
        <f t="shared" si="2"/>
        <v>532.29999999999995</v>
      </c>
      <c r="E54" s="610">
        <f t="shared" si="3"/>
        <v>1034.2999999999997</v>
      </c>
      <c r="F54" s="610">
        <f t="shared" si="4"/>
        <v>1026.5000000000005</v>
      </c>
      <c r="G54" s="610">
        <f t="shared" si="5"/>
        <v>661.49999999999955</v>
      </c>
      <c r="H54" s="610">
        <f t="shared" si="6"/>
        <v>88.700000000000045</v>
      </c>
      <c r="I54" s="611">
        <f t="shared" si="7"/>
        <v>192.09999999999991</v>
      </c>
    </row>
    <row r="55" spans="2:9" ht="15">
      <c r="B55" s="597">
        <f>skemA2!B17</f>
        <v>44721</v>
      </c>
      <c r="C55" s="608">
        <f t="shared" si="1"/>
        <v>3950.2000000000007</v>
      </c>
      <c r="D55" s="608">
        <f t="shared" si="2"/>
        <v>414</v>
      </c>
      <c r="E55" s="608">
        <f t="shared" si="3"/>
        <v>940.39999999999986</v>
      </c>
      <c r="F55" s="608">
        <f t="shared" si="4"/>
        <v>1005.0000000000005</v>
      </c>
      <c r="G55" s="608">
        <f t="shared" si="5"/>
        <v>906.19999999999982</v>
      </c>
      <c r="H55" s="608">
        <f t="shared" si="6"/>
        <v>105.5</v>
      </c>
      <c r="I55" s="609">
        <f t="shared" si="7"/>
        <v>191.40000000000009</v>
      </c>
    </row>
    <row r="56" spans="2:9" ht="15">
      <c r="B56" s="605">
        <f>skemA2!B18</f>
        <v>44722</v>
      </c>
      <c r="C56" s="610">
        <f t="shared" si="1"/>
        <v>3946.3000000000006</v>
      </c>
      <c r="D56" s="610">
        <f t="shared" si="2"/>
        <v>313.50000000000045</v>
      </c>
      <c r="E56" s="610">
        <f t="shared" si="3"/>
        <v>853.69999999999982</v>
      </c>
      <c r="F56" s="610">
        <f t="shared" si="4"/>
        <v>950.49999999999955</v>
      </c>
      <c r="G56" s="610">
        <f t="shared" si="5"/>
        <v>1157.7</v>
      </c>
      <c r="H56" s="610">
        <f t="shared" si="6"/>
        <v>90.300000000000182</v>
      </c>
      <c r="I56" s="611">
        <f t="shared" si="7"/>
        <v>203.50000000000023</v>
      </c>
    </row>
    <row r="57" spans="2:9" ht="15">
      <c r="B57" s="597">
        <f>skemA2!B19</f>
        <v>44723</v>
      </c>
      <c r="C57" s="608">
        <f t="shared" si="1"/>
        <v>3973.7000000000016</v>
      </c>
      <c r="D57" s="608">
        <f t="shared" si="2"/>
        <v>209.10000000000014</v>
      </c>
      <c r="E57" s="608">
        <f t="shared" si="3"/>
        <v>637.89999999999964</v>
      </c>
      <c r="F57" s="608">
        <f t="shared" si="4"/>
        <v>742.89999999999964</v>
      </c>
      <c r="G57" s="608">
        <f t="shared" si="5"/>
        <v>1331.3000000000004</v>
      </c>
      <c r="H57" s="608">
        <f t="shared" si="6"/>
        <v>109.10000000000036</v>
      </c>
      <c r="I57" s="609">
        <f t="shared" si="7"/>
        <v>224.10000000000014</v>
      </c>
    </row>
    <row r="58" spans="2:9" ht="15">
      <c r="B58" s="605">
        <f>skemA2!B20</f>
        <v>44724</v>
      </c>
      <c r="C58" s="610">
        <f t="shared" si="1"/>
        <v>3953.1</v>
      </c>
      <c r="D58" s="610">
        <f t="shared" si="2"/>
        <v>161.30000000000018</v>
      </c>
      <c r="E58" s="610">
        <f t="shared" si="3"/>
        <v>383.09999999999968</v>
      </c>
      <c r="F58" s="610">
        <f t="shared" si="4"/>
        <v>493.29999999999995</v>
      </c>
      <c r="G58" s="610">
        <f t="shared" si="5"/>
        <v>1432.9000000000003</v>
      </c>
      <c r="H58" s="610">
        <f t="shared" si="6"/>
        <v>105.80000000000018</v>
      </c>
      <c r="I58" s="611">
        <f t="shared" si="7"/>
        <v>235.09999999999991</v>
      </c>
    </row>
    <row r="59" spans="2:9" ht="15">
      <c r="B59" s="597">
        <f>skemA2!B21</f>
        <v>44725</v>
      </c>
      <c r="C59" s="608">
        <f t="shared" si="1"/>
        <v>3997.7</v>
      </c>
      <c r="D59" s="608">
        <f t="shared" si="2"/>
        <v>247.29999999999995</v>
      </c>
      <c r="E59" s="608">
        <f t="shared" si="3"/>
        <v>161.10000000000014</v>
      </c>
      <c r="F59" s="608">
        <f t="shared" si="4"/>
        <v>269.30000000000018</v>
      </c>
      <c r="G59" s="608">
        <f t="shared" si="5"/>
        <v>1343.5000000000005</v>
      </c>
      <c r="H59" s="608">
        <f t="shared" si="6"/>
        <v>90.700000000000045</v>
      </c>
      <c r="I59" s="609">
        <f t="shared" si="7"/>
        <v>255.09999999999991</v>
      </c>
    </row>
    <row r="60" spans="2:9" ht="15">
      <c r="B60" s="605">
        <f>skemA2!B22</f>
        <v>44726</v>
      </c>
      <c r="C60" s="610">
        <f t="shared" si="1"/>
        <v>3984.9999999999995</v>
      </c>
      <c r="D60" s="610">
        <f t="shared" si="2"/>
        <v>393.19999999999982</v>
      </c>
      <c r="E60" s="610">
        <f t="shared" si="3"/>
        <v>19.200000000000273</v>
      </c>
      <c r="F60" s="610">
        <f t="shared" si="4"/>
        <v>129.59999999999968</v>
      </c>
      <c r="G60" s="610">
        <f t="shared" si="5"/>
        <v>1151.7999999999995</v>
      </c>
      <c r="H60" s="610">
        <f t="shared" si="6"/>
        <v>74.599999999999909</v>
      </c>
      <c r="I60" s="611">
        <f t="shared" si="7"/>
        <v>230.80000000000041</v>
      </c>
    </row>
    <row r="61" spans="2:9" ht="15">
      <c r="B61" s="597">
        <f>skemA2!B23</f>
        <v>44727</v>
      </c>
      <c r="C61" s="608">
        <f t="shared" si="1"/>
        <v>3998.9</v>
      </c>
      <c r="D61" s="608">
        <f t="shared" si="2"/>
        <v>582.5</v>
      </c>
      <c r="E61" s="608">
        <f t="shared" si="3"/>
        <v>-1.7000000000002728</v>
      </c>
      <c r="F61" s="608">
        <f t="shared" si="4"/>
        <v>71.499999999999545</v>
      </c>
      <c r="G61" s="608">
        <f t="shared" si="5"/>
        <v>893.50000000000023</v>
      </c>
      <c r="H61" s="608">
        <f t="shared" si="6"/>
        <v>82.000000000000227</v>
      </c>
      <c r="I61" s="609">
        <f t="shared" si="7"/>
        <v>197.69999999999982</v>
      </c>
    </row>
    <row r="62" spans="2:9" ht="15">
      <c r="B62" s="605">
        <f>skemA2!B24</f>
        <v>44728</v>
      </c>
      <c r="C62" s="610">
        <f t="shared" si="1"/>
        <v>3976.8</v>
      </c>
      <c r="D62" s="610">
        <f t="shared" si="2"/>
        <v>823.59999999999991</v>
      </c>
      <c r="E62" s="610">
        <f t="shared" si="3"/>
        <v>135</v>
      </c>
      <c r="F62" s="610">
        <f t="shared" si="4"/>
        <v>89.600000000000136</v>
      </c>
      <c r="G62" s="610">
        <f t="shared" si="5"/>
        <v>651.39999999999986</v>
      </c>
      <c r="H62" s="610">
        <f t="shared" si="6"/>
        <v>109.70000000000005</v>
      </c>
      <c r="I62" s="611">
        <f t="shared" si="7"/>
        <v>193.80000000000018</v>
      </c>
    </row>
    <row r="63" spans="2:9" ht="15">
      <c r="B63" s="597">
        <f>skemA2!B25</f>
        <v>44729</v>
      </c>
      <c r="C63" s="608">
        <f t="shared" si="1"/>
        <v>4022.4</v>
      </c>
      <c r="D63" s="608">
        <f t="shared" si="2"/>
        <v>958.60000000000036</v>
      </c>
      <c r="E63" s="608">
        <f t="shared" si="3"/>
        <v>388.79999999999973</v>
      </c>
      <c r="F63" s="608">
        <f t="shared" si="4"/>
        <v>233.20000000000005</v>
      </c>
      <c r="G63" s="608">
        <f t="shared" si="5"/>
        <v>395.00000000000045</v>
      </c>
      <c r="H63" s="608">
        <f t="shared" si="6"/>
        <v>106.70000000000005</v>
      </c>
      <c r="I63" s="609">
        <f t="shared" si="7"/>
        <v>191.79999999999995</v>
      </c>
    </row>
    <row r="64" spans="2:9" ht="15">
      <c r="B64" s="605">
        <f>skemA2!B26</f>
        <v>44730</v>
      </c>
      <c r="C64" s="610">
        <f t="shared" si="1"/>
        <v>4030.3</v>
      </c>
      <c r="D64" s="610">
        <f t="shared" si="2"/>
        <v>965.09999999999991</v>
      </c>
      <c r="E64" s="610">
        <f t="shared" si="3"/>
        <v>653.49999999999977</v>
      </c>
      <c r="F64" s="610">
        <f t="shared" si="4"/>
        <v>463.69999999999982</v>
      </c>
      <c r="G64" s="610">
        <f t="shared" si="5"/>
        <v>237.5</v>
      </c>
      <c r="H64" s="610">
        <f t="shared" si="6"/>
        <v>119.10000000000014</v>
      </c>
      <c r="I64" s="611">
        <f t="shared" si="7"/>
        <v>154.50000000000045</v>
      </c>
    </row>
    <row r="65" spans="2:9" ht="15">
      <c r="B65" s="597">
        <f>skemA2!B27</f>
        <v>44731</v>
      </c>
      <c r="C65" s="608">
        <f t="shared" si="1"/>
        <v>4014.1</v>
      </c>
      <c r="D65" s="608">
        <f t="shared" si="2"/>
        <v>901.29999999999973</v>
      </c>
      <c r="E65" s="608">
        <f t="shared" si="3"/>
        <v>857.69999999999982</v>
      </c>
      <c r="F65" s="608">
        <f t="shared" si="4"/>
        <v>676.89999999999964</v>
      </c>
      <c r="G65" s="608">
        <f t="shared" si="5"/>
        <v>131.70000000000027</v>
      </c>
      <c r="H65" s="608">
        <f t="shared" si="6"/>
        <v>125.80000000000018</v>
      </c>
      <c r="I65" s="609">
        <f t="shared" si="7"/>
        <v>199.70000000000027</v>
      </c>
    </row>
    <row r="66" spans="2:9" ht="15">
      <c r="B66" s="605">
        <f>skemA2!B28</f>
        <v>44732</v>
      </c>
      <c r="C66" s="610">
        <f t="shared" si="1"/>
        <v>4074.3999999999996</v>
      </c>
      <c r="D66" s="610">
        <f t="shared" si="2"/>
        <v>748.39999999999964</v>
      </c>
      <c r="E66" s="610">
        <f t="shared" si="3"/>
        <v>961.20000000000027</v>
      </c>
      <c r="F66" s="610">
        <f t="shared" si="4"/>
        <v>928.2</v>
      </c>
      <c r="G66" s="610">
        <f t="shared" si="5"/>
        <v>188.00000000000023</v>
      </c>
      <c r="H66" s="610">
        <f t="shared" si="6"/>
        <v>106.70000000000005</v>
      </c>
      <c r="I66" s="611">
        <f t="shared" si="7"/>
        <v>214.59999999999945</v>
      </c>
    </row>
    <row r="67" spans="2:9" ht="15">
      <c r="B67" s="597">
        <f>skemA2!B29</f>
        <v>44733</v>
      </c>
      <c r="C67" s="608">
        <f t="shared" si="1"/>
        <v>4061.5</v>
      </c>
      <c r="D67" s="608">
        <f t="shared" si="2"/>
        <v>605.89999999999986</v>
      </c>
      <c r="E67" s="608">
        <f t="shared" si="3"/>
        <v>946.5</v>
      </c>
      <c r="F67" s="608">
        <f t="shared" si="4"/>
        <v>1127.9000000000003</v>
      </c>
      <c r="G67" s="608">
        <f t="shared" si="5"/>
        <v>382.10000000000036</v>
      </c>
      <c r="H67" s="608">
        <f t="shared" si="6"/>
        <v>86.200000000000273</v>
      </c>
      <c r="I67" s="609">
        <f t="shared" si="7"/>
        <v>204.10000000000036</v>
      </c>
    </row>
    <row r="68" spans="2:9" ht="15">
      <c r="B68" s="605">
        <f>skemA2!B30</f>
        <v>44734</v>
      </c>
      <c r="C68" s="610">
        <f t="shared" si="1"/>
        <v>3990.7000000000003</v>
      </c>
      <c r="D68" s="610">
        <f t="shared" si="2"/>
        <v>483.70000000000027</v>
      </c>
      <c r="E68" s="610">
        <f t="shared" si="3"/>
        <v>839.09999999999945</v>
      </c>
      <c r="F68" s="610">
        <f t="shared" si="4"/>
        <v>1245.2999999999995</v>
      </c>
      <c r="G68" s="610">
        <f t="shared" si="5"/>
        <v>643.30000000000041</v>
      </c>
      <c r="H68" s="610">
        <f t="shared" si="6"/>
        <v>108.09999999999991</v>
      </c>
      <c r="I68" s="611">
        <f t="shared" si="7"/>
        <v>182.70000000000027</v>
      </c>
    </row>
    <row r="69" spans="2:9" ht="15">
      <c r="B69" s="597">
        <f>skemA2!B31</f>
        <v>44735</v>
      </c>
      <c r="C69" s="608">
        <f t="shared" si="1"/>
        <v>3881.9999999999995</v>
      </c>
      <c r="D69" s="608">
        <f t="shared" si="2"/>
        <v>324.00000000000068</v>
      </c>
      <c r="E69" s="608">
        <f t="shared" si="3"/>
        <v>667.80000000000018</v>
      </c>
      <c r="F69" s="608">
        <f t="shared" si="4"/>
        <v>1213.8000000000002</v>
      </c>
      <c r="G69" s="608">
        <f t="shared" si="5"/>
        <v>928.60000000000014</v>
      </c>
      <c r="H69" s="608">
        <f t="shared" si="6"/>
        <v>93.700000000000273</v>
      </c>
      <c r="I69" s="609">
        <f t="shared" si="7"/>
        <v>206.39999999999986</v>
      </c>
    </row>
    <row r="70" spans="2:9" ht="15">
      <c r="B70" s="605">
        <f>skemA2!B32</f>
        <v>44736</v>
      </c>
      <c r="C70" s="610">
        <f t="shared" si="1"/>
        <v>3845.6</v>
      </c>
      <c r="D70" s="610">
        <f t="shared" si="2"/>
        <v>247.2000000000005</v>
      </c>
      <c r="E70" s="610">
        <f t="shared" si="3"/>
        <v>570.40000000000009</v>
      </c>
      <c r="F70" s="610">
        <f t="shared" si="4"/>
        <v>1079.6000000000001</v>
      </c>
      <c r="G70" s="610">
        <f t="shared" si="5"/>
        <v>1174.0000000000002</v>
      </c>
      <c r="H70" s="610">
        <f t="shared" si="6"/>
        <v>112.99999999999977</v>
      </c>
      <c r="I70" s="611">
        <f t="shared" si="7"/>
        <v>196.7999999999995</v>
      </c>
    </row>
    <row r="71" spans="2:9" ht="15">
      <c r="B71" s="597">
        <f>skemA2!B33</f>
        <v>44737</v>
      </c>
      <c r="C71" s="608">
        <f t="shared" si="1"/>
        <v>3886.7000000000007</v>
      </c>
      <c r="D71" s="608">
        <f t="shared" si="2"/>
        <v>210.69999999999959</v>
      </c>
      <c r="E71" s="608">
        <f t="shared" si="3"/>
        <v>452.09999999999991</v>
      </c>
      <c r="F71" s="608">
        <f t="shared" si="4"/>
        <v>868.89999999999964</v>
      </c>
      <c r="G71" s="608">
        <f t="shared" si="5"/>
        <v>1346.4999999999998</v>
      </c>
      <c r="H71" s="608">
        <f t="shared" si="6"/>
        <v>94.299999999999955</v>
      </c>
      <c r="I71" s="609">
        <f t="shared" si="7"/>
        <v>246.30000000000018</v>
      </c>
    </row>
    <row r="72" spans="2:9" ht="15">
      <c r="B72" s="592" t="s">
        <v>85</v>
      </c>
      <c r="C72" s="592">
        <f>SUM(C43:C71)</f>
        <v>115653.15</v>
      </c>
      <c r="D72" s="592">
        <f t="shared" ref="D72:I72" si="8">SUM(D43:D71)</f>
        <v>15573.550000000003</v>
      </c>
      <c r="E72" s="592">
        <f t="shared" si="8"/>
        <v>16700.349999999995</v>
      </c>
      <c r="F72" s="592">
        <f t="shared" si="8"/>
        <v>15947.549999999996</v>
      </c>
      <c r="G72" s="592">
        <f t="shared" si="8"/>
        <v>21749.55</v>
      </c>
      <c r="H72" s="592">
        <f t="shared" si="8"/>
        <v>2807.7000000000025</v>
      </c>
      <c r="I72" s="592">
        <f t="shared" si="8"/>
        <v>5803.55</v>
      </c>
    </row>
    <row r="74" spans="2:9">
      <c r="D74" s="232">
        <f t="shared" ref="D74:I74" si="9">MIN(D43:D71)</f>
        <v>161.30000000000018</v>
      </c>
      <c r="E74" s="232">
        <f t="shared" si="9"/>
        <v>-1.7000000000002728</v>
      </c>
      <c r="F74" s="232">
        <f t="shared" si="9"/>
        <v>-103.00000000000023</v>
      </c>
      <c r="G74" s="232">
        <f t="shared" si="9"/>
        <v>131.70000000000027</v>
      </c>
      <c r="H74" s="232">
        <f t="shared" si="9"/>
        <v>65.400000000000091</v>
      </c>
      <c r="I74" s="232">
        <f t="shared" si="9"/>
        <v>147.29999999999995</v>
      </c>
    </row>
  </sheetData>
  <sheetProtection selectLockedCells="1" selectUnlockedCells="1"/>
  <mergeCells count="1">
    <mergeCell ref="C41:C42"/>
  </mergeCells>
  <phoneticPr fontId="26" type="noConversion"/>
  <printOptions horizontalCentered="1"/>
  <pageMargins left="0.74791666666666667" right="0.5" top="1.2097222222222221" bottom="0.98402777777777772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35"/>
  <sheetViews>
    <sheetView zoomScaleSheetLayoutView="115" workbookViewId="0">
      <selection activeCell="H22" sqref="H22"/>
    </sheetView>
  </sheetViews>
  <sheetFormatPr defaultColWidth="9.140625" defaultRowHeight="14.25"/>
  <cols>
    <col min="1" max="1" width="2.85546875" style="1" customWidth="1"/>
    <col min="2" max="2" width="21.42578125" style="1" customWidth="1"/>
    <col min="3" max="4" width="5.7109375" style="1" customWidth="1"/>
    <col min="5" max="11" width="5.7109375" style="43" customWidth="1"/>
    <col min="12" max="16384" width="9.140625" style="1"/>
  </cols>
  <sheetData>
    <row r="1" spans="2:11" ht="16.5">
      <c r="B1" s="52" t="s">
        <v>91</v>
      </c>
    </row>
    <row r="2" spans="2:11" ht="6" customHeight="1"/>
    <row r="3" spans="2:11" ht="15">
      <c r="B3" s="680" t="s">
        <v>92</v>
      </c>
      <c r="C3" s="680"/>
      <c r="D3" s="680"/>
      <c r="E3" s="84">
        <v>0</v>
      </c>
      <c r="F3" s="84">
        <v>2</v>
      </c>
      <c r="G3" s="84" t="s">
        <v>93</v>
      </c>
      <c r="H3" s="84">
        <v>3</v>
      </c>
      <c r="I3" s="84" t="s">
        <v>94</v>
      </c>
      <c r="J3" s="84">
        <v>4</v>
      </c>
      <c r="K3" s="84" t="s">
        <v>95</v>
      </c>
    </row>
    <row r="4" spans="2:11">
      <c r="B4" s="85" t="s">
        <v>96</v>
      </c>
      <c r="C4" s="86"/>
      <c r="D4" s="87"/>
      <c r="E4" s="63">
        <v>-29</v>
      </c>
      <c r="F4" s="63">
        <v>-1</v>
      </c>
      <c r="G4" s="63">
        <v>0</v>
      </c>
      <c r="H4" s="63">
        <v>-1</v>
      </c>
      <c r="I4" s="63">
        <v>0</v>
      </c>
      <c r="J4" s="63">
        <v>-1</v>
      </c>
      <c r="K4" s="63">
        <v>0</v>
      </c>
    </row>
    <row r="5" spans="2:11">
      <c r="B5" s="85" t="s">
        <v>97</v>
      </c>
      <c r="C5" s="86"/>
      <c r="D5" s="87"/>
      <c r="E5" s="61">
        <v>-15</v>
      </c>
      <c r="F5" s="61">
        <v>1</v>
      </c>
      <c r="G5" s="61">
        <v>0</v>
      </c>
      <c r="H5" s="61">
        <v>5</v>
      </c>
      <c r="I5" s="61">
        <v>0</v>
      </c>
      <c r="J5" s="61">
        <v>1</v>
      </c>
      <c r="K5" s="61">
        <v>0</v>
      </c>
    </row>
    <row r="6" spans="2:11" ht="14.25" customHeight="1">
      <c r="B6" s="685" t="s">
        <v>98</v>
      </c>
      <c r="C6" s="683" t="s">
        <v>99</v>
      </c>
      <c r="D6" s="88"/>
      <c r="E6" s="79">
        <v>1</v>
      </c>
      <c r="F6" s="79">
        <v>1</v>
      </c>
      <c r="G6" s="79">
        <v>0</v>
      </c>
      <c r="H6" s="79">
        <v>-1</v>
      </c>
      <c r="I6" s="79">
        <v>1</v>
      </c>
      <c r="J6" s="79">
        <v>1</v>
      </c>
      <c r="K6" s="79">
        <v>0</v>
      </c>
    </row>
    <row r="7" spans="2:11">
      <c r="B7" s="686"/>
      <c r="C7" s="684"/>
      <c r="D7" s="89"/>
      <c r="E7" s="80">
        <v>1</v>
      </c>
      <c r="F7" s="80">
        <v>1</v>
      </c>
      <c r="G7" s="80">
        <v>-1</v>
      </c>
      <c r="H7" s="80">
        <v>-1</v>
      </c>
      <c r="I7" s="80">
        <v>1</v>
      </c>
      <c r="J7" s="80">
        <v>1</v>
      </c>
      <c r="K7" s="80">
        <v>-1</v>
      </c>
    </row>
    <row r="8" spans="2:11">
      <c r="B8" s="686"/>
      <c r="C8" s="684"/>
      <c r="D8" s="89"/>
      <c r="E8" s="80">
        <v>1</v>
      </c>
      <c r="F8" s="80">
        <v>1</v>
      </c>
      <c r="G8" s="80">
        <v>-1</v>
      </c>
      <c r="H8" s="80">
        <v>1</v>
      </c>
      <c r="I8" s="80">
        <v>1</v>
      </c>
      <c r="J8" s="80">
        <v>-1</v>
      </c>
      <c r="K8" s="80">
        <v>-1</v>
      </c>
    </row>
    <row r="9" spans="2:11">
      <c r="B9" s="686"/>
      <c r="C9" s="684"/>
      <c r="D9" s="89"/>
      <c r="E9" s="80">
        <v>1</v>
      </c>
      <c r="F9" s="80">
        <v>1</v>
      </c>
      <c r="G9" s="80">
        <v>-1</v>
      </c>
      <c r="H9" s="80">
        <v>1</v>
      </c>
      <c r="I9" s="80">
        <v>1</v>
      </c>
      <c r="J9" s="80">
        <v>-1</v>
      </c>
      <c r="K9" s="80">
        <v>-1</v>
      </c>
    </row>
    <row r="10" spans="2:11">
      <c r="B10" s="686"/>
      <c r="C10" s="684"/>
      <c r="D10" s="89"/>
      <c r="E10" s="80">
        <v>1</v>
      </c>
      <c r="F10" s="80">
        <v>-1</v>
      </c>
      <c r="G10" s="80">
        <v>-1</v>
      </c>
      <c r="H10" s="80">
        <v>1</v>
      </c>
      <c r="I10" s="80">
        <v>1</v>
      </c>
      <c r="J10" s="80">
        <v>-1</v>
      </c>
      <c r="K10" s="80">
        <v>1</v>
      </c>
    </row>
    <row r="11" spans="2:11">
      <c r="B11" s="686"/>
      <c r="C11" s="684"/>
      <c r="D11" s="89"/>
      <c r="E11" s="80">
        <v>1</v>
      </c>
      <c r="F11" s="80">
        <v>-1</v>
      </c>
      <c r="G11" s="80">
        <v>-1</v>
      </c>
      <c r="H11" s="80">
        <v>1</v>
      </c>
      <c r="I11" s="80">
        <v>-1</v>
      </c>
      <c r="J11" s="80">
        <v>1</v>
      </c>
      <c r="K11" s="80">
        <v>1</v>
      </c>
    </row>
    <row r="12" spans="2:11">
      <c r="B12" s="686"/>
      <c r="C12" s="684"/>
      <c r="D12" s="90"/>
      <c r="E12" s="82">
        <v>1</v>
      </c>
      <c r="F12" s="82">
        <v>-1</v>
      </c>
      <c r="G12" s="82">
        <v>-1</v>
      </c>
      <c r="H12" s="82">
        <v>1</v>
      </c>
      <c r="I12" s="82">
        <v>-1</v>
      </c>
      <c r="J12" s="82">
        <v>1</v>
      </c>
      <c r="K12" s="82">
        <v>1</v>
      </c>
    </row>
    <row r="13" spans="2:11" ht="14.25" customHeight="1">
      <c r="B13" s="686"/>
      <c r="C13" s="684"/>
      <c r="D13" s="681" t="s">
        <v>100</v>
      </c>
      <c r="E13" s="79">
        <v>1</v>
      </c>
      <c r="F13" s="79">
        <v>-1</v>
      </c>
      <c r="G13" s="79">
        <v>0</v>
      </c>
      <c r="H13" s="79">
        <v>-1</v>
      </c>
      <c r="I13" s="79">
        <v>-1</v>
      </c>
      <c r="J13" s="79">
        <v>1</v>
      </c>
      <c r="K13" s="79">
        <v>0</v>
      </c>
    </row>
    <row r="14" spans="2:11">
      <c r="B14" s="686"/>
      <c r="C14" s="684"/>
      <c r="D14" s="682"/>
      <c r="E14" s="80">
        <v>1</v>
      </c>
      <c r="F14" s="80">
        <v>-1</v>
      </c>
      <c r="G14" s="80">
        <v>1</v>
      </c>
      <c r="H14" s="80">
        <v>-1</v>
      </c>
      <c r="I14" s="80">
        <v>-1</v>
      </c>
      <c r="J14" s="80">
        <v>1</v>
      </c>
      <c r="K14" s="80">
        <v>-1</v>
      </c>
    </row>
    <row r="15" spans="2:11">
      <c r="B15" s="686"/>
      <c r="C15" s="684"/>
      <c r="D15" s="682"/>
      <c r="E15" s="80">
        <v>1</v>
      </c>
      <c r="F15" s="80">
        <v>-1</v>
      </c>
      <c r="G15" s="80">
        <v>1</v>
      </c>
      <c r="H15" s="80">
        <v>-1</v>
      </c>
      <c r="I15" s="80">
        <v>-1</v>
      </c>
      <c r="J15" s="80">
        <v>-1</v>
      </c>
      <c r="K15" s="80">
        <v>-1</v>
      </c>
    </row>
    <row r="16" spans="2:11">
      <c r="B16" s="686"/>
      <c r="C16" s="684"/>
      <c r="D16" s="682"/>
      <c r="E16" s="80">
        <v>1</v>
      </c>
      <c r="F16" s="80">
        <v>-1</v>
      </c>
      <c r="G16" s="80">
        <v>1</v>
      </c>
      <c r="H16" s="80">
        <v>-1</v>
      </c>
      <c r="I16" s="80">
        <v>1</v>
      </c>
      <c r="J16" s="80">
        <v>-1</v>
      </c>
      <c r="K16" s="80">
        <v>-1</v>
      </c>
    </row>
    <row r="17" spans="2:11">
      <c r="B17" s="686"/>
      <c r="C17" s="684"/>
      <c r="D17" s="682"/>
      <c r="E17" s="80">
        <v>1</v>
      </c>
      <c r="F17" s="80">
        <v>1</v>
      </c>
      <c r="G17" s="80">
        <v>1</v>
      </c>
      <c r="H17" s="80">
        <v>-1</v>
      </c>
      <c r="I17" s="80">
        <v>1</v>
      </c>
      <c r="J17" s="80">
        <v>-1</v>
      </c>
      <c r="K17" s="80">
        <v>1</v>
      </c>
    </row>
    <row r="18" spans="2:11">
      <c r="B18" s="686"/>
      <c r="C18" s="684"/>
      <c r="D18" s="682"/>
      <c r="E18" s="80">
        <v>1</v>
      </c>
      <c r="F18" s="80">
        <v>1</v>
      </c>
      <c r="G18" s="80">
        <v>1</v>
      </c>
      <c r="H18" s="80">
        <v>1</v>
      </c>
      <c r="I18" s="80">
        <v>1</v>
      </c>
      <c r="J18" s="80">
        <v>-1</v>
      </c>
      <c r="K18" s="80">
        <v>1</v>
      </c>
    </row>
    <row r="19" spans="2:11">
      <c r="B19" s="686"/>
      <c r="C19" s="684"/>
      <c r="D19" s="682"/>
      <c r="E19" s="82">
        <v>1</v>
      </c>
      <c r="F19" s="82">
        <v>1</v>
      </c>
      <c r="G19" s="82">
        <v>1</v>
      </c>
      <c r="H19" s="82">
        <v>1</v>
      </c>
      <c r="I19" s="82">
        <v>1</v>
      </c>
      <c r="J19" s="82">
        <v>1</v>
      </c>
      <c r="K19" s="82">
        <v>1</v>
      </c>
    </row>
    <row r="20" spans="2:11">
      <c r="B20" s="686"/>
      <c r="C20" s="684"/>
      <c r="D20" s="682"/>
      <c r="E20" s="63">
        <v>1</v>
      </c>
      <c r="F20" s="63">
        <v>1</v>
      </c>
      <c r="G20" s="63">
        <v>0</v>
      </c>
      <c r="H20" s="63">
        <v>1</v>
      </c>
      <c r="I20" s="63">
        <v>0</v>
      </c>
      <c r="J20" s="63">
        <v>1</v>
      </c>
      <c r="K20" s="63">
        <v>0</v>
      </c>
    </row>
    <row r="21" spans="2:11">
      <c r="B21" s="686"/>
      <c r="C21" s="684"/>
      <c r="D21" s="682"/>
      <c r="E21" s="79">
        <v>1</v>
      </c>
      <c r="F21" s="79">
        <v>1</v>
      </c>
      <c r="G21" s="79">
        <v>-1</v>
      </c>
      <c r="H21" s="79">
        <v>1</v>
      </c>
      <c r="I21" s="79">
        <v>-1</v>
      </c>
      <c r="J21" s="79">
        <v>1</v>
      </c>
      <c r="K21" s="79">
        <v>-1</v>
      </c>
    </row>
    <row r="22" spans="2:11">
      <c r="B22" s="686"/>
      <c r="C22" s="684"/>
      <c r="D22" s="682"/>
      <c r="E22" s="80">
        <v>1</v>
      </c>
      <c r="F22" s="80">
        <v>1</v>
      </c>
      <c r="G22" s="80">
        <v>-1</v>
      </c>
      <c r="H22" s="80">
        <v>1</v>
      </c>
      <c r="I22" s="80">
        <v>-1</v>
      </c>
      <c r="J22" s="80">
        <v>-1</v>
      </c>
      <c r="K22" s="80">
        <v>-1</v>
      </c>
    </row>
    <row r="23" spans="2:11">
      <c r="B23" s="686"/>
      <c r="C23" s="684"/>
      <c r="D23" s="682"/>
      <c r="E23" s="80">
        <v>1</v>
      </c>
      <c r="F23" s="80">
        <v>1</v>
      </c>
      <c r="G23" s="80">
        <v>-1</v>
      </c>
      <c r="H23" s="80">
        <v>-1</v>
      </c>
      <c r="I23" s="80">
        <v>-1</v>
      </c>
      <c r="J23" s="80">
        <v>-1</v>
      </c>
      <c r="K23" s="80">
        <v>-1</v>
      </c>
    </row>
    <row r="24" spans="2:11">
      <c r="B24" s="686"/>
      <c r="C24" s="684"/>
      <c r="D24" s="682"/>
      <c r="E24" s="80">
        <v>1</v>
      </c>
      <c r="F24" s="80">
        <v>-1</v>
      </c>
      <c r="G24" s="80">
        <v>-1</v>
      </c>
      <c r="H24" s="80">
        <v>-1</v>
      </c>
      <c r="I24" s="80">
        <v>-1</v>
      </c>
      <c r="J24" s="80">
        <v>-1</v>
      </c>
      <c r="K24" s="80">
        <v>1</v>
      </c>
    </row>
    <row r="25" spans="2:11">
      <c r="B25" s="686"/>
      <c r="C25" s="684"/>
      <c r="D25" s="682"/>
      <c r="E25" s="80">
        <v>1</v>
      </c>
      <c r="F25" s="80">
        <v>-1</v>
      </c>
      <c r="G25" s="80">
        <v>-1</v>
      </c>
      <c r="H25" s="80">
        <v>-1</v>
      </c>
      <c r="I25" s="80">
        <v>1</v>
      </c>
      <c r="J25" s="80">
        <v>-1</v>
      </c>
      <c r="K25" s="80">
        <v>1</v>
      </c>
    </row>
    <row r="26" spans="2:11">
      <c r="B26" s="686"/>
      <c r="C26" s="684"/>
      <c r="D26" s="682"/>
      <c r="E26" s="80">
        <v>1</v>
      </c>
      <c r="F26" s="80">
        <v>-1</v>
      </c>
      <c r="G26" s="80">
        <v>-1</v>
      </c>
      <c r="H26" s="80">
        <v>-1</v>
      </c>
      <c r="I26" s="80">
        <v>1</v>
      </c>
      <c r="J26" s="80">
        <v>1</v>
      </c>
      <c r="K26" s="80">
        <v>1</v>
      </c>
    </row>
    <row r="27" spans="2:11">
      <c r="B27" s="686"/>
      <c r="C27" s="684"/>
      <c r="D27" s="681"/>
      <c r="E27" s="82">
        <v>1</v>
      </c>
      <c r="F27" s="82">
        <v>-1</v>
      </c>
      <c r="G27" s="82">
        <v>0</v>
      </c>
      <c r="H27" s="82">
        <v>-1</v>
      </c>
      <c r="I27" s="82">
        <v>1</v>
      </c>
      <c r="J27" s="82">
        <v>1</v>
      </c>
      <c r="K27" s="82">
        <v>0</v>
      </c>
    </row>
    <row r="28" spans="2:11">
      <c r="B28" s="686"/>
      <c r="C28" s="684"/>
      <c r="D28" s="88"/>
      <c r="E28" s="79">
        <v>1</v>
      </c>
      <c r="F28" s="79">
        <v>-1</v>
      </c>
      <c r="G28" s="79">
        <v>1</v>
      </c>
      <c r="H28" s="79">
        <v>1</v>
      </c>
      <c r="I28" s="79">
        <v>1</v>
      </c>
      <c r="J28" s="79">
        <v>1</v>
      </c>
      <c r="K28" s="79">
        <v>-1</v>
      </c>
    </row>
    <row r="29" spans="2:11">
      <c r="B29" s="686"/>
      <c r="C29" s="684"/>
      <c r="D29" s="89"/>
      <c r="E29" s="80">
        <v>1</v>
      </c>
      <c r="F29" s="80">
        <v>-1</v>
      </c>
      <c r="G29" s="80">
        <v>1</v>
      </c>
      <c r="H29" s="80">
        <v>1</v>
      </c>
      <c r="I29" s="80">
        <v>1</v>
      </c>
      <c r="J29" s="80">
        <v>1</v>
      </c>
      <c r="K29" s="80">
        <v>-1</v>
      </c>
    </row>
    <row r="30" spans="2:11">
      <c r="B30" s="686"/>
      <c r="C30" s="684"/>
      <c r="D30" s="89"/>
      <c r="E30" s="80">
        <v>1</v>
      </c>
      <c r="F30" s="80">
        <v>-1</v>
      </c>
      <c r="G30" s="80">
        <v>1</v>
      </c>
      <c r="H30" s="80">
        <v>1</v>
      </c>
      <c r="I30" s="80">
        <v>-1</v>
      </c>
      <c r="J30" s="80">
        <v>-1</v>
      </c>
      <c r="K30" s="80">
        <v>-1</v>
      </c>
    </row>
    <row r="31" spans="2:11">
      <c r="B31" s="686"/>
      <c r="C31" s="684"/>
      <c r="D31" s="89"/>
      <c r="E31" s="80">
        <v>1</v>
      </c>
      <c r="F31" s="80">
        <v>1</v>
      </c>
      <c r="G31" s="80">
        <v>1</v>
      </c>
      <c r="H31" s="80">
        <v>1</v>
      </c>
      <c r="I31" s="80">
        <v>-1</v>
      </c>
      <c r="J31" s="80">
        <v>-1</v>
      </c>
      <c r="K31" s="80">
        <v>1</v>
      </c>
    </row>
    <row r="32" spans="2:11">
      <c r="B32" s="686"/>
      <c r="C32" s="684"/>
      <c r="D32" s="89"/>
      <c r="E32" s="80">
        <v>1</v>
      </c>
      <c r="F32" s="80">
        <v>1</v>
      </c>
      <c r="G32" s="80">
        <v>1</v>
      </c>
      <c r="H32" s="80">
        <v>1</v>
      </c>
      <c r="I32" s="80">
        <v>-1</v>
      </c>
      <c r="J32" s="80">
        <v>-1</v>
      </c>
      <c r="K32" s="80">
        <v>1</v>
      </c>
    </row>
    <row r="33" spans="2:11">
      <c r="B33" s="686"/>
      <c r="C33" s="684"/>
      <c r="D33" s="89"/>
      <c r="E33" s="80">
        <v>1</v>
      </c>
      <c r="F33" s="80">
        <v>1</v>
      </c>
      <c r="G33" s="80">
        <v>1</v>
      </c>
      <c r="H33" s="80">
        <v>-1</v>
      </c>
      <c r="I33" s="80">
        <v>-1</v>
      </c>
      <c r="J33" s="80">
        <v>1</v>
      </c>
      <c r="K33" s="80">
        <v>1</v>
      </c>
    </row>
    <row r="34" spans="2:11">
      <c r="B34" s="687"/>
      <c r="C34" s="684"/>
      <c r="D34" s="89"/>
      <c r="E34" s="292">
        <v>1</v>
      </c>
      <c r="F34" s="292">
        <v>1</v>
      </c>
      <c r="G34" s="292">
        <v>0</v>
      </c>
      <c r="H34" s="292">
        <v>-1</v>
      </c>
      <c r="I34" s="292">
        <v>-1</v>
      </c>
      <c r="J34" s="292">
        <v>1</v>
      </c>
      <c r="K34" s="292">
        <v>0</v>
      </c>
    </row>
    <row r="35" spans="2:11">
      <c r="B35" s="126"/>
      <c r="C35" s="479"/>
      <c r="D35" s="127"/>
      <c r="E35" s="128"/>
      <c r="F35" s="128"/>
      <c r="G35" s="128"/>
      <c r="H35" s="128"/>
      <c r="I35" s="128"/>
      <c r="J35" s="128"/>
      <c r="K35" s="128"/>
    </row>
  </sheetData>
  <sheetProtection selectLockedCells="1" selectUnlockedCells="1"/>
  <mergeCells count="4">
    <mergeCell ref="B3:D3"/>
    <mergeCell ref="D13:D27"/>
    <mergeCell ref="C6:C34"/>
    <mergeCell ref="B6:B34"/>
  </mergeCells>
  <phoneticPr fontId="26" type="noConversion"/>
  <printOptions horizontalCentered="1"/>
  <pageMargins left="0.90555555555555556" right="0.51180555555555551" top="1.1020833333333333" bottom="0.98402777777777772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O100"/>
  <sheetViews>
    <sheetView topLeftCell="R28" workbookViewId="0">
      <selection activeCell="CM22" sqref="CM22"/>
    </sheetView>
  </sheetViews>
  <sheetFormatPr defaultColWidth="9.140625" defaultRowHeight="14.25"/>
  <cols>
    <col min="1" max="1" width="2.85546875" style="1" customWidth="1"/>
    <col min="2" max="2" width="14" style="1" customWidth="1"/>
    <col min="3" max="3" width="9.42578125" style="1" customWidth="1"/>
    <col min="4" max="6" width="8.5703125" style="1" customWidth="1"/>
    <col min="7" max="7" width="2.85546875" style="1" customWidth="1"/>
    <col min="8" max="8" width="10.5703125" style="1" bestFit="1" customWidth="1"/>
    <col min="9" max="12" width="9.140625" style="1"/>
    <col min="13" max="13" width="2.5703125" style="1" customWidth="1"/>
    <col min="14" max="14" width="11" style="1" bestFit="1" customWidth="1"/>
    <col min="15" max="18" width="9.140625" style="1"/>
    <col min="19" max="19" width="3.7109375" style="1" customWidth="1"/>
    <col min="20" max="20" width="10.5703125" style="1" bestFit="1" customWidth="1"/>
    <col min="21" max="24" width="9.140625" style="1"/>
    <col min="25" max="25" width="2.42578125" style="1" customWidth="1"/>
    <col min="26" max="26" width="10.5703125" style="1" bestFit="1" customWidth="1"/>
    <col min="27" max="30" width="9.140625" style="1"/>
    <col min="31" max="31" width="3.140625" style="1" customWidth="1"/>
    <col min="32" max="32" width="10.5703125" style="1" bestFit="1" customWidth="1"/>
    <col min="33" max="36" width="9.140625" style="1"/>
    <col min="37" max="37" width="3.140625" style="1" customWidth="1"/>
    <col min="38" max="38" width="10.5703125" style="1" bestFit="1" customWidth="1"/>
    <col min="39" max="42" width="9.140625" style="1"/>
    <col min="43" max="43" width="2.5703125" style="1" customWidth="1"/>
    <col min="44" max="44" width="10.5703125" style="1" bestFit="1" customWidth="1"/>
    <col min="45" max="48" width="9.140625" style="1"/>
    <col min="49" max="49" width="2.5703125" style="1" customWidth="1"/>
    <col min="50" max="50" width="10.5703125" style="1" bestFit="1" customWidth="1"/>
    <col min="51" max="54" width="9.140625" style="1"/>
    <col min="55" max="55" width="2.5703125" style="1" customWidth="1"/>
    <col min="56" max="56" width="10.5703125" style="1" bestFit="1" customWidth="1"/>
    <col min="57" max="60" width="9.140625" style="1"/>
    <col min="61" max="61" width="3" style="1" customWidth="1"/>
    <col min="62" max="62" width="10.5703125" style="1" bestFit="1" customWidth="1"/>
    <col min="63" max="66" width="9.140625" style="1"/>
    <col min="67" max="67" width="2.7109375" style="1" customWidth="1"/>
    <col min="68" max="68" width="10.5703125" style="1" bestFit="1" customWidth="1"/>
    <col min="69" max="72" width="9.140625" style="1"/>
    <col min="73" max="73" width="3" style="1" customWidth="1"/>
    <col min="74" max="74" width="10.5703125" style="1" bestFit="1" customWidth="1"/>
    <col min="75" max="78" width="9.140625" style="1"/>
    <col min="79" max="79" width="2.7109375" style="1" customWidth="1"/>
    <col min="80" max="80" width="10.5703125" style="1" bestFit="1" customWidth="1"/>
    <col min="81" max="16384" width="9.140625" style="1"/>
  </cols>
  <sheetData>
    <row r="1" spans="2:93" ht="16.5">
      <c r="B1" s="52" t="s">
        <v>101</v>
      </c>
      <c r="F1" s="96" t="s">
        <v>104</v>
      </c>
    </row>
    <row r="2" spans="2:93" ht="7.5" customHeight="1" thickBot="1"/>
    <row r="3" spans="2:93" ht="18" thickTop="1" thickBot="1">
      <c r="B3" s="78" t="s">
        <v>86</v>
      </c>
      <c r="C3" s="78" t="s">
        <v>567</v>
      </c>
      <c r="D3" s="676" t="s">
        <v>69</v>
      </c>
      <c r="E3" s="680" t="s">
        <v>103</v>
      </c>
      <c r="F3" s="680"/>
      <c r="H3" s="78" t="s">
        <v>86</v>
      </c>
      <c r="I3" s="78" t="s">
        <v>567</v>
      </c>
      <c r="J3" s="676" t="s">
        <v>70</v>
      </c>
      <c r="K3" s="680" t="s">
        <v>105</v>
      </c>
      <c r="L3" s="680"/>
      <c r="N3" s="78" t="s">
        <v>86</v>
      </c>
      <c r="O3" s="78" t="s">
        <v>567</v>
      </c>
      <c r="P3" s="676" t="s">
        <v>69</v>
      </c>
      <c r="Q3" s="680" t="s">
        <v>106</v>
      </c>
      <c r="R3" s="680"/>
      <c r="T3" s="78" t="s">
        <v>86</v>
      </c>
      <c r="U3" s="78" t="s">
        <v>567</v>
      </c>
      <c r="V3" s="676" t="s">
        <v>70</v>
      </c>
      <c r="W3" s="680" t="s">
        <v>107</v>
      </c>
      <c r="X3" s="680"/>
      <c r="Y3" s="482"/>
      <c r="Z3" s="78" t="s">
        <v>86</v>
      </c>
      <c r="AA3" s="78" t="s">
        <v>567</v>
      </c>
      <c r="AB3" s="676" t="s">
        <v>69</v>
      </c>
      <c r="AC3" s="680" t="s">
        <v>108</v>
      </c>
      <c r="AD3" s="680"/>
      <c r="AE3" s="482"/>
      <c r="AF3" s="78" t="s">
        <v>86</v>
      </c>
      <c r="AG3" s="78" t="s">
        <v>567</v>
      </c>
      <c r="AH3" s="676" t="s">
        <v>70</v>
      </c>
      <c r="AI3" s="680" t="s">
        <v>109</v>
      </c>
      <c r="AJ3" s="680"/>
      <c r="AL3" s="78" t="s">
        <v>86</v>
      </c>
      <c r="AM3" s="78" t="s">
        <v>567</v>
      </c>
      <c r="AN3" s="676" t="s">
        <v>69</v>
      </c>
      <c r="AO3" s="680" t="s">
        <v>110</v>
      </c>
      <c r="AP3" s="680"/>
      <c r="AR3" s="78" t="s">
        <v>86</v>
      </c>
      <c r="AS3" s="78" t="s">
        <v>567</v>
      </c>
      <c r="AT3" s="676" t="s">
        <v>70</v>
      </c>
      <c r="AU3" s="680" t="s">
        <v>111</v>
      </c>
      <c r="AV3" s="680"/>
      <c r="AX3" s="78" t="s">
        <v>86</v>
      </c>
      <c r="AY3" s="78" t="s">
        <v>567</v>
      </c>
      <c r="AZ3" s="676" t="s">
        <v>69</v>
      </c>
      <c r="BA3" s="680" t="s">
        <v>112</v>
      </c>
      <c r="BB3" s="680"/>
      <c r="BD3" s="78" t="s">
        <v>86</v>
      </c>
      <c r="BE3" s="78" t="s">
        <v>567</v>
      </c>
      <c r="BF3" s="676" t="s">
        <v>70</v>
      </c>
      <c r="BG3" s="680" t="s">
        <v>113</v>
      </c>
      <c r="BH3" s="680"/>
      <c r="BJ3" s="78" t="s">
        <v>86</v>
      </c>
      <c r="BK3" s="78" t="s">
        <v>567</v>
      </c>
      <c r="BL3" s="676" t="s">
        <v>69</v>
      </c>
      <c r="BM3" s="680" t="s">
        <v>574</v>
      </c>
      <c r="BN3" s="680"/>
      <c r="BP3" s="78" t="s">
        <v>86</v>
      </c>
      <c r="BQ3" s="78" t="s">
        <v>567</v>
      </c>
      <c r="BR3" s="676" t="s">
        <v>70</v>
      </c>
      <c r="BS3" s="680" t="s">
        <v>575</v>
      </c>
      <c r="BT3" s="680"/>
      <c r="BU3" s="485"/>
      <c r="BV3" s="78" t="s">
        <v>86</v>
      </c>
      <c r="BW3" s="78" t="s">
        <v>567</v>
      </c>
      <c r="BX3" s="676" t="s">
        <v>69</v>
      </c>
      <c r="BY3" s="680" t="s">
        <v>577</v>
      </c>
      <c r="BZ3" s="680"/>
      <c r="CB3" s="78" t="s">
        <v>86</v>
      </c>
      <c r="CC3" s="78" t="s">
        <v>567</v>
      </c>
      <c r="CD3" s="676" t="s">
        <v>70</v>
      </c>
      <c r="CE3" s="680" t="s">
        <v>578</v>
      </c>
      <c r="CF3" s="680"/>
      <c r="CG3" s="24"/>
      <c r="CH3" s="24"/>
      <c r="CI3" s="24"/>
      <c r="CJ3" s="690" t="s">
        <v>134</v>
      </c>
      <c r="CK3" s="690"/>
      <c r="CL3" s="691" t="s">
        <v>135</v>
      </c>
      <c r="CM3" s="691"/>
      <c r="CN3" s="692" t="s">
        <v>136</v>
      </c>
      <c r="CO3" s="693" t="s">
        <v>137</v>
      </c>
    </row>
    <row r="4" spans="2:93" ht="15.75" thickTop="1">
      <c r="B4" s="78" t="s">
        <v>87</v>
      </c>
      <c r="C4" s="78" t="s">
        <v>568</v>
      </c>
      <c r="D4" s="676"/>
      <c r="E4" s="78" t="s">
        <v>76</v>
      </c>
      <c r="F4" s="78" t="s">
        <v>77</v>
      </c>
      <c r="H4" s="78" t="s">
        <v>87</v>
      </c>
      <c r="I4" s="78" t="s">
        <v>568</v>
      </c>
      <c r="J4" s="676"/>
      <c r="K4" s="78" t="s">
        <v>76</v>
      </c>
      <c r="L4" s="78" t="s">
        <v>77</v>
      </c>
      <c r="N4" s="78" t="s">
        <v>87</v>
      </c>
      <c r="O4" s="78" t="s">
        <v>569</v>
      </c>
      <c r="P4" s="676"/>
      <c r="Q4" s="78" t="s">
        <v>76</v>
      </c>
      <c r="R4" s="78" t="s">
        <v>77</v>
      </c>
      <c r="T4" s="78" t="s">
        <v>87</v>
      </c>
      <c r="U4" s="78" t="s">
        <v>569</v>
      </c>
      <c r="V4" s="676"/>
      <c r="W4" s="78" t="s">
        <v>76</v>
      </c>
      <c r="X4" s="78" t="s">
        <v>77</v>
      </c>
      <c r="Y4" s="482"/>
      <c r="Z4" s="78" t="s">
        <v>87</v>
      </c>
      <c r="AA4" s="78" t="s">
        <v>570</v>
      </c>
      <c r="AB4" s="676"/>
      <c r="AC4" s="78" t="s">
        <v>76</v>
      </c>
      <c r="AD4" s="78" t="s">
        <v>77</v>
      </c>
      <c r="AE4" s="482"/>
      <c r="AF4" s="78" t="s">
        <v>87</v>
      </c>
      <c r="AG4" s="78" t="s">
        <v>570</v>
      </c>
      <c r="AH4" s="676"/>
      <c r="AI4" s="78" t="s">
        <v>76</v>
      </c>
      <c r="AJ4" s="78" t="s">
        <v>77</v>
      </c>
      <c r="AL4" s="78" t="s">
        <v>87</v>
      </c>
      <c r="AM4" s="78" t="s">
        <v>571</v>
      </c>
      <c r="AN4" s="676"/>
      <c r="AO4" s="78" t="s">
        <v>76</v>
      </c>
      <c r="AP4" s="78" t="s">
        <v>77</v>
      </c>
      <c r="AR4" s="78" t="s">
        <v>87</v>
      </c>
      <c r="AS4" s="78" t="s">
        <v>571</v>
      </c>
      <c r="AT4" s="676"/>
      <c r="AU4" s="78" t="s">
        <v>76</v>
      </c>
      <c r="AV4" s="78" t="s">
        <v>77</v>
      </c>
      <c r="AX4" s="78" t="s">
        <v>87</v>
      </c>
      <c r="AY4" s="78" t="s">
        <v>572</v>
      </c>
      <c r="AZ4" s="676"/>
      <c r="BA4" s="78" t="s">
        <v>76</v>
      </c>
      <c r="BB4" s="78" t="s">
        <v>77</v>
      </c>
      <c r="BD4" s="78" t="s">
        <v>87</v>
      </c>
      <c r="BE4" s="78" t="s">
        <v>572</v>
      </c>
      <c r="BF4" s="676"/>
      <c r="BG4" s="78" t="s">
        <v>76</v>
      </c>
      <c r="BH4" s="78" t="s">
        <v>77</v>
      </c>
      <c r="BJ4" s="78" t="s">
        <v>87</v>
      </c>
      <c r="BK4" s="78" t="s">
        <v>573</v>
      </c>
      <c r="BL4" s="676"/>
      <c r="BM4" s="78" t="s">
        <v>76</v>
      </c>
      <c r="BN4" s="78" t="s">
        <v>77</v>
      </c>
      <c r="BP4" s="78" t="s">
        <v>87</v>
      </c>
      <c r="BQ4" s="78" t="s">
        <v>573</v>
      </c>
      <c r="BR4" s="676"/>
      <c r="BS4" s="78" t="s">
        <v>76</v>
      </c>
      <c r="BT4" s="78" t="s">
        <v>77</v>
      </c>
      <c r="BU4" s="485"/>
      <c r="BV4" s="78" t="s">
        <v>87</v>
      </c>
      <c r="BW4" s="78" t="s">
        <v>576</v>
      </c>
      <c r="BX4" s="676"/>
      <c r="BY4" s="78" t="s">
        <v>76</v>
      </c>
      <c r="BZ4" s="78" t="s">
        <v>77</v>
      </c>
      <c r="CB4" s="78" t="s">
        <v>87</v>
      </c>
      <c r="CC4" s="78" t="s">
        <v>576</v>
      </c>
      <c r="CD4" s="676"/>
      <c r="CE4" s="78" t="s">
        <v>76</v>
      </c>
      <c r="CF4" s="78" t="s">
        <v>77</v>
      </c>
      <c r="CG4" s="24"/>
      <c r="CH4" s="24"/>
      <c r="CI4" s="24"/>
      <c r="CJ4" s="690"/>
      <c r="CK4" s="690"/>
      <c r="CL4" s="78" t="s">
        <v>136</v>
      </c>
      <c r="CM4" s="78" t="s">
        <v>137</v>
      </c>
      <c r="CN4" s="692"/>
      <c r="CO4" s="693"/>
    </row>
    <row r="5" spans="2:93">
      <c r="B5" s="477">
        <f>skemA3!B5</f>
        <v>44709</v>
      </c>
      <c r="C5" s="66">
        <f>'Tabel 6'!E6</f>
        <v>1</v>
      </c>
      <c r="D5" s="66">
        <f>skemA3!D43</f>
        <v>247.70000000000027</v>
      </c>
      <c r="E5" s="480">
        <f>IF($C5&gt;0,$D5*$C5,0)</f>
        <v>247.70000000000027</v>
      </c>
      <c r="F5" s="480">
        <f>IF($C5&lt;0,ABS($D5*$C5),0)</f>
        <v>0</v>
      </c>
      <c r="H5" s="477">
        <f>skemA3!B5</f>
        <v>44709</v>
      </c>
      <c r="I5" s="66">
        <f>'Tabel 6'!E6</f>
        <v>1</v>
      </c>
      <c r="J5" s="481">
        <f>skemA3!E43</f>
        <v>529.30000000000018</v>
      </c>
      <c r="K5" s="480">
        <f>IF($I5&gt;0,$J5*$I5,0)</f>
        <v>529.30000000000018</v>
      </c>
      <c r="L5" s="480">
        <f>IF($I5&lt;0,ABS($J5*$I5),0)</f>
        <v>0</v>
      </c>
      <c r="N5" s="477">
        <f>skemA3!B5</f>
        <v>44709</v>
      </c>
      <c r="O5" s="66">
        <f>'Tabel 6'!F6</f>
        <v>1</v>
      </c>
      <c r="P5" s="481">
        <f>D5</f>
        <v>247.70000000000027</v>
      </c>
      <c r="Q5" s="480">
        <f>IF($O5&gt;0,$P5*$O5,0)</f>
        <v>247.70000000000027</v>
      </c>
      <c r="R5" s="480">
        <f>IF($O5&lt;0,ABS($P5*$O5),0)</f>
        <v>0</v>
      </c>
      <c r="T5" s="477">
        <f>skemA3!B5</f>
        <v>44709</v>
      </c>
      <c r="U5" s="66">
        <f>O5</f>
        <v>1</v>
      </c>
      <c r="V5" s="481">
        <f>J5</f>
        <v>529.30000000000018</v>
      </c>
      <c r="W5" s="480">
        <f>IF($U5&gt;0,$V5*$U5,0)</f>
        <v>529.30000000000018</v>
      </c>
      <c r="X5" s="480">
        <f>IF($U5&lt;0,ABS($V5*$U5),0)</f>
        <v>0</v>
      </c>
      <c r="Y5" s="483"/>
      <c r="Z5" s="477">
        <f>skemA3!B5</f>
        <v>44709</v>
      </c>
      <c r="AA5" s="66">
        <f>'Tabel 6'!G6</f>
        <v>0</v>
      </c>
      <c r="AB5" s="481">
        <f>P5</f>
        <v>247.70000000000027</v>
      </c>
      <c r="AC5" s="480">
        <f>IF($AA5&gt;0,$AB5*$AA5,0)</f>
        <v>0</v>
      </c>
      <c r="AD5" s="480">
        <f>IF($AA5&lt;0,ABS($AB5*$AA5),0)</f>
        <v>0</v>
      </c>
      <c r="AE5" s="483"/>
      <c r="AF5" s="477">
        <f>skemA3!B5</f>
        <v>44709</v>
      </c>
      <c r="AG5" s="66">
        <f>AA5</f>
        <v>0</v>
      </c>
      <c r="AH5" s="481">
        <f>V5</f>
        <v>529.30000000000018</v>
      </c>
      <c r="AI5" s="480">
        <f>IF($AG5&gt;0,$AH5*$AG5,0)</f>
        <v>0</v>
      </c>
      <c r="AJ5" s="480">
        <f>IF($AG5&lt;0,ABS($AH5*$AG5),0)</f>
        <v>0</v>
      </c>
      <c r="AL5" s="477">
        <f>skemA3!B5</f>
        <v>44709</v>
      </c>
      <c r="AM5" s="66">
        <f>'Tabel 6'!H6</f>
        <v>-1</v>
      </c>
      <c r="AN5" s="481">
        <f>AB5</f>
        <v>247.70000000000027</v>
      </c>
      <c r="AO5" s="480">
        <f>IF($AM5&gt;0,$AN5*$AM5,0)</f>
        <v>0</v>
      </c>
      <c r="AP5" s="480">
        <f>IF($AM5&lt;0,ABS($AN5*$AM5),0)</f>
        <v>247.70000000000027</v>
      </c>
      <c r="AR5" s="477">
        <f>skemA3!B5</f>
        <v>44709</v>
      </c>
      <c r="AS5" s="66">
        <f>AM5</f>
        <v>-1</v>
      </c>
      <c r="AT5" s="481">
        <f>AH5</f>
        <v>529.30000000000018</v>
      </c>
      <c r="AU5" s="480">
        <f>IF($AS5&gt;0,$AT5*$AS5,0)</f>
        <v>0</v>
      </c>
      <c r="AV5" s="480">
        <f>IF($AS5&lt;0,ABS($AT5*$AS5),0)</f>
        <v>529.30000000000018</v>
      </c>
      <c r="AX5" s="477">
        <f>skemA3!B5</f>
        <v>44709</v>
      </c>
      <c r="AY5" s="66">
        <f>'Tabel 6'!I6</f>
        <v>1</v>
      </c>
      <c r="AZ5" s="481">
        <f>AN5</f>
        <v>247.70000000000027</v>
      </c>
      <c r="BA5" s="480">
        <f>IF($AY5&gt;0,$AZ5*$AY5,0)</f>
        <v>247.70000000000027</v>
      </c>
      <c r="BB5" s="480">
        <f>IF($AY5&lt;0,ABS($AZ5*$AY5),0)</f>
        <v>0</v>
      </c>
      <c r="BD5" s="477">
        <f>skemA3!B5</f>
        <v>44709</v>
      </c>
      <c r="BE5" s="66">
        <f>AY5</f>
        <v>1</v>
      </c>
      <c r="BF5" s="481">
        <f>AT5</f>
        <v>529.30000000000018</v>
      </c>
      <c r="BG5" s="480">
        <f>IF($BE5&gt;0,$BF5*$BE5,0)</f>
        <v>529.30000000000018</v>
      </c>
      <c r="BH5" s="480">
        <f>IF($BE5&lt;0,ABS($BF5*$BE5),0)</f>
        <v>0</v>
      </c>
      <c r="BJ5" s="477">
        <f>skemA3!B5</f>
        <v>44709</v>
      </c>
      <c r="BK5" s="66">
        <f>'Tabel 6'!J6</f>
        <v>1</v>
      </c>
      <c r="BL5" s="481">
        <f>AZ5</f>
        <v>247.70000000000027</v>
      </c>
      <c r="BM5" s="480">
        <f>IF($BK5&gt;0,$BL5*$BK5,0)</f>
        <v>247.70000000000027</v>
      </c>
      <c r="BN5" s="480">
        <f>IF($BK5&lt;0,ABS($BL5*$BK5),0)</f>
        <v>0</v>
      </c>
      <c r="BP5" s="477">
        <f>skemA3!B5</f>
        <v>44709</v>
      </c>
      <c r="BQ5" s="66">
        <f>BK5</f>
        <v>1</v>
      </c>
      <c r="BR5" s="481">
        <f>BF5</f>
        <v>529.30000000000018</v>
      </c>
      <c r="BS5" s="480">
        <f>IF($BQ5&gt;0,$BR5*$BQ5,0)</f>
        <v>529.30000000000018</v>
      </c>
      <c r="BT5" s="480">
        <f>IF($BQ5&lt;0,ABS($BR5*$BQ5),0)</f>
        <v>0</v>
      </c>
      <c r="BU5" s="486"/>
      <c r="BV5" s="477">
        <f>skemA3!B5</f>
        <v>44709</v>
      </c>
      <c r="BW5" s="66">
        <f>'Tabel 6'!K6</f>
        <v>0</v>
      </c>
      <c r="BX5" s="481">
        <f>BL5</f>
        <v>247.70000000000027</v>
      </c>
      <c r="BY5" s="480">
        <f>IF($BW5&gt;0,$BX5*$BW5,0)</f>
        <v>0</v>
      </c>
      <c r="BZ5" s="480">
        <f>IF($BW5&lt;0,ABS($BX5*$BW5),0)</f>
        <v>0</v>
      </c>
      <c r="CB5" s="477">
        <f>skemA3!B5</f>
        <v>44709</v>
      </c>
      <c r="CC5" s="66">
        <f>BW5</f>
        <v>0</v>
      </c>
      <c r="CD5" s="481">
        <f>BR5</f>
        <v>529.30000000000018</v>
      </c>
      <c r="CE5" s="480">
        <f>IF($CC5&gt;0,$CD5*$CC5,0)</f>
        <v>0</v>
      </c>
      <c r="CF5" s="480">
        <f>IF($CC5&lt;0,ABS($CD5*$CC5),0)</f>
        <v>0</v>
      </c>
      <c r="CG5" s="487"/>
      <c r="CH5" s="487"/>
      <c r="CI5" s="487"/>
      <c r="CJ5" s="99" t="s">
        <v>37</v>
      </c>
      <c r="CK5" s="63" t="s">
        <v>76</v>
      </c>
      <c r="CL5" s="488">
        <f>skemA3!C72</f>
        <v>115653.15</v>
      </c>
      <c r="CM5" s="63"/>
      <c r="CN5" s="63">
        <f>CL5</f>
        <v>115653.15</v>
      </c>
      <c r="CO5" s="100"/>
    </row>
    <row r="6" spans="2:93">
      <c r="B6" s="477">
        <f>skemA3!B6</f>
        <v>44710</v>
      </c>
      <c r="C6" s="66">
        <f>'Tabel 6'!E7</f>
        <v>1</v>
      </c>
      <c r="D6" s="66">
        <f>skemA3!D44</f>
        <v>270.19999999999959</v>
      </c>
      <c r="E6" s="480">
        <f t="shared" ref="E6:E33" si="0">IF($C6&gt;0,$D6*$C6,0)</f>
        <v>270.19999999999959</v>
      </c>
      <c r="F6" s="480">
        <f t="shared" ref="F6:F33" si="1">IF($C6&lt;0,ABS($D6*$C6),0)</f>
        <v>0</v>
      </c>
      <c r="H6" s="477">
        <f>skemA3!B6</f>
        <v>44710</v>
      </c>
      <c r="I6" s="66">
        <f>'Tabel 6'!E7</f>
        <v>1</v>
      </c>
      <c r="J6" s="481">
        <f>skemA3!E44</f>
        <v>371.99999999999977</v>
      </c>
      <c r="K6" s="480">
        <f t="shared" ref="K6:K33" si="2">IF($I6&gt;0,$J6*$I6,0)</f>
        <v>371.99999999999977</v>
      </c>
      <c r="L6" s="480">
        <f t="shared" ref="L6:L33" si="3">IF($I6&lt;0,ABS($J6*$I6),0)</f>
        <v>0</v>
      </c>
      <c r="N6" s="477">
        <f>skemA3!B6</f>
        <v>44710</v>
      </c>
      <c r="O6" s="66">
        <f>'Tabel 6'!F7</f>
        <v>1</v>
      </c>
      <c r="P6" s="481">
        <f t="shared" ref="P6:P33" si="4">D6</f>
        <v>270.19999999999959</v>
      </c>
      <c r="Q6" s="480">
        <f t="shared" ref="Q6:Q33" si="5">IF($O6&gt;0,$P6*$O6,0)</f>
        <v>270.19999999999959</v>
      </c>
      <c r="R6" s="480">
        <f t="shared" ref="R6:R33" si="6">IF($O6&lt;0,ABS($P6*$O6),0)</f>
        <v>0</v>
      </c>
      <c r="T6" s="477">
        <f>skemA3!B6</f>
        <v>44710</v>
      </c>
      <c r="U6" s="66">
        <f t="shared" ref="U6:U33" si="7">O6</f>
        <v>1</v>
      </c>
      <c r="V6" s="481">
        <f t="shared" ref="V6:V33" si="8">J6</f>
        <v>371.99999999999977</v>
      </c>
      <c r="W6" s="480">
        <f t="shared" ref="W6:W33" si="9">IF($U6&gt;0,$V6*$U6,0)</f>
        <v>371.99999999999977</v>
      </c>
      <c r="X6" s="480">
        <f t="shared" ref="X6:X33" si="10">IF($U6&lt;0,ABS($V6*$U6),0)</f>
        <v>0</v>
      </c>
      <c r="Y6" s="483"/>
      <c r="Z6" s="477">
        <f>skemA3!B6</f>
        <v>44710</v>
      </c>
      <c r="AA6" s="66">
        <f>'Tabel 6'!G7</f>
        <v>-1</v>
      </c>
      <c r="AB6" s="481">
        <f t="shared" ref="AB6:AB33" si="11">P6</f>
        <v>270.19999999999959</v>
      </c>
      <c r="AC6" s="480">
        <f t="shared" ref="AC6:AC33" si="12">IF($AA6&gt;0,$AB6*$AA6,0)</f>
        <v>0</v>
      </c>
      <c r="AD6" s="480">
        <f t="shared" ref="AD6:AD33" si="13">IF($AA6&lt;0,ABS($AB6*$AA6),0)</f>
        <v>270.19999999999959</v>
      </c>
      <c r="AE6" s="483"/>
      <c r="AF6" s="477">
        <f>skemA3!B6</f>
        <v>44710</v>
      </c>
      <c r="AG6" s="66">
        <f t="shared" ref="AG6:AG33" si="14">AA6</f>
        <v>-1</v>
      </c>
      <c r="AH6" s="481">
        <f t="shared" ref="AH6:AH33" si="15">V6</f>
        <v>371.99999999999977</v>
      </c>
      <c r="AI6" s="480">
        <f t="shared" ref="AI6:AI33" si="16">IF($AG6&gt;0,$AH6*$AG6,0)</f>
        <v>0</v>
      </c>
      <c r="AJ6" s="480">
        <f t="shared" ref="AJ6:AJ33" si="17">IF($AG6&lt;0,ABS($AH6*$AG6),0)</f>
        <v>371.99999999999977</v>
      </c>
      <c r="AL6" s="477">
        <f>skemA3!B6</f>
        <v>44710</v>
      </c>
      <c r="AM6" s="66">
        <f>'Tabel 6'!H7</f>
        <v>-1</v>
      </c>
      <c r="AN6" s="481">
        <f t="shared" ref="AN6:AN33" si="18">AB6</f>
        <v>270.19999999999959</v>
      </c>
      <c r="AO6" s="480">
        <f t="shared" ref="AO6:AO33" si="19">IF($AM6&gt;0,$AN6*$AM6,0)</f>
        <v>0</v>
      </c>
      <c r="AP6" s="480">
        <f t="shared" ref="AP6:AP33" si="20">IF($AM6&lt;0,ABS($AN6*$AM6),0)</f>
        <v>270.19999999999959</v>
      </c>
      <c r="AR6" s="477">
        <f>skemA3!B6</f>
        <v>44710</v>
      </c>
      <c r="AS6" s="66">
        <f t="shared" ref="AS6:AS33" si="21">AM6</f>
        <v>-1</v>
      </c>
      <c r="AT6" s="481">
        <f t="shared" ref="AT6:AT33" si="22">AH6</f>
        <v>371.99999999999977</v>
      </c>
      <c r="AU6" s="480">
        <f t="shared" ref="AU6:AU33" si="23">IF($AS6&gt;0,$AT6*$AS6,0)</f>
        <v>0</v>
      </c>
      <c r="AV6" s="480">
        <f t="shared" ref="AV6:AV33" si="24">IF($AS6&lt;0,ABS($AT6*$AS6),0)</f>
        <v>371.99999999999977</v>
      </c>
      <c r="AX6" s="477">
        <f>skemA3!B6</f>
        <v>44710</v>
      </c>
      <c r="AY6" s="66">
        <f>'Tabel 6'!I7</f>
        <v>1</v>
      </c>
      <c r="AZ6" s="481">
        <f t="shared" ref="AZ6:AZ33" si="25">AN6</f>
        <v>270.19999999999959</v>
      </c>
      <c r="BA6" s="480">
        <f t="shared" ref="BA6:BA33" si="26">IF($AY6&gt;0,$AZ6*$AY6,0)</f>
        <v>270.19999999999959</v>
      </c>
      <c r="BB6" s="480">
        <f t="shared" ref="BB6:BB33" si="27">IF($AY6&lt;0,ABS($AZ6*$AY6),0)</f>
        <v>0</v>
      </c>
      <c r="BD6" s="477">
        <f>skemA3!B6</f>
        <v>44710</v>
      </c>
      <c r="BE6" s="66">
        <f t="shared" ref="BE6:BE33" si="28">AY6</f>
        <v>1</v>
      </c>
      <c r="BF6" s="481">
        <f t="shared" ref="BF6:BF33" si="29">AT6</f>
        <v>371.99999999999977</v>
      </c>
      <c r="BG6" s="480">
        <f t="shared" ref="BG6:BG33" si="30">IF($BE6&gt;0,$BF6*$BE6,0)</f>
        <v>371.99999999999977</v>
      </c>
      <c r="BH6" s="480">
        <f t="shared" ref="BH6:BH33" si="31">IF($BE6&lt;0,ABS($BF6*$BE6),0)</f>
        <v>0</v>
      </c>
      <c r="BJ6" s="477">
        <f>skemA3!B6</f>
        <v>44710</v>
      </c>
      <c r="BK6" s="66">
        <f>'Tabel 6'!J7</f>
        <v>1</v>
      </c>
      <c r="BL6" s="481">
        <f t="shared" ref="BL6:BL33" si="32">AZ6</f>
        <v>270.19999999999959</v>
      </c>
      <c r="BM6" s="480">
        <f t="shared" ref="BM6:BM33" si="33">IF($BK6&gt;0,$BL6*$BK6,0)</f>
        <v>270.19999999999959</v>
      </c>
      <c r="BN6" s="480">
        <f t="shared" ref="BN6:BN33" si="34">IF($BK6&lt;0,ABS($BL6*$BK6),0)</f>
        <v>0</v>
      </c>
      <c r="BP6" s="477">
        <f>skemA3!B6</f>
        <v>44710</v>
      </c>
      <c r="BQ6" s="66">
        <f t="shared" ref="BQ6:BQ33" si="35">BK6</f>
        <v>1</v>
      </c>
      <c r="BR6" s="481">
        <f t="shared" ref="BR6:BR33" si="36">BF6</f>
        <v>371.99999999999977</v>
      </c>
      <c r="BS6" s="480">
        <f t="shared" ref="BS6:BS33" si="37">IF($BQ6&gt;0,$BR6*$BQ6,0)</f>
        <v>371.99999999999977</v>
      </c>
      <c r="BT6" s="480">
        <f t="shared" ref="BT6:BT33" si="38">IF($BQ6&lt;0,ABS($BR6*$BQ6),0)</f>
        <v>0</v>
      </c>
      <c r="BU6" s="486"/>
      <c r="BV6" s="477">
        <f>skemA3!B6</f>
        <v>44710</v>
      </c>
      <c r="BW6" s="66">
        <f>'Tabel 6'!K7</f>
        <v>-1</v>
      </c>
      <c r="BX6" s="481">
        <f t="shared" ref="BX6:BX33" si="39">BL6</f>
        <v>270.19999999999959</v>
      </c>
      <c r="BY6" s="480">
        <f t="shared" ref="BY6:BY33" si="40">IF($BW6&gt;0,$BX6*$BW6,0)</f>
        <v>0</v>
      </c>
      <c r="BZ6" s="480">
        <f t="shared" ref="BZ6:BZ33" si="41">IF($BW6&lt;0,ABS($BX6*$BW6),0)</f>
        <v>270.19999999999959</v>
      </c>
      <c r="CB6" s="477">
        <f>skemA3!B6</f>
        <v>44710</v>
      </c>
      <c r="CC6" s="66">
        <f t="shared" ref="CC6:CC33" si="42">BW6</f>
        <v>-1</v>
      </c>
      <c r="CD6" s="481">
        <f t="shared" ref="CD6:CD33" si="43">BR6</f>
        <v>371.99999999999977</v>
      </c>
      <c r="CE6" s="480">
        <f t="shared" ref="CE6:CE33" si="44">IF($CC6&gt;0,$CD6*$CC6,0)</f>
        <v>0</v>
      </c>
      <c r="CF6" s="480">
        <f t="shared" ref="CF6:CF33" si="45">IF($CC6&lt;0,ABS($CD6*$CC6),0)</f>
        <v>371.99999999999977</v>
      </c>
      <c r="CG6" s="487"/>
      <c r="CH6" s="487"/>
      <c r="CI6" s="487"/>
      <c r="CJ6" s="688">
        <v>10</v>
      </c>
      <c r="CK6" s="61" t="s">
        <v>76</v>
      </c>
      <c r="CL6" s="61">
        <f>E34</f>
        <v>7920.7500000000018</v>
      </c>
      <c r="CM6" s="61">
        <f>K34</f>
        <v>9666.5499999999975</v>
      </c>
      <c r="CN6" s="61">
        <f>IF((CL6-CL7)&gt;0,(CL6-CL7),0)</f>
        <v>5020.7500000000018</v>
      </c>
      <c r="CO6" s="101">
        <f>IF((CM6-CM7)&gt;0,(CM6-CM7),0)</f>
        <v>0</v>
      </c>
    </row>
    <row r="7" spans="2:93">
      <c r="B7" s="477">
        <f>skemA3!B7</f>
        <v>44711</v>
      </c>
      <c r="C7" s="66">
        <f>'Tabel 6'!E8</f>
        <v>1</v>
      </c>
      <c r="D7" s="66">
        <f>skemA3!D45</f>
        <v>355.09999999999968</v>
      </c>
      <c r="E7" s="480">
        <f t="shared" si="0"/>
        <v>355.09999999999968</v>
      </c>
      <c r="F7" s="480">
        <f t="shared" si="1"/>
        <v>0</v>
      </c>
      <c r="H7" s="477">
        <f>skemA3!B7</f>
        <v>44711</v>
      </c>
      <c r="I7" s="66">
        <f>'Tabel 6'!E8</f>
        <v>1</v>
      </c>
      <c r="J7" s="481">
        <f>skemA3!E45</f>
        <v>355.89999999999986</v>
      </c>
      <c r="K7" s="480">
        <f t="shared" si="2"/>
        <v>355.89999999999986</v>
      </c>
      <c r="L7" s="480">
        <f t="shared" si="3"/>
        <v>0</v>
      </c>
      <c r="N7" s="477">
        <f>skemA3!B7</f>
        <v>44711</v>
      </c>
      <c r="O7" s="66">
        <f>'Tabel 6'!F8</f>
        <v>1</v>
      </c>
      <c r="P7" s="481">
        <f t="shared" si="4"/>
        <v>355.09999999999968</v>
      </c>
      <c r="Q7" s="480">
        <f t="shared" si="5"/>
        <v>355.09999999999968</v>
      </c>
      <c r="R7" s="480">
        <f t="shared" si="6"/>
        <v>0</v>
      </c>
      <c r="T7" s="477">
        <f>skemA3!B7</f>
        <v>44711</v>
      </c>
      <c r="U7" s="66">
        <f t="shared" si="7"/>
        <v>1</v>
      </c>
      <c r="V7" s="481">
        <f t="shared" si="8"/>
        <v>355.89999999999986</v>
      </c>
      <c r="W7" s="480">
        <f t="shared" si="9"/>
        <v>355.89999999999986</v>
      </c>
      <c r="X7" s="480">
        <f t="shared" si="10"/>
        <v>0</v>
      </c>
      <c r="Y7" s="483"/>
      <c r="Z7" s="477">
        <f>skemA3!B7</f>
        <v>44711</v>
      </c>
      <c r="AA7" s="66">
        <f>'Tabel 6'!G8</f>
        <v>-1</v>
      </c>
      <c r="AB7" s="481">
        <f t="shared" si="11"/>
        <v>355.09999999999968</v>
      </c>
      <c r="AC7" s="480">
        <f t="shared" si="12"/>
        <v>0</v>
      </c>
      <c r="AD7" s="480">
        <f t="shared" si="13"/>
        <v>355.09999999999968</v>
      </c>
      <c r="AE7" s="483"/>
      <c r="AF7" s="477">
        <f>skemA3!B7</f>
        <v>44711</v>
      </c>
      <c r="AG7" s="66">
        <f t="shared" si="14"/>
        <v>-1</v>
      </c>
      <c r="AH7" s="481">
        <f t="shared" si="15"/>
        <v>355.89999999999986</v>
      </c>
      <c r="AI7" s="480">
        <f t="shared" si="16"/>
        <v>0</v>
      </c>
      <c r="AJ7" s="480">
        <f t="shared" si="17"/>
        <v>355.89999999999986</v>
      </c>
      <c r="AL7" s="477">
        <f>skemA3!B7</f>
        <v>44711</v>
      </c>
      <c r="AM7" s="66">
        <f>'Tabel 6'!H8</f>
        <v>1</v>
      </c>
      <c r="AN7" s="481">
        <f t="shared" si="18"/>
        <v>355.09999999999968</v>
      </c>
      <c r="AO7" s="480">
        <f t="shared" si="19"/>
        <v>355.09999999999968</v>
      </c>
      <c r="AP7" s="480">
        <f t="shared" si="20"/>
        <v>0</v>
      </c>
      <c r="AR7" s="477">
        <f>skemA3!B7</f>
        <v>44711</v>
      </c>
      <c r="AS7" s="66">
        <f t="shared" si="21"/>
        <v>1</v>
      </c>
      <c r="AT7" s="481">
        <f t="shared" si="22"/>
        <v>355.89999999999986</v>
      </c>
      <c r="AU7" s="480">
        <f t="shared" si="23"/>
        <v>355.89999999999986</v>
      </c>
      <c r="AV7" s="480">
        <f t="shared" si="24"/>
        <v>0</v>
      </c>
      <c r="AX7" s="477">
        <f>skemA3!B7</f>
        <v>44711</v>
      </c>
      <c r="AY7" s="66">
        <f>'Tabel 6'!I8</f>
        <v>1</v>
      </c>
      <c r="AZ7" s="481">
        <f t="shared" si="25"/>
        <v>355.09999999999968</v>
      </c>
      <c r="BA7" s="480">
        <f t="shared" si="26"/>
        <v>355.09999999999968</v>
      </c>
      <c r="BB7" s="480">
        <f t="shared" si="27"/>
        <v>0</v>
      </c>
      <c r="BD7" s="477">
        <f>skemA3!B7</f>
        <v>44711</v>
      </c>
      <c r="BE7" s="66">
        <f t="shared" si="28"/>
        <v>1</v>
      </c>
      <c r="BF7" s="481">
        <f t="shared" si="29"/>
        <v>355.89999999999986</v>
      </c>
      <c r="BG7" s="480">
        <f t="shared" si="30"/>
        <v>355.89999999999986</v>
      </c>
      <c r="BH7" s="480">
        <f t="shared" si="31"/>
        <v>0</v>
      </c>
      <c r="BJ7" s="477">
        <f>skemA3!B7</f>
        <v>44711</v>
      </c>
      <c r="BK7" s="66">
        <f>'Tabel 6'!J8</f>
        <v>-1</v>
      </c>
      <c r="BL7" s="481">
        <f t="shared" si="32"/>
        <v>355.09999999999968</v>
      </c>
      <c r="BM7" s="480">
        <f t="shared" si="33"/>
        <v>0</v>
      </c>
      <c r="BN7" s="480">
        <f t="shared" si="34"/>
        <v>355.09999999999968</v>
      </c>
      <c r="BP7" s="477">
        <f>skemA3!B7</f>
        <v>44711</v>
      </c>
      <c r="BQ7" s="66">
        <f t="shared" si="35"/>
        <v>-1</v>
      </c>
      <c r="BR7" s="481">
        <f t="shared" si="36"/>
        <v>355.89999999999986</v>
      </c>
      <c r="BS7" s="480">
        <f t="shared" si="37"/>
        <v>0</v>
      </c>
      <c r="BT7" s="480">
        <f t="shared" si="38"/>
        <v>355.89999999999986</v>
      </c>
      <c r="BU7" s="486"/>
      <c r="BV7" s="477">
        <f>skemA3!B7</f>
        <v>44711</v>
      </c>
      <c r="BW7" s="66">
        <f>'Tabel 6'!K8</f>
        <v>-1</v>
      </c>
      <c r="BX7" s="481">
        <f t="shared" si="39"/>
        <v>355.09999999999968</v>
      </c>
      <c r="BY7" s="480">
        <f t="shared" si="40"/>
        <v>0</v>
      </c>
      <c r="BZ7" s="480">
        <f t="shared" si="41"/>
        <v>355.09999999999968</v>
      </c>
      <c r="CB7" s="477">
        <f>skemA3!B7</f>
        <v>44711</v>
      </c>
      <c r="CC7" s="66">
        <f t="shared" si="42"/>
        <v>-1</v>
      </c>
      <c r="CD7" s="481">
        <f t="shared" si="43"/>
        <v>355.89999999999986</v>
      </c>
      <c r="CE7" s="480">
        <f t="shared" si="44"/>
        <v>0</v>
      </c>
      <c r="CF7" s="480">
        <f t="shared" si="45"/>
        <v>355.89999999999986</v>
      </c>
      <c r="CG7" s="487"/>
      <c r="CH7" s="487"/>
      <c r="CI7" s="487"/>
      <c r="CJ7" s="688"/>
      <c r="CK7" s="61" t="s">
        <v>77</v>
      </c>
      <c r="CL7" s="61">
        <f>ABS(skemA3!D42*'Tabel 6'!E4)</f>
        <v>2900</v>
      </c>
      <c r="CM7" s="61">
        <f>ABS(skemA3!E42*'Tabel 6'!E4)</f>
        <v>29000</v>
      </c>
      <c r="CN7" s="61">
        <f>IF((CL6-CL7)&lt;0,(CL6-CL7),0)</f>
        <v>0</v>
      </c>
      <c r="CO7" s="101">
        <f>IF((CM6-CM7)&lt;0,(CM6-CM7),0)</f>
        <v>-19333.450000000004</v>
      </c>
    </row>
    <row r="8" spans="2:93">
      <c r="B8" s="477">
        <f>skemA3!B8</f>
        <v>44712</v>
      </c>
      <c r="C8" s="66">
        <f>'Tabel 6'!E9</f>
        <v>1</v>
      </c>
      <c r="D8" s="66">
        <f>skemA3!D46</f>
        <v>468</v>
      </c>
      <c r="E8" s="480">
        <f t="shared" si="0"/>
        <v>468</v>
      </c>
      <c r="F8" s="480">
        <f t="shared" si="1"/>
        <v>0</v>
      </c>
      <c r="H8" s="477">
        <f>skemA3!B8</f>
        <v>44712</v>
      </c>
      <c r="I8" s="66">
        <f>'Tabel 6'!E9</f>
        <v>1</v>
      </c>
      <c r="J8" s="481">
        <f>skemA3!E46</f>
        <v>316.59999999999945</v>
      </c>
      <c r="K8" s="480">
        <f t="shared" si="2"/>
        <v>316.59999999999945</v>
      </c>
      <c r="L8" s="480">
        <f t="shared" si="3"/>
        <v>0</v>
      </c>
      <c r="N8" s="477">
        <f>skemA3!B8</f>
        <v>44712</v>
      </c>
      <c r="O8" s="66">
        <f>'Tabel 6'!F9</f>
        <v>1</v>
      </c>
      <c r="P8" s="481">
        <f t="shared" si="4"/>
        <v>468</v>
      </c>
      <c r="Q8" s="480">
        <f t="shared" si="5"/>
        <v>468</v>
      </c>
      <c r="R8" s="480">
        <f t="shared" si="6"/>
        <v>0</v>
      </c>
      <c r="T8" s="477">
        <f>skemA3!B8</f>
        <v>44712</v>
      </c>
      <c r="U8" s="66">
        <f t="shared" si="7"/>
        <v>1</v>
      </c>
      <c r="V8" s="481">
        <f t="shared" si="8"/>
        <v>316.59999999999945</v>
      </c>
      <c r="W8" s="480">
        <f t="shared" si="9"/>
        <v>316.59999999999945</v>
      </c>
      <c r="X8" s="480">
        <f t="shared" si="10"/>
        <v>0</v>
      </c>
      <c r="Y8" s="483"/>
      <c r="Z8" s="477">
        <f>skemA3!B8</f>
        <v>44712</v>
      </c>
      <c r="AA8" s="66">
        <f>'Tabel 6'!G9</f>
        <v>-1</v>
      </c>
      <c r="AB8" s="481">
        <f t="shared" si="11"/>
        <v>468</v>
      </c>
      <c r="AC8" s="480">
        <f t="shared" si="12"/>
        <v>0</v>
      </c>
      <c r="AD8" s="480">
        <f t="shared" si="13"/>
        <v>468</v>
      </c>
      <c r="AE8" s="483"/>
      <c r="AF8" s="477">
        <f>skemA3!B8</f>
        <v>44712</v>
      </c>
      <c r="AG8" s="66">
        <f t="shared" si="14"/>
        <v>-1</v>
      </c>
      <c r="AH8" s="481">
        <f t="shared" si="15"/>
        <v>316.59999999999945</v>
      </c>
      <c r="AI8" s="480">
        <f t="shared" si="16"/>
        <v>0</v>
      </c>
      <c r="AJ8" s="480">
        <f t="shared" si="17"/>
        <v>316.59999999999945</v>
      </c>
      <c r="AL8" s="477">
        <f>skemA3!B8</f>
        <v>44712</v>
      </c>
      <c r="AM8" s="66">
        <f>'Tabel 6'!H9</f>
        <v>1</v>
      </c>
      <c r="AN8" s="481">
        <f t="shared" si="18"/>
        <v>468</v>
      </c>
      <c r="AO8" s="480">
        <f t="shared" si="19"/>
        <v>468</v>
      </c>
      <c r="AP8" s="480">
        <f t="shared" si="20"/>
        <v>0</v>
      </c>
      <c r="AR8" s="477">
        <f>skemA3!B8</f>
        <v>44712</v>
      </c>
      <c r="AS8" s="66">
        <f t="shared" si="21"/>
        <v>1</v>
      </c>
      <c r="AT8" s="481">
        <f t="shared" si="22"/>
        <v>316.59999999999945</v>
      </c>
      <c r="AU8" s="480">
        <f t="shared" si="23"/>
        <v>316.59999999999945</v>
      </c>
      <c r="AV8" s="480">
        <f t="shared" si="24"/>
        <v>0</v>
      </c>
      <c r="AX8" s="477">
        <f>skemA3!B8</f>
        <v>44712</v>
      </c>
      <c r="AY8" s="66">
        <f>'Tabel 6'!I9</f>
        <v>1</v>
      </c>
      <c r="AZ8" s="481">
        <f t="shared" si="25"/>
        <v>468</v>
      </c>
      <c r="BA8" s="480">
        <f t="shared" si="26"/>
        <v>468</v>
      </c>
      <c r="BB8" s="480">
        <f t="shared" si="27"/>
        <v>0</v>
      </c>
      <c r="BD8" s="477">
        <f>skemA3!B8</f>
        <v>44712</v>
      </c>
      <c r="BE8" s="66">
        <f t="shared" si="28"/>
        <v>1</v>
      </c>
      <c r="BF8" s="481">
        <f t="shared" si="29"/>
        <v>316.59999999999945</v>
      </c>
      <c r="BG8" s="480">
        <f t="shared" si="30"/>
        <v>316.59999999999945</v>
      </c>
      <c r="BH8" s="480">
        <f t="shared" si="31"/>
        <v>0</v>
      </c>
      <c r="BJ8" s="477">
        <f>skemA3!B8</f>
        <v>44712</v>
      </c>
      <c r="BK8" s="66">
        <f>'Tabel 6'!J9</f>
        <v>-1</v>
      </c>
      <c r="BL8" s="481">
        <f t="shared" si="32"/>
        <v>468</v>
      </c>
      <c r="BM8" s="480">
        <f t="shared" si="33"/>
        <v>0</v>
      </c>
      <c r="BN8" s="480">
        <f t="shared" si="34"/>
        <v>468</v>
      </c>
      <c r="BP8" s="477">
        <f>skemA3!B8</f>
        <v>44712</v>
      </c>
      <c r="BQ8" s="66">
        <f t="shared" si="35"/>
        <v>-1</v>
      </c>
      <c r="BR8" s="481">
        <f t="shared" si="36"/>
        <v>316.59999999999945</v>
      </c>
      <c r="BS8" s="480">
        <f t="shared" si="37"/>
        <v>0</v>
      </c>
      <c r="BT8" s="480">
        <f t="shared" si="38"/>
        <v>316.59999999999945</v>
      </c>
      <c r="BU8" s="486"/>
      <c r="BV8" s="477">
        <f>skemA3!B8</f>
        <v>44712</v>
      </c>
      <c r="BW8" s="66">
        <f>'Tabel 6'!K9</f>
        <v>-1</v>
      </c>
      <c r="BX8" s="481">
        <f t="shared" si="39"/>
        <v>468</v>
      </c>
      <c r="BY8" s="480">
        <f t="shared" si="40"/>
        <v>0</v>
      </c>
      <c r="BZ8" s="480">
        <f t="shared" si="41"/>
        <v>468</v>
      </c>
      <c r="CB8" s="477">
        <f>skemA3!B8</f>
        <v>44712</v>
      </c>
      <c r="CC8" s="66">
        <f t="shared" si="42"/>
        <v>-1</v>
      </c>
      <c r="CD8" s="481">
        <f t="shared" si="43"/>
        <v>316.59999999999945</v>
      </c>
      <c r="CE8" s="480">
        <f t="shared" si="44"/>
        <v>0</v>
      </c>
      <c r="CF8" s="480">
        <f t="shared" si="45"/>
        <v>316.59999999999945</v>
      </c>
      <c r="CG8" s="487"/>
      <c r="CH8" s="487"/>
      <c r="CI8" s="487"/>
      <c r="CJ8" s="689">
        <v>12</v>
      </c>
      <c r="CK8" s="66" t="s">
        <v>76</v>
      </c>
      <c r="CL8" s="66">
        <f t="array" ref="CL8:CL9">TRANSPOSE(Q34:R34)</f>
        <v>2809.8999999999996</v>
      </c>
      <c r="CM8" s="66">
        <f t="array" ref="CM8:CM9">TRANSPOSE(W34:X34)</f>
        <v>5040.0999999999985</v>
      </c>
      <c r="CN8" s="66">
        <f>IF((CL8-CL9+CL10)&gt;0,(CL8-CL9+CL10),0)</f>
        <v>0</v>
      </c>
      <c r="CO8" s="102">
        <f>IF((CM8-CM9+CM10)&gt;0,(CM8-CM9+CM10),0)</f>
        <v>1413.6499999999987</v>
      </c>
    </row>
    <row r="9" spans="2:93">
      <c r="B9" s="477">
        <f>skemA3!B9</f>
        <v>44713</v>
      </c>
      <c r="C9" s="66">
        <f>'Tabel 6'!E10</f>
        <v>1</v>
      </c>
      <c r="D9" s="66">
        <f>skemA3!D47</f>
        <v>597.29999999999995</v>
      </c>
      <c r="E9" s="480">
        <f t="shared" si="0"/>
        <v>597.29999999999995</v>
      </c>
      <c r="F9" s="480">
        <f t="shared" si="1"/>
        <v>0</v>
      </c>
      <c r="H9" s="477">
        <f>skemA3!B9</f>
        <v>44713</v>
      </c>
      <c r="I9" s="66">
        <f>'Tabel 6'!E10</f>
        <v>1</v>
      </c>
      <c r="J9" s="481">
        <f>skemA3!E47</f>
        <v>328.90000000000032</v>
      </c>
      <c r="K9" s="480">
        <f t="shared" si="2"/>
        <v>328.90000000000032</v>
      </c>
      <c r="L9" s="480">
        <f t="shared" si="3"/>
        <v>0</v>
      </c>
      <c r="N9" s="477">
        <f>skemA3!B9</f>
        <v>44713</v>
      </c>
      <c r="O9" s="66">
        <f>'Tabel 6'!F10</f>
        <v>-1</v>
      </c>
      <c r="P9" s="481">
        <f t="shared" si="4"/>
        <v>597.29999999999995</v>
      </c>
      <c r="Q9" s="480">
        <f t="shared" si="5"/>
        <v>0</v>
      </c>
      <c r="R9" s="480">
        <f t="shared" si="6"/>
        <v>597.29999999999995</v>
      </c>
      <c r="T9" s="477">
        <f>skemA3!B9</f>
        <v>44713</v>
      </c>
      <c r="U9" s="66">
        <f t="shared" si="7"/>
        <v>-1</v>
      </c>
      <c r="V9" s="481">
        <f t="shared" si="8"/>
        <v>328.90000000000032</v>
      </c>
      <c r="W9" s="480">
        <f t="shared" si="9"/>
        <v>0</v>
      </c>
      <c r="X9" s="480">
        <f t="shared" si="10"/>
        <v>328.90000000000032</v>
      </c>
      <c r="Y9" s="483"/>
      <c r="Z9" s="477">
        <f>skemA3!B9</f>
        <v>44713</v>
      </c>
      <c r="AA9" s="66">
        <f>'Tabel 6'!G10</f>
        <v>-1</v>
      </c>
      <c r="AB9" s="481">
        <f t="shared" si="11"/>
        <v>597.29999999999995</v>
      </c>
      <c r="AC9" s="480">
        <f t="shared" si="12"/>
        <v>0</v>
      </c>
      <c r="AD9" s="480">
        <f t="shared" si="13"/>
        <v>597.29999999999995</v>
      </c>
      <c r="AE9" s="483"/>
      <c r="AF9" s="477">
        <f>skemA3!B9</f>
        <v>44713</v>
      </c>
      <c r="AG9" s="66">
        <f t="shared" si="14"/>
        <v>-1</v>
      </c>
      <c r="AH9" s="481">
        <f t="shared" si="15"/>
        <v>328.90000000000032</v>
      </c>
      <c r="AI9" s="480">
        <f t="shared" si="16"/>
        <v>0</v>
      </c>
      <c r="AJ9" s="480">
        <f t="shared" si="17"/>
        <v>328.90000000000032</v>
      </c>
      <c r="AL9" s="477">
        <f>skemA3!B9</f>
        <v>44713</v>
      </c>
      <c r="AM9" s="66">
        <f>'Tabel 6'!H10</f>
        <v>1</v>
      </c>
      <c r="AN9" s="481">
        <f t="shared" si="18"/>
        <v>597.29999999999995</v>
      </c>
      <c r="AO9" s="480">
        <f t="shared" si="19"/>
        <v>597.29999999999995</v>
      </c>
      <c r="AP9" s="480">
        <f t="shared" si="20"/>
        <v>0</v>
      </c>
      <c r="AR9" s="477">
        <f>skemA3!B9</f>
        <v>44713</v>
      </c>
      <c r="AS9" s="66">
        <f t="shared" si="21"/>
        <v>1</v>
      </c>
      <c r="AT9" s="481">
        <f t="shared" si="22"/>
        <v>328.90000000000032</v>
      </c>
      <c r="AU9" s="480">
        <f t="shared" si="23"/>
        <v>328.90000000000032</v>
      </c>
      <c r="AV9" s="480">
        <f t="shared" si="24"/>
        <v>0</v>
      </c>
      <c r="AX9" s="477">
        <f>skemA3!B9</f>
        <v>44713</v>
      </c>
      <c r="AY9" s="66">
        <f>'Tabel 6'!I10</f>
        <v>1</v>
      </c>
      <c r="AZ9" s="481">
        <f t="shared" si="25"/>
        <v>597.29999999999995</v>
      </c>
      <c r="BA9" s="480">
        <f t="shared" si="26"/>
        <v>597.29999999999995</v>
      </c>
      <c r="BB9" s="480">
        <f t="shared" si="27"/>
        <v>0</v>
      </c>
      <c r="BD9" s="477">
        <f>skemA3!B9</f>
        <v>44713</v>
      </c>
      <c r="BE9" s="66">
        <f t="shared" si="28"/>
        <v>1</v>
      </c>
      <c r="BF9" s="481">
        <f t="shared" si="29"/>
        <v>328.90000000000032</v>
      </c>
      <c r="BG9" s="480">
        <f t="shared" si="30"/>
        <v>328.90000000000032</v>
      </c>
      <c r="BH9" s="480">
        <f t="shared" si="31"/>
        <v>0</v>
      </c>
      <c r="BJ9" s="477">
        <f>skemA3!B9</f>
        <v>44713</v>
      </c>
      <c r="BK9" s="66">
        <f>'Tabel 6'!J10</f>
        <v>-1</v>
      </c>
      <c r="BL9" s="481">
        <f t="shared" si="32"/>
        <v>597.29999999999995</v>
      </c>
      <c r="BM9" s="480">
        <f t="shared" si="33"/>
        <v>0</v>
      </c>
      <c r="BN9" s="480">
        <f t="shared" si="34"/>
        <v>597.29999999999995</v>
      </c>
      <c r="BP9" s="477">
        <f>skemA3!B9</f>
        <v>44713</v>
      </c>
      <c r="BQ9" s="66">
        <f t="shared" si="35"/>
        <v>-1</v>
      </c>
      <c r="BR9" s="481">
        <f t="shared" si="36"/>
        <v>328.90000000000032</v>
      </c>
      <c r="BS9" s="480">
        <f t="shared" si="37"/>
        <v>0</v>
      </c>
      <c r="BT9" s="480">
        <f t="shared" si="38"/>
        <v>328.90000000000032</v>
      </c>
      <c r="BU9" s="486"/>
      <c r="BV9" s="477">
        <f>skemA3!B9</f>
        <v>44713</v>
      </c>
      <c r="BW9" s="66">
        <f>'Tabel 6'!K10</f>
        <v>1</v>
      </c>
      <c r="BX9" s="481">
        <f t="shared" si="39"/>
        <v>597.29999999999995</v>
      </c>
      <c r="BY9" s="480">
        <f t="shared" si="40"/>
        <v>597.29999999999995</v>
      </c>
      <c r="BZ9" s="480">
        <f t="shared" si="41"/>
        <v>0</v>
      </c>
      <c r="CB9" s="477">
        <f>skemA3!B9</f>
        <v>44713</v>
      </c>
      <c r="CC9" s="66">
        <f t="shared" si="42"/>
        <v>1</v>
      </c>
      <c r="CD9" s="481">
        <f t="shared" si="43"/>
        <v>328.90000000000032</v>
      </c>
      <c r="CE9" s="480">
        <f t="shared" si="44"/>
        <v>328.90000000000032</v>
      </c>
      <c r="CF9" s="480">
        <f t="shared" si="45"/>
        <v>0</v>
      </c>
      <c r="CG9" s="487"/>
      <c r="CH9" s="487"/>
      <c r="CI9" s="487"/>
      <c r="CJ9" s="689"/>
      <c r="CK9" s="61" t="s">
        <v>77</v>
      </c>
      <c r="CL9" s="61">
        <v>5110.8500000000004</v>
      </c>
      <c r="CM9" s="61">
        <v>4626.45</v>
      </c>
      <c r="CN9" s="61">
        <f>IF((CL8-CL9+CL10)&lt;0,(CL8-CL9+CL10),0)</f>
        <v>-2200.9500000000007</v>
      </c>
      <c r="CO9" s="101">
        <f>IF((CM8-CM9+CM10)&lt;0,(CM8-CM9+CM10),0)</f>
        <v>0</v>
      </c>
    </row>
    <row r="10" spans="2:93">
      <c r="B10" s="477">
        <f>skemA3!B10</f>
        <v>44714</v>
      </c>
      <c r="C10" s="66">
        <f>'Tabel 6'!E11</f>
        <v>1</v>
      </c>
      <c r="D10" s="66">
        <f>skemA3!D48</f>
        <v>728.7000000000005</v>
      </c>
      <c r="E10" s="480">
        <f t="shared" si="0"/>
        <v>728.7000000000005</v>
      </c>
      <c r="F10" s="480">
        <f t="shared" si="1"/>
        <v>0</v>
      </c>
      <c r="H10" s="477">
        <f>skemA3!B10</f>
        <v>44714</v>
      </c>
      <c r="I10" s="66">
        <f>'Tabel 6'!E11</f>
        <v>1</v>
      </c>
      <c r="J10" s="481">
        <f>skemA3!E48</f>
        <v>422.10000000000036</v>
      </c>
      <c r="K10" s="480">
        <f t="shared" si="2"/>
        <v>422.10000000000036</v>
      </c>
      <c r="L10" s="480">
        <f t="shared" si="3"/>
        <v>0</v>
      </c>
      <c r="N10" s="477">
        <f>skemA3!B10</f>
        <v>44714</v>
      </c>
      <c r="O10" s="66">
        <f>'Tabel 6'!F11</f>
        <v>-1</v>
      </c>
      <c r="P10" s="481">
        <f t="shared" si="4"/>
        <v>728.7000000000005</v>
      </c>
      <c r="Q10" s="480">
        <f t="shared" si="5"/>
        <v>0</v>
      </c>
      <c r="R10" s="480">
        <f t="shared" si="6"/>
        <v>728.7000000000005</v>
      </c>
      <c r="T10" s="477">
        <f>skemA3!B10</f>
        <v>44714</v>
      </c>
      <c r="U10" s="66">
        <f t="shared" si="7"/>
        <v>-1</v>
      </c>
      <c r="V10" s="481">
        <f t="shared" si="8"/>
        <v>422.10000000000036</v>
      </c>
      <c r="W10" s="480">
        <f t="shared" si="9"/>
        <v>0</v>
      </c>
      <c r="X10" s="480">
        <f t="shared" si="10"/>
        <v>422.10000000000036</v>
      </c>
      <c r="Y10" s="483"/>
      <c r="Z10" s="477">
        <f>skemA3!B10</f>
        <v>44714</v>
      </c>
      <c r="AA10" s="66">
        <f>'Tabel 6'!G11</f>
        <v>-1</v>
      </c>
      <c r="AB10" s="481">
        <f t="shared" si="11"/>
        <v>728.7000000000005</v>
      </c>
      <c r="AC10" s="480">
        <f t="shared" si="12"/>
        <v>0</v>
      </c>
      <c r="AD10" s="480">
        <f t="shared" si="13"/>
        <v>728.7000000000005</v>
      </c>
      <c r="AE10" s="483"/>
      <c r="AF10" s="477">
        <f>skemA3!B10</f>
        <v>44714</v>
      </c>
      <c r="AG10" s="66">
        <f t="shared" si="14"/>
        <v>-1</v>
      </c>
      <c r="AH10" s="481">
        <f t="shared" si="15"/>
        <v>422.10000000000036</v>
      </c>
      <c r="AI10" s="480">
        <f t="shared" si="16"/>
        <v>0</v>
      </c>
      <c r="AJ10" s="480">
        <f t="shared" si="17"/>
        <v>422.10000000000036</v>
      </c>
      <c r="AL10" s="477">
        <f>skemA3!B10</f>
        <v>44714</v>
      </c>
      <c r="AM10" s="66">
        <f>'Tabel 6'!H11</f>
        <v>1</v>
      </c>
      <c r="AN10" s="481">
        <f t="shared" si="18"/>
        <v>728.7000000000005</v>
      </c>
      <c r="AO10" s="480">
        <f t="shared" si="19"/>
        <v>728.7000000000005</v>
      </c>
      <c r="AP10" s="480">
        <f t="shared" si="20"/>
        <v>0</v>
      </c>
      <c r="AR10" s="477">
        <f>skemA3!B10</f>
        <v>44714</v>
      </c>
      <c r="AS10" s="66">
        <f t="shared" si="21"/>
        <v>1</v>
      </c>
      <c r="AT10" s="481">
        <f t="shared" si="22"/>
        <v>422.10000000000036</v>
      </c>
      <c r="AU10" s="480">
        <f t="shared" si="23"/>
        <v>422.10000000000036</v>
      </c>
      <c r="AV10" s="480">
        <f t="shared" si="24"/>
        <v>0</v>
      </c>
      <c r="AX10" s="477">
        <f>skemA3!B10</f>
        <v>44714</v>
      </c>
      <c r="AY10" s="66">
        <f>'Tabel 6'!I11</f>
        <v>-1</v>
      </c>
      <c r="AZ10" s="481">
        <f t="shared" si="25"/>
        <v>728.7000000000005</v>
      </c>
      <c r="BA10" s="480">
        <f t="shared" si="26"/>
        <v>0</v>
      </c>
      <c r="BB10" s="480">
        <f t="shared" si="27"/>
        <v>728.7000000000005</v>
      </c>
      <c r="BD10" s="477">
        <f>skemA3!B10</f>
        <v>44714</v>
      </c>
      <c r="BE10" s="66">
        <f t="shared" si="28"/>
        <v>-1</v>
      </c>
      <c r="BF10" s="481">
        <f t="shared" si="29"/>
        <v>422.10000000000036</v>
      </c>
      <c r="BG10" s="480">
        <f t="shared" si="30"/>
        <v>0</v>
      </c>
      <c r="BH10" s="480">
        <f t="shared" si="31"/>
        <v>422.10000000000036</v>
      </c>
      <c r="BJ10" s="477">
        <f>skemA3!B10</f>
        <v>44714</v>
      </c>
      <c r="BK10" s="66">
        <f>'Tabel 6'!J11</f>
        <v>1</v>
      </c>
      <c r="BL10" s="481">
        <f t="shared" si="32"/>
        <v>728.7000000000005</v>
      </c>
      <c r="BM10" s="480">
        <f t="shared" si="33"/>
        <v>728.7000000000005</v>
      </c>
      <c r="BN10" s="480">
        <f t="shared" si="34"/>
        <v>0</v>
      </c>
      <c r="BP10" s="477">
        <f>skemA3!B10</f>
        <v>44714</v>
      </c>
      <c r="BQ10" s="66">
        <f t="shared" si="35"/>
        <v>1</v>
      </c>
      <c r="BR10" s="481">
        <f t="shared" si="36"/>
        <v>422.10000000000036</v>
      </c>
      <c r="BS10" s="480">
        <f t="shared" si="37"/>
        <v>422.10000000000036</v>
      </c>
      <c r="BT10" s="480">
        <f t="shared" si="38"/>
        <v>0</v>
      </c>
      <c r="BU10" s="486"/>
      <c r="BV10" s="477">
        <f>skemA3!B10</f>
        <v>44714</v>
      </c>
      <c r="BW10" s="66">
        <f>'Tabel 6'!K11</f>
        <v>1</v>
      </c>
      <c r="BX10" s="481">
        <f t="shared" si="39"/>
        <v>728.7000000000005</v>
      </c>
      <c r="BY10" s="480">
        <f t="shared" si="40"/>
        <v>728.7000000000005</v>
      </c>
      <c r="BZ10" s="480">
        <f t="shared" si="41"/>
        <v>0</v>
      </c>
      <c r="CB10" s="477">
        <f>skemA3!B10</f>
        <v>44714</v>
      </c>
      <c r="CC10" s="66">
        <f t="shared" si="42"/>
        <v>1</v>
      </c>
      <c r="CD10" s="481">
        <f t="shared" si="43"/>
        <v>422.10000000000036</v>
      </c>
      <c r="CE10" s="480">
        <f t="shared" si="44"/>
        <v>422.10000000000036</v>
      </c>
      <c r="CF10" s="480">
        <f t="shared" si="45"/>
        <v>0</v>
      </c>
      <c r="CG10" s="487"/>
      <c r="CH10" s="487"/>
      <c r="CI10" s="487"/>
      <c r="CJ10" s="689"/>
      <c r="CK10" s="62" t="s">
        <v>76</v>
      </c>
      <c r="CL10" s="62">
        <f>ABS(skemA3!D42*'Tabel 6'!F4)</f>
        <v>100</v>
      </c>
      <c r="CM10" s="62">
        <f>ABS(skemA3!E42*'Tabel 6'!F4)</f>
        <v>1000</v>
      </c>
      <c r="CN10" s="62"/>
      <c r="CO10" s="103"/>
    </row>
    <row r="11" spans="2:93">
      <c r="B11" s="477">
        <f>skemA3!B11</f>
        <v>44715</v>
      </c>
      <c r="C11" s="66">
        <f>'Tabel 6'!E12</f>
        <v>1</v>
      </c>
      <c r="D11" s="66">
        <f>skemA3!D49</f>
        <v>791.50000000000023</v>
      </c>
      <c r="E11" s="480">
        <f t="shared" si="0"/>
        <v>791.50000000000023</v>
      </c>
      <c r="F11" s="480">
        <f t="shared" si="1"/>
        <v>0</v>
      </c>
      <c r="H11" s="477">
        <f>skemA3!B11</f>
        <v>44715</v>
      </c>
      <c r="I11" s="66">
        <f>'Tabel 6'!E12</f>
        <v>1</v>
      </c>
      <c r="J11" s="481">
        <f>skemA3!E49</f>
        <v>521.09999999999968</v>
      </c>
      <c r="K11" s="480">
        <f t="shared" si="2"/>
        <v>521.09999999999968</v>
      </c>
      <c r="L11" s="480">
        <f t="shared" si="3"/>
        <v>0</v>
      </c>
      <c r="N11" s="477">
        <f>skemA3!B11</f>
        <v>44715</v>
      </c>
      <c r="O11" s="66">
        <f>'Tabel 6'!F12</f>
        <v>-1</v>
      </c>
      <c r="P11" s="481">
        <f t="shared" si="4"/>
        <v>791.50000000000023</v>
      </c>
      <c r="Q11" s="480">
        <f t="shared" si="5"/>
        <v>0</v>
      </c>
      <c r="R11" s="480">
        <f t="shared" si="6"/>
        <v>791.50000000000023</v>
      </c>
      <c r="T11" s="477">
        <f>skemA3!B11</f>
        <v>44715</v>
      </c>
      <c r="U11" s="66">
        <f t="shared" si="7"/>
        <v>-1</v>
      </c>
      <c r="V11" s="481">
        <f t="shared" si="8"/>
        <v>521.09999999999968</v>
      </c>
      <c r="W11" s="480">
        <f t="shared" si="9"/>
        <v>0</v>
      </c>
      <c r="X11" s="480">
        <f t="shared" si="10"/>
        <v>521.09999999999968</v>
      </c>
      <c r="Y11" s="483"/>
      <c r="Z11" s="477">
        <f>skemA3!B11</f>
        <v>44715</v>
      </c>
      <c r="AA11" s="66">
        <f>'Tabel 6'!G12</f>
        <v>-1</v>
      </c>
      <c r="AB11" s="481">
        <f t="shared" si="11"/>
        <v>791.50000000000023</v>
      </c>
      <c r="AC11" s="480">
        <f t="shared" si="12"/>
        <v>0</v>
      </c>
      <c r="AD11" s="480">
        <f t="shared" si="13"/>
        <v>791.50000000000023</v>
      </c>
      <c r="AE11" s="483"/>
      <c r="AF11" s="477">
        <f>skemA3!B11</f>
        <v>44715</v>
      </c>
      <c r="AG11" s="66">
        <f t="shared" si="14"/>
        <v>-1</v>
      </c>
      <c r="AH11" s="481">
        <f t="shared" si="15"/>
        <v>521.09999999999968</v>
      </c>
      <c r="AI11" s="480">
        <f t="shared" si="16"/>
        <v>0</v>
      </c>
      <c r="AJ11" s="480">
        <f t="shared" si="17"/>
        <v>521.09999999999968</v>
      </c>
      <c r="AL11" s="477">
        <f>skemA3!B11</f>
        <v>44715</v>
      </c>
      <c r="AM11" s="66">
        <f>'Tabel 6'!H12</f>
        <v>1</v>
      </c>
      <c r="AN11" s="481">
        <f t="shared" si="18"/>
        <v>791.50000000000023</v>
      </c>
      <c r="AO11" s="480">
        <f t="shared" si="19"/>
        <v>791.50000000000023</v>
      </c>
      <c r="AP11" s="480">
        <f t="shared" si="20"/>
        <v>0</v>
      </c>
      <c r="AR11" s="477">
        <f>skemA3!B11</f>
        <v>44715</v>
      </c>
      <c r="AS11" s="66">
        <f t="shared" si="21"/>
        <v>1</v>
      </c>
      <c r="AT11" s="481">
        <f t="shared" si="22"/>
        <v>521.09999999999968</v>
      </c>
      <c r="AU11" s="480">
        <f t="shared" si="23"/>
        <v>521.09999999999968</v>
      </c>
      <c r="AV11" s="480">
        <f t="shared" si="24"/>
        <v>0</v>
      </c>
      <c r="AX11" s="477">
        <f>skemA3!B11</f>
        <v>44715</v>
      </c>
      <c r="AY11" s="66">
        <f>'Tabel 6'!I12</f>
        <v>-1</v>
      </c>
      <c r="AZ11" s="481">
        <f t="shared" si="25"/>
        <v>791.50000000000023</v>
      </c>
      <c r="BA11" s="480">
        <f t="shared" si="26"/>
        <v>0</v>
      </c>
      <c r="BB11" s="480">
        <f t="shared" si="27"/>
        <v>791.50000000000023</v>
      </c>
      <c r="BD11" s="477">
        <f>skemA3!B11</f>
        <v>44715</v>
      </c>
      <c r="BE11" s="66">
        <f t="shared" si="28"/>
        <v>-1</v>
      </c>
      <c r="BF11" s="481">
        <f t="shared" si="29"/>
        <v>521.09999999999968</v>
      </c>
      <c r="BG11" s="480">
        <f t="shared" si="30"/>
        <v>0</v>
      </c>
      <c r="BH11" s="480">
        <f t="shared" si="31"/>
        <v>521.09999999999968</v>
      </c>
      <c r="BJ11" s="477">
        <f>skemA3!B11</f>
        <v>44715</v>
      </c>
      <c r="BK11" s="66">
        <f>'Tabel 6'!J12</f>
        <v>1</v>
      </c>
      <c r="BL11" s="481">
        <f t="shared" si="32"/>
        <v>791.50000000000023</v>
      </c>
      <c r="BM11" s="480">
        <f t="shared" si="33"/>
        <v>791.50000000000023</v>
      </c>
      <c r="BN11" s="480">
        <f t="shared" si="34"/>
        <v>0</v>
      </c>
      <c r="BP11" s="477">
        <f>skemA3!B11</f>
        <v>44715</v>
      </c>
      <c r="BQ11" s="66">
        <f t="shared" si="35"/>
        <v>1</v>
      </c>
      <c r="BR11" s="481">
        <f t="shared" si="36"/>
        <v>521.09999999999968</v>
      </c>
      <c r="BS11" s="480">
        <f t="shared" si="37"/>
        <v>521.09999999999968</v>
      </c>
      <c r="BT11" s="480">
        <f t="shared" si="38"/>
        <v>0</v>
      </c>
      <c r="BU11" s="486"/>
      <c r="BV11" s="477">
        <f>skemA3!B11</f>
        <v>44715</v>
      </c>
      <c r="BW11" s="66">
        <f>'Tabel 6'!K12</f>
        <v>1</v>
      </c>
      <c r="BX11" s="481">
        <f t="shared" si="39"/>
        <v>791.50000000000023</v>
      </c>
      <c r="BY11" s="480">
        <f t="shared" si="40"/>
        <v>791.50000000000023</v>
      </c>
      <c r="BZ11" s="480">
        <f t="shared" si="41"/>
        <v>0</v>
      </c>
      <c r="CB11" s="477">
        <f>skemA3!B11</f>
        <v>44715</v>
      </c>
      <c r="CC11" s="66">
        <f t="shared" si="42"/>
        <v>1</v>
      </c>
      <c r="CD11" s="481">
        <f t="shared" si="43"/>
        <v>521.09999999999968</v>
      </c>
      <c r="CE11" s="480">
        <f t="shared" si="44"/>
        <v>521.09999999999968</v>
      </c>
      <c r="CF11" s="480">
        <f t="shared" si="45"/>
        <v>0</v>
      </c>
      <c r="CG11" s="487"/>
      <c r="CH11" s="487"/>
      <c r="CI11" s="487"/>
      <c r="CJ11" s="688" t="s">
        <v>138</v>
      </c>
      <c r="CK11" s="61" t="s">
        <v>76</v>
      </c>
      <c r="CL11" s="61">
        <f t="array" ref="CL11:CL12">TRANSPOSE(AC34:AD34)</f>
        <v>3469.2000000000003</v>
      </c>
      <c r="CM11" s="61">
        <f t="array" ref="CM11:CM12">TRANSPOSE(AI34:AJ34)</f>
        <v>5527.7999999999993</v>
      </c>
      <c r="CN11" s="61">
        <f>IF((CL11-CL12)&gt;0,(CL11-CL12),0)</f>
        <v>258.40000000000009</v>
      </c>
      <c r="CO11" s="101">
        <f>IF((CM11-CM12)&gt;0,(CM11-CM12),0)</f>
        <v>3211.2</v>
      </c>
    </row>
    <row r="12" spans="2:93">
      <c r="B12" s="477">
        <f>skemA3!B12</f>
        <v>44716</v>
      </c>
      <c r="C12" s="66">
        <f>'Tabel 6'!E13</f>
        <v>1</v>
      </c>
      <c r="D12" s="66">
        <f>skemA3!D50</f>
        <v>783.95</v>
      </c>
      <c r="E12" s="480">
        <f t="shared" si="0"/>
        <v>783.95</v>
      </c>
      <c r="F12" s="480">
        <f t="shared" si="1"/>
        <v>0</v>
      </c>
      <c r="H12" s="477">
        <f>skemA3!B12</f>
        <v>44716</v>
      </c>
      <c r="I12" s="66">
        <f>'Tabel 6'!E13</f>
        <v>1</v>
      </c>
      <c r="J12" s="481">
        <f>skemA3!E50</f>
        <v>654.94999999999982</v>
      </c>
      <c r="K12" s="480">
        <f t="shared" si="2"/>
        <v>654.94999999999982</v>
      </c>
      <c r="L12" s="480">
        <f t="shared" si="3"/>
        <v>0</v>
      </c>
      <c r="N12" s="477">
        <f>skemA3!B12</f>
        <v>44716</v>
      </c>
      <c r="O12" s="66">
        <f>'Tabel 6'!F13</f>
        <v>-1</v>
      </c>
      <c r="P12" s="481">
        <f t="shared" si="4"/>
        <v>783.95</v>
      </c>
      <c r="Q12" s="480">
        <f t="shared" si="5"/>
        <v>0</v>
      </c>
      <c r="R12" s="480">
        <f t="shared" si="6"/>
        <v>783.95</v>
      </c>
      <c r="T12" s="477">
        <f>skemA3!B12</f>
        <v>44716</v>
      </c>
      <c r="U12" s="66">
        <f t="shared" si="7"/>
        <v>-1</v>
      </c>
      <c r="V12" s="481">
        <f t="shared" si="8"/>
        <v>654.94999999999982</v>
      </c>
      <c r="W12" s="480">
        <f t="shared" si="9"/>
        <v>0</v>
      </c>
      <c r="X12" s="480">
        <f t="shared" si="10"/>
        <v>654.94999999999982</v>
      </c>
      <c r="Y12" s="483"/>
      <c r="Z12" s="477">
        <f>skemA3!B12</f>
        <v>44716</v>
      </c>
      <c r="AA12" s="66">
        <f>'Tabel 6'!G13</f>
        <v>0</v>
      </c>
      <c r="AB12" s="481">
        <f t="shared" si="11"/>
        <v>783.95</v>
      </c>
      <c r="AC12" s="480">
        <f t="shared" si="12"/>
        <v>0</v>
      </c>
      <c r="AD12" s="480">
        <f t="shared" si="13"/>
        <v>0</v>
      </c>
      <c r="AE12" s="483"/>
      <c r="AF12" s="477">
        <f>skemA3!B12</f>
        <v>44716</v>
      </c>
      <c r="AG12" s="66">
        <f t="shared" si="14"/>
        <v>0</v>
      </c>
      <c r="AH12" s="481">
        <f t="shared" si="15"/>
        <v>654.94999999999982</v>
      </c>
      <c r="AI12" s="480">
        <f t="shared" si="16"/>
        <v>0</v>
      </c>
      <c r="AJ12" s="480">
        <f t="shared" si="17"/>
        <v>0</v>
      </c>
      <c r="AL12" s="477">
        <f>skemA3!B12</f>
        <v>44716</v>
      </c>
      <c r="AM12" s="66">
        <f>'Tabel 6'!H13</f>
        <v>-1</v>
      </c>
      <c r="AN12" s="481">
        <f t="shared" si="18"/>
        <v>783.95</v>
      </c>
      <c r="AO12" s="480">
        <f t="shared" si="19"/>
        <v>0</v>
      </c>
      <c r="AP12" s="480">
        <f t="shared" si="20"/>
        <v>783.95</v>
      </c>
      <c r="AR12" s="477">
        <f>skemA3!B12</f>
        <v>44716</v>
      </c>
      <c r="AS12" s="66">
        <f t="shared" si="21"/>
        <v>-1</v>
      </c>
      <c r="AT12" s="481">
        <f t="shared" si="22"/>
        <v>654.94999999999982</v>
      </c>
      <c r="AU12" s="480">
        <f t="shared" si="23"/>
        <v>0</v>
      </c>
      <c r="AV12" s="480">
        <f t="shared" si="24"/>
        <v>654.94999999999982</v>
      </c>
      <c r="AX12" s="477">
        <f>skemA3!B12</f>
        <v>44716</v>
      </c>
      <c r="AY12" s="66">
        <f>'Tabel 6'!I13</f>
        <v>-1</v>
      </c>
      <c r="AZ12" s="481">
        <f t="shared" si="25"/>
        <v>783.95</v>
      </c>
      <c r="BA12" s="480">
        <f t="shared" si="26"/>
        <v>0</v>
      </c>
      <c r="BB12" s="480">
        <f t="shared" si="27"/>
        <v>783.95</v>
      </c>
      <c r="BD12" s="477">
        <f>skemA3!B12</f>
        <v>44716</v>
      </c>
      <c r="BE12" s="66">
        <f t="shared" si="28"/>
        <v>-1</v>
      </c>
      <c r="BF12" s="481">
        <f t="shared" si="29"/>
        <v>654.94999999999982</v>
      </c>
      <c r="BG12" s="480">
        <f t="shared" si="30"/>
        <v>0</v>
      </c>
      <c r="BH12" s="480">
        <f t="shared" si="31"/>
        <v>654.94999999999982</v>
      </c>
      <c r="BJ12" s="477">
        <f>skemA3!B12</f>
        <v>44716</v>
      </c>
      <c r="BK12" s="66">
        <f>'Tabel 6'!J13</f>
        <v>1</v>
      </c>
      <c r="BL12" s="481">
        <f t="shared" si="32"/>
        <v>783.95</v>
      </c>
      <c r="BM12" s="480">
        <f t="shared" si="33"/>
        <v>783.95</v>
      </c>
      <c r="BN12" s="480">
        <f t="shared" si="34"/>
        <v>0</v>
      </c>
      <c r="BP12" s="477">
        <f>skemA3!B12</f>
        <v>44716</v>
      </c>
      <c r="BQ12" s="66">
        <f t="shared" si="35"/>
        <v>1</v>
      </c>
      <c r="BR12" s="481">
        <f t="shared" si="36"/>
        <v>654.94999999999982</v>
      </c>
      <c r="BS12" s="480">
        <f t="shared" si="37"/>
        <v>654.94999999999982</v>
      </c>
      <c r="BT12" s="480">
        <f t="shared" si="38"/>
        <v>0</v>
      </c>
      <c r="BU12" s="486"/>
      <c r="BV12" s="477">
        <f>skemA3!B12</f>
        <v>44716</v>
      </c>
      <c r="BW12" s="66">
        <f>'Tabel 6'!K13</f>
        <v>0</v>
      </c>
      <c r="BX12" s="481">
        <f t="shared" si="39"/>
        <v>783.95</v>
      </c>
      <c r="BY12" s="480">
        <f t="shared" si="40"/>
        <v>0</v>
      </c>
      <c r="BZ12" s="480">
        <f t="shared" si="41"/>
        <v>0</v>
      </c>
      <c r="CB12" s="477">
        <f>skemA3!B12</f>
        <v>44716</v>
      </c>
      <c r="CC12" s="66">
        <f t="shared" si="42"/>
        <v>0</v>
      </c>
      <c r="CD12" s="481">
        <f t="shared" si="43"/>
        <v>654.94999999999982</v>
      </c>
      <c r="CE12" s="480">
        <f t="shared" si="44"/>
        <v>0</v>
      </c>
      <c r="CF12" s="480">
        <f t="shared" si="45"/>
        <v>0</v>
      </c>
      <c r="CG12" s="487"/>
      <c r="CH12" s="487"/>
      <c r="CI12" s="487"/>
      <c r="CJ12" s="688"/>
      <c r="CK12" s="61" t="s">
        <v>77</v>
      </c>
      <c r="CL12" s="61">
        <v>3210.8</v>
      </c>
      <c r="CM12" s="61">
        <v>2316.5999999999995</v>
      </c>
      <c r="CN12" s="61">
        <f>IF((CL11-CL12)&lt;0,(CL11-CL12),0)</f>
        <v>0</v>
      </c>
      <c r="CO12" s="101">
        <f>IF((CM11-CM12)&lt;0,(CM11-CM12),0)</f>
        <v>0</v>
      </c>
    </row>
    <row r="13" spans="2:93">
      <c r="B13" s="477">
        <f>skemA3!B13</f>
        <v>44717</v>
      </c>
      <c r="C13" s="66">
        <f>'Tabel 6'!E14</f>
        <v>1</v>
      </c>
      <c r="D13" s="66">
        <f>skemA3!D51</f>
        <v>801.90000000000032</v>
      </c>
      <c r="E13" s="480">
        <f t="shared" si="0"/>
        <v>801.90000000000032</v>
      </c>
      <c r="F13" s="480">
        <f t="shared" si="1"/>
        <v>0</v>
      </c>
      <c r="H13" s="477">
        <f>skemA3!B13</f>
        <v>44717</v>
      </c>
      <c r="I13" s="66">
        <f>'Tabel 6'!E14</f>
        <v>1</v>
      </c>
      <c r="J13" s="481">
        <f>skemA3!E51</f>
        <v>793.5</v>
      </c>
      <c r="K13" s="480">
        <f t="shared" si="2"/>
        <v>793.5</v>
      </c>
      <c r="L13" s="480">
        <f t="shared" si="3"/>
        <v>0</v>
      </c>
      <c r="N13" s="477">
        <f>skemA3!B13</f>
        <v>44717</v>
      </c>
      <c r="O13" s="66">
        <f>'Tabel 6'!F14</f>
        <v>-1</v>
      </c>
      <c r="P13" s="481">
        <f t="shared" si="4"/>
        <v>801.90000000000032</v>
      </c>
      <c r="Q13" s="480">
        <f t="shared" si="5"/>
        <v>0</v>
      </c>
      <c r="R13" s="480">
        <f t="shared" si="6"/>
        <v>801.90000000000032</v>
      </c>
      <c r="T13" s="477">
        <f>skemA3!B13</f>
        <v>44717</v>
      </c>
      <c r="U13" s="66">
        <f t="shared" si="7"/>
        <v>-1</v>
      </c>
      <c r="V13" s="481">
        <f t="shared" si="8"/>
        <v>793.5</v>
      </c>
      <c r="W13" s="480">
        <f t="shared" si="9"/>
        <v>0</v>
      </c>
      <c r="X13" s="480">
        <f t="shared" si="10"/>
        <v>793.5</v>
      </c>
      <c r="Y13" s="483"/>
      <c r="Z13" s="477">
        <f>skemA3!B13</f>
        <v>44717</v>
      </c>
      <c r="AA13" s="66">
        <f>'Tabel 6'!G14</f>
        <v>1</v>
      </c>
      <c r="AB13" s="481">
        <f t="shared" si="11"/>
        <v>801.90000000000032</v>
      </c>
      <c r="AC13" s="480">
        <f t="shared" si="12"/>
        <v>801.90000000000032</v>
      </c>
      <c r="AD13" s="480">
        <f t="shared" si="13"/>
        <v>0</v>
      </c>
      <c r="AE13" s="483"/>
      <c r="AF13" s="477">
        <f>skemA3!B13</f>
        <v>44717</v>
      </c>
      <c r="AG13" s="66">
        <f t="shared" si="14"/>
        <v>1</v>
      </c>
      <c r="AH13" s="481">
        <f t="shared" si="15"/>
        <v>793.5</v>
      </c>
      <c r="AI13" s="480">
        <f t="shared" si="16"/>
        <v>793.5</v>
      </c>
      <c r="AJ13" s="480">
        <f t="shared" si="17"/>
        <v>0</v>
      </c>
      <c r="AL13" s="477">
        <f>skemA3!B13</f>
        <v>44717</v>
      </c>
      <c r="AM13" s="66">
        <f>'Tabel 6'!H14</f>
        <v>-1</v>
      </c>
      <c r="AN13" s="481">
        <f t="shared" si="18"/>
        <v>801.90000000000032</v>
      </c>
      <c r="AO13" s="480">
        <f t="shared" si="19"/>
        <v>0</v>
      </c>
      <c r="AP13" s="480">
        <f t="shared" si="20"/>
        <v>801.90000000000032</v>
      </c>
      <c r="AR13" s="477">
        <f>skemA3!B13</f>
        <v>44717</v>
      </c>
      <c r="AS13" s="66">
        <f t="shared" si="21"/>
        <v>-1</v>
      </c>
      <c r="AT13" s="481">
        <f t="shared" si="22"/>
        <v>793.5</v>
      </c>
      <c r="AU13" s="480">
        <f t="shared" si="23"/>
        <v>0</v>
      </c>
      <c r="AV13" s="480">
        <f t="shared" si="24"/>
        <v>793.5</v>
      </c>
      <c r="AX13" s="477">
        <f>skemA3!B13</f>
        <v>44717</v>
      </c>
      <c r="AY13" s="66">
        <f>'Tabel 6'!I14</f>
        <v>-1</v>
      </c>
      <c r="AZ13" s="481">
        <f t="shared" si="25"/>
        <v>801.90000000000032</v>
      </c>
      <c r="BA13" s="480">
        <f t="shared" si="26"/>
        <v>0</v>
      </c>
      <c r="BB13" s="480">
        <f t="shared" si="27"/>
        <v>801.90000000000032</v>
      </c>
      <c r="BD13" s="477">
        <f>skemA3!B13</f>
        <v>44717</v>
      </c>
      <c r="BE13" s="66">
        <f t="shared" si="28"/>
        <v>-1</v>
      </c>
      <c r="BF13" s="481">
        <f t="shared" si="29"/>
        <v>793.5</v>
      </c>
      <c r="BG13" s="480">
        <f t="shared" si="30"/>
        <v>0</v>
      </c>
      <c r="BH13" s="480">
        <f t="shared" si="31"/>
        <v>793.5</v>
      </c>
      <c r="BJ13" s="477">
        <f>skemA3!B13</f>
        <v>44717</v>
      </c>
      <c r="BK13" s="66">
        <f>'Tabel 6'!J14</f>
        <v>1</v>
      </c>
      <c r="BL13" s="481">
        <f t="shared" si="32"/>
        <v>801.90000000000032</v>
      </c>
      <c r="BM13" s="480">
        <f t="shared" si="33"/>
        <v>801.90000000000032</v>
      </c>
      <c r="BN13" s="480">
        <f t="shared" si="34"/>
        <v>0</v>
      </c>
      <c r="BP13" s="477">
        <f>skemA3!B13</f>
        <v>44717</v>
      </c>
      <c r="BQ13" s="66">
        <f t="shared" si="35"/>
        <v>1</v>
      </c>
      <c r="BR13" s="481">
        <f t="shared" si="36"/>
        <v>793.5</v>
      </c>
      <c r="BS13" s="480">
        <f t="shared" si="37"/>
        <v>793.5</v>
      </c>
      <c r="BT13" s="480">
        <f t="shared" si="38"/>
        <v>0</v>
      </c>
      <c r="BU13" s="486"/>
      <c r="BV13" s="477">
        <f>skemA3!B13</f>
        <v>44717</v>
      </c>
      <c r="BW13" s="66">
        <f>'Tabel 6'!K14</f>
        <v>-1</v>
      </c>
      <c r="BX13" s="481">
        <f t="shared" si="39"/>
        <v>801.90000000000032</v>
      </c>
      <c r="BY13" s="480">
        <f t="shared" si="40"/>
        <v>0</v>
      </c>
      <c r="BZ13" s="480">
        <f t="shared" si="41"/>
        <v>801.90000000000032</v>
      </c>
      <c r="CB13" s="477">
        <f>skemA3!B13</f>
        <v>44717</v>
      </c>
      <c r="CC13" s="66">
        <f t="shared" si="42"/>
        <v>-1</v>
      </c>
      <c r="CD13" s="481">
        <f t="shared" si="43"/>
        <v>793.5</v>
      </c>
      <c r="CE13" s="480">
        <f t="shared" si="44"/>
        <v>0</v>
      </c>
      <c r="CF13" s="480">
        <f t="shared" si="45"/>
        <v>793.5</v>
      </c>
      <c r="CG13" s="487"/>
      <c r="CH13" s="487"/>
      <c r="CI13" s="487"/>
      <c r="CJ13" s="689">
        <v>13</v>
      </c>
      <c r="CK13" s="66" t="s">
        <v>76</v>
      </c>
      <c r="CL13" s="66">
        <f t="array" ref="CL13:CL14">TRANSPOSE(AO34:AP34)</f>
        <v>3877.2000000000007</v>
      </c>
      <c r="CM13" s="66">
        <f t="array" ref="CM13:CM14">TRANSPOSE(AU34:AV34)</f>
        <v>4376.5999999999985</v>
      </c>
      <c r="CN13" s="66">
        <f>IF((CL13-CL14+CL15)&gt;0,(CL13-CL14+CL15),0)</f>
        <v>833.65000000000055</v>
      </c>
      <c r="CO13" s="102">
        <f>IF((CM13-CM14+CM15)&gt;0,(CM13-CM14+CM15),0)</f>
        <v>86.649999999999636</v>
      </c>
    </row>
    <row r="14" spans="2:93">
      <c r="B14" s="477">
        <f>skemA3!B14</f>
        <v>44718</v>
      </c>
      <c r="C14" s="66">
        <f>'Tabel 6'!E15</f>
        <v>1</v>
      </c>
      <c r="D14" s="66">
        <f>skemA3!D52</f>
        <v>750.59999999999991</v>
      </c>
      <c r="E14" s="480">
        <f t="shared" si="0"/>
        <v>750.59999999999991</v>
      </c>
      <c r="F14" s="480">
        <f t="shared" si="1"/>
        <v>0</v>
      </c>
      <c r="H14" s="477">
        <f>skemA3!B14</f>
        <v>44718</v>
      </c>
      <c r="I14" s="66">
        <f>'Tabel 6'!E15</f>
        <v>1</v>
      </c>
      <c r="J14" s="481">
        <f>skemA3!E52</f>
        <v>925.2</v>
      </c>
      <c r="K14" s="480">
        <f t="shared" si="2"/>
        <v>925.2</v>
      </c>
      <c r="L14" s="480">
        <f t="shared" si="3"/>
        <v>0</v>
      </c>
      <c r="N14" s="477">
        <f>skemA3!B14</f>
        <v>44718</v>
      </c>
      <c r="O14" s="66">
        <f>'Tabel 6'!F15</f>
        <v>-1</v>
      </c>
      <c r="P14" s="481">
        <f t="shared" si="4"/>
        <v>750.59999999999991</v>
      </c>
      <c r="Q14" s="480">
        <f t="shared" si="5"/>
        <v>0</v>
      </c>
      <c r="R14" s="480">
        <f t="shared" si="6"/>
        <v>750.59999999999991</v>
      </c>
      <c r="T14" s="477">
        <f>skemA3!B14</f>
        <v>44718</v>
      </c>
      <c r="U14" s="66">
        <f t="shared" si="7"/>
        <v>-1</v>
      </c>
      <c r="V14" s="481">
        <f t="shared" si="8"/>
        <v>925.2</v>
      </c>
      <c r="W14" s="480">
        <f t="shared" si="9"/>
        <v>0</v>
      </c>
      <c r="X14" s="480">
        <f t="shared" si="10"/>
        <v>925.2</v>
      </c>
      <c r="Y14" s="483"/>
      <c r="Z14" s="477">
        <f>skemA3!B14</f>
        <v>44718</v>
      </c>
      <c r="AA14" s="66">
        <f>'Tabel 6'!G15</f>
        <v>1</v>
      </c>
      <c r="AB14" s="481">
        <f t="shared" si="11"/>
        <v>750.59999999999991</v>
      </c>
      <c r="AC14" s="480">
        <f t="shared" si="12"/>
        <v>750.59999999999991</v>
      </c>
      <c r="AD14" s="480">
        <f t="shared" si="13"/>
        <v>0</v>
      </c>
      <c r="AE14" s="483"/>
      <c r="AF14" s="477">
        <f>skemA3!B14</f>
        <v>44718</v>
      </c>
      <c r="AG14" s="66">
        <f t="shared" si="14"/>
        <v>1</v>
      </c>
      <c r="AH14" s="481">
        <f t="shared" si="15"/>
        <v>925.2</v>
      </c>
      <c r="AI14" s="480">
        <f t="shared" si="16"/>
        <v>925.2</v>
      </c>
      <c r="AJ14" s="480">
        <f t="shared" si="17"/>
        <v>0</v>
      </c>
      <c r="AL14" s="477">
        <f>skemA3!B14</f>
        <v>44718</v>
      </c>
      <c r="AM14" s="66">
        <f>'Tabel 6'!H15</f>
        <v>-1</v>
      </c>
      <c r="AN14" s="481">
        <f t="shared" si="18"/>
        <v>750.59999999999991</v>
      </c>
      <c r="AO14" s="480">
        <f t="shared" si="19"/>
        <v>0</v>
      </c>
      <c r="AP14" s="480">
        <f t="shared" si="20"/>
        <v>750.59999999999991</v>
      </c>
      <c r="AR14" s="477">
        <f>skemA3!B14</f>
        <v>44718</v>
      </c>
      <c r="AS14" s="66">
        <f t="shared" si="21"/>
        <v>-1</v>
      </c>
      <c r="AT14" s="481">
        <f t="shared" si="22"/>
        <v>925.2</v>
      </c>
      <c r="AU14" s="480">
        <f t="shared" si="23"/>
        <v>0</v>
      </c>
      <c r="AV14" s="480">
        <f t="shared" si="24"/>
        <v>925.2</v>
      </c>
      <c r="AX14" s="477">
        <f>skemA3!B14</f>
        <v>44718</v>
      </c>
      <c r="AY14" s="66">
        <f>'Tabel 6'!I15</f>
        <v>-1</v>
      </c>
      <c r="AZ14" s="481">
        <f t="shared" si="25"/>
        <v>750.59999999999991</v>
      </c>
      <c r="BA14" s="480">
        <f t="shared" si="26"/>
        <v>0</v>
      </c>
      <c r="BB14" s="480">
        <f t="shared" si="27"/>
        <v>750.59999999999991</v>
      </c>
      <c r="BD14" s="477">
        <f>skemA3!B14</f>
        <v>44718</v>
      </c>
      <c r="BE14" s="66">
        <f t="shared" si="28"/>
        <v>-1</v>
      </c>
      <c r="BF14" s="481">
        <f t="shared" si="29"/>
        <v>925.2</v>
      </c>
      <c r="BG14" s="480">
        <f t="shared" si="30"/>
        <v>0</v>
      </c>
      <c r="BH14" s="480">
        <f t="shared" si="31"/>
        <v>925.2</v>
      </c>
      <c r="BJ14" s="477">
        <f>skemA3!B14</f>
        <v>44718</v>
      </c>
      <c r="BK14" s="66">
        <f>'Tabel 6'!J15</f>
        <v>-1</v>
      </c>
      <c r="BL14" s="481">
        <f t="shared" si="32"/>
        <v>750.59999999999991</v>
      </c>
      <c r="BM14" s="480">
        <f t="shared" si="33"/>
        <v>0</v>
      </c>
      <c r="BN14" s="480">
        <f t="shared" si="34"/>
        <v>750.59999999999991</v>
      </c>
      <c r="BP14" s="477">
        <f>skemA3!B14</f>
        <v>44718</v>
      </c>
      <c r="BQ14" s="66">
        <f t="shared" si="35"/>
        <v>-1</v>
      </c>
      <c r="BR14" s="481">
        <f t="shared" si="36"/>
        <v>925.2</v>
      </c>
      <c r="BS14" s="480">
        <f t="shared" si="37"/>
        <v>0</v>
      </c>
      <c r="BT14" s="480">
        <f t="shared" si="38"/>
        <v>925.2</v>
      </c>
      <c r="BU14" s="486"/>
      <c r="BV14" s="477">
        <f>skemA3!B14</f>
        <v>44718</v>
      </c>
      <c r="BW14" s="66">
        <f>'Tabel 6'!K15</f>
        <v>-1</v>
      </c>
      <c r="BX14" s="481">
        <f t="shared" si="39"/>
        <v>750.59999999999991</v>
      </c>
      <c r="BY14" s="480">
        <f t="shared" si="40"/>
        <v>0</v>
      </c>
      <c r="BZ14" s="480">
        <f t="shared" si="41"/>
        <v>750.59999999999991</v>
      </c>
      <c r="CB14" s="477">
        <f>skemA3!B14</f>
        <v>44718</v>
      </c>
      <c r="CC14" s="66">
        <f t="shared" si="42"/>
        <v>-1</v>
      </c>
      <c r="CD14" s="481">
        <f t="shared" si="43"/>
        <v>925.2</v>
      </c>
      <c r="CE14" s="480">
        <f t="shared" si="44"/>
        <v>0</v>
      </c>
      <c r="CF14" s="480">
        <f t="shared" si="45"/>
        <v>925.2</v>
      </c>
      <c r="CG14" s="487"/>
      <c r="CH14" s="487"/>
      <c r="CI14" s="487"/>
      <c r="CJ14" s="689"/>
      <c r="CK14" s="61" t="s">
        <v>77</v>
      </c>
      <c r="CL14" s="61">
        <v>4043.55</v>
      </c>
      <c r="CM14" s="61">
        <v>5289.9499999999989</v>
      </c>
      <c r="CN14" s="61">
        <f>IF((CL13-CL14+CL15)&lt;0,(CL13-CL14+CL15),0)</f>
        <v>0</v>
      </c>
      <c r="CO14" s="101">
        <f>IF((CM13-CM14+CM15)&lt;0,(CM13-CM14+CM15),0)</f>
        <v>0</v>
      </c>
    </row>
    <row r="15" spans="2:93">
      <c r="B15" s="477">
        <f>skemA3!B15</f>
        <v>44719</v>
      </c>
      <c r="C15" s="66">
        <f>'Tabel 6'!E16</f>
        <v>1</v>
      </c>
      <c r="D15" s="66">
        <f>skemA3!D53</f>
        <v>656.89999999999986</v>
      </c>
      <c r="E15" s="480">
        <f t="shared" si="0"/>
        <v>656.89999999999986</v>
      </c>
      <c r="F15" s="480">
        <f t="shared" si="1"/>
        <v>0</v>
      </c>
      <c r="H15" s="477">
        <f>skemA3!B15</f>
        <v>44719</v>
      </c>
      <c r="I15" s="66">
        <f>'Tabel 6'!E16</f>
        <v>1</v>
      </c>
      <c r="J15" s="481">
        <f>skemA3!E53</f>
        <v>980.69999999999982</v>
      </c>
      <c r="K15" s="480">
        <f t="shared" si="2"/>
        <v>980.69999999999982</v>
      </c>
      <c r="L15" s="480">
        <f t="shared" si="3"/>
        <v>0</v>
      </c>
      <c r="N15" s="477">
        <f>skemA3!B15</f>
        <v>44719</v>
      </c>
      <c r="O15" s="66">
        <f>'Tabel 6'!F16</f>
        <v>-1</v>
      </c>
      <c r="P15" s="481">
        <f t="shared" si="4"/>
        <v>656.89999999999986</v>
      </c>
      <c r="Q15" s="480">
        <f t="shared" si="5"/>
        <v>0</v>
      </c>
      <c r="R15" s="480">
        <f t="shared" si="6"/>
        <v>656.89999999999986</v>
      </c>
      <c r="T15" s="477">
        <f>skemA3!B15</f>
        <v>44719</v>
      </c>
      <c r="U15" s="66">
        <f t="shared" si="7"/>
        <v>-1</v>
      </c>
      <c r="V15" s="481">
        <f t="shared" si="8"/>
        <v>980.69999999999982</v>
      </c>
      <c r="W15" s="480">
        <f t="shared" si="9"/>
        <v>0</v>
      </c>
      <c r="X15" s="480">
        <f t="shared" si="10"/>
        <v>980.69999999999982</v>
      </c>
      <c r="Y15" s="483"/>
      <c r="Z15" s="477">
        <f>skemA3!B15</f>
        <v>44719</v>
      </c>
      <c r="AA15" s="66">
        <f>'Tabel 6'!G16</f>
        <v>1</v>
      </c>
      <c r="AB15" s="481">
        <f t="shared" si="11"/>
        <v>656.89999999999986</v>
      </c>
      <c r="AC15" s="480">
        <f t="shared" si="12"/>
        <v>656.89999999999986</v>
      </c>
      <c r="AD15" s="480">
        <f t="shared" si="13"/>
        <v>0</v>
      </c>
      <c r="AE15" s="483"/>
      <c r="AF15" s="477">
        <f>skemA3!B15</f>
        <v>44719</v>
      </c>
      <c r="AG15" s="66">
        <f t="shared" si="14"/>
        <v>1</v>
      </c>
      <c r="AH15" s="481">
        <f t="shared" si="15"/>
        <v>980.69999999999982</v>
      </c>
      <c r="AI15" s="480">
        <f t="shared" si="16"/>
        <v>980.69999999999982</v>
      </c>
      <c r="AJ15" s="480">
        <f t="shared" si="17"/>
        <v>0</v>
      </c>
      <c r="AL15" s="477">
        <f>skemA3!B15</f>
        <v>44719</v>
      </c>
      <c r="AM15" s="66">
        <f>'Tabel 6'!H16</f>
        <v>-1</v>
      </c>
      <c r="AN15" s="481">
        <f t="shared" si="18"/>
        <v>656.89999999999986</v>
      </c>
      <c r="AO15" s="480">
        <f t="shared" si="19"/>
        <v>0</v>
      </c>
      <c r="AP15" s="480">
        <f t="shared" si="20"/>
        <v>656.89999999999986</v>
      </c>
      <c r="AR15" s="477">
        <f>skemA3!B15</f>
        <v>44719</v>
      </c>
      <c r="AS15" s="66">
        <f t="shared" si="21"/>
        <v>-1</v>
      </c>
      <c r="AT15" s="481">
        <f t="shared" si="22"/>
        <v>980.69999999999982</v>
      </c>
      <c r="AU15" s="480">
        <f t="shared" si="23"/>
        <v>0</v>
      </c>
      <c r="AV15" s="480">
        <f t="shared" si="24"/>
        <v>980.69999999999982</v>
      </c>
      <c r="AX15" s="477">
        <f>skemA3!B15</f>
        <v>44719</v>
      </c>
      <c r="AY15" s="66">
        <f>'Tabel 6'!I16</f>
        <v>1</v>
      </c>
      <c r="AZ15" s="481">
        <f t="shared" si="25"/>
        <v>656.89999999999986</v>
      </c>
      <c r="BA15" s="480">
        <f t="shared" si="26"/>
        <v>656.89999999999986</v>
      </c>
      <c r="BB15" s="480">
        <f t="shared" si="27"/>
        <v>0</v>
      </c>
      <c r="BD15" s="477">
        <f>skemA3!B15</f>
        <v>44719</v>
      </c>
      <c r="BE15" s="66">
        <f t="shared" si="28"/>
        <v>1</v>
      </c>
      <c r="BF15" s="481">
        <f t="shared" si="29"/>
        <v>980.69999999999982</v>
      </c>
      <c r="BG15" s="480">
        <f t="shared" si="30"/>
        <v>980.69999999999982</v>
      </c>
      <c r="BH15" s="480">
        <f t="shared" si="31"/>
        <v>0</v>
      </c>
      <c r="BJ15" s="477">
        <f>skemA3!B15</f>
        <v>44719</v>
      </c>
      <c r="BK15" s="66">
        <f>'Tabel 6'!J16</f>
        <v>-1</v>
      </c>
      <c r="BL15" s="481">
        <f t="shared" si="32"/>
        <v>656.89999999999986</v>
      </c>
      <c r="BM15" s="480">
        <f t="shared" si="33"/>
        <v>0</v>
      </c>
      <c r="BN15" s="480">
        <f t="shared" si="34"/>
        <v>656.89999999999986</v>
      </c>
      <c r="BP15" s="477">
        <f>skemA3!B15</f>
        <v>44719</v>
      </c>
      <c r="BQ15" s="66">
        <f t="shared" si="35"/>
        <v>-1</v>
      </c>
      <c r="BR15" s="481">
        <f t="shared" si="36"/>
        <v>980.69999999999982</v>
      </c>
      <c r="BS15" s="480">
        <f t="shared" si="37"/>
        <v>0</v>
      </c>
      <c r="BT15" s="480">
        <f t="shared" si="38"/>
        <v>980.69999999999982</v>
      </c>
      <c r="BU15" s="486"/>
      <c r="BV15" s="477">
        <f>skemA3!B15</f>
        <v>44719</v>
      </c>
      <c r="BW15" s="66">
        <f>'Tabel 6'!K16</f>
        <v>-1</v>
      </c>
      <c r="BX15" s="481">
        <f t="shared" si="39"/>
        <v>656.89999999999986</v>
      </c>
      <c r="BY15" s="480">
        <f t="shared" si="40"/>
        <v>0</v>
      </c>
      <c r="BZ15" s="480">
        <f t="shared" si="41"/>
        <v>656.89999999999986</v>
      </c>
      <c r="CB15" s="477">
        <f>skemA3!B15</f>
        <v>44719</v>
      </c>
      <c r="CC15" s="66">
        <f t="shared" si="42"/>
        <v>-1</v>
      </c>
      <c r="CD15" s="481">
        <f t="shared" si="43"/>
        <v>980.69999999999982</v>
      </c>
      <c r="CE15" s="480">
        <f t="shared" si="44"/>
        <v>0</v>
      </c>
      <c r="CF15" s="480">
        <f t="shared" si="45"/>
        <v>980.69999999999982</v>
      </c>
      <c r="CG15" s="487"/>
      <c r="CH15" s="487"/>
      <c r="CI15" s="487"/>
      <c r="CJ15" s="689"/>
      <c r="CK15" s="62" t="s">
        <v>76</v>
      </c>
      <c r="CL15" s="62">
        <f>ABS(skemA3!E42*'Tabel 6'!H4)</f>
        <v>1000</v>
      </c>
      <c r="CM15" s="62">
        <f>ABS(skemA3!E42*'Tabel 6'!H4)</f>
        <v>1000</v>
      </c>
      <c r="CN15" s="62"/>
      <c r="CO15" s="103"/>
    </row>
    <row r="16" spans="2:93">
      <c r="B16" s="477">
        <f>skemA3!B16</f>
        <v>44720</v>
      </c>
      <c r="C16" s="66">
        <f>'Tabel 6'!E17</f>
        <v>1</v>
      </c>
      <c r="D16" s="66">
        <f>skemA3!D54</f>
        <v>532.29999999999995</v>
      </c>
      <c r="E16" s="480">
        <f t="shared" si="0"/>
        <v>532.29999999999995</v>
      </c>
      <c r="F16" s="480">
        <f t="shared" si="1"/>
        <v>0</v>
      </c>
      <c r="H16" s="477">
        <f>skemA3!B16</f>
        <v>44720</v>
      </c>
      <c r="I16" s="66">
        <f>'Tabel 6'!E17</f>
        <v>1</v>
      </c>
      <c r="J16" s="481">
        <f>skemA3!E54</f>
        <v>1034.2999999999997</v>
      </c>
      <c r="K16" s="480">
        <f t="shared" si="2"/>
        <v>1034.2999999999997</v>
      </c>
      <c r="L16" s="480">
        <f t="shared" si="3"/>
        <v>0</v>
      </c>
      <c r="N16" s="477">
        <f>skemA3!B16</f>
        <v>44720</v>
      </c>
      <c r="O16" s="66">
        <f>'Tabel 6'!F17</f>
        <v>1</v>
      </c>
      <c r="P16" s="481">
        <f t="shared" si="4"/>
        <v>532.29999999999995</v>
      </c>
      <c r="Q16" s="480">
        <f t="shared" si="5"/>
        <v>532.29999999999995</v>
      </c>
      <c r="R16" s="480">
        <f t="shared" si="6"/>
        <v>0</v>
      </c>
      <c r="T16" s="477">
        <f>skemA3!B16</f>
        <v>44720</v>
      </c>
      <c r="U16" s="66">
        <f t="shared" si="7"/>
        <v>1</v>
      </c>
      <c r="V16" s="481">
        <f t="shared" si="8"/>
        <v>1034.2999999999997</v>
      </c>
      <c r="W16" s="480">
        <f t="shared" si="9"/>
        <v>1034.2999999999997</v>
      </c>
      <c r="X16" s="480">
        <f t="shared" si="10"/>
        <v>0</v>
      </c>
      <c r="Y16" s="483"/>
      <c r="Z16" s="477">
        <f>skemA3!B16</f>
        <v>44720</v>
      </c>
      <c r="AA16" s="66">
        <f>'Tabel 6'!G17</f>
        <v>1</v>
      </c>
      <c r="AB16" s="481">
        <f t="shared" si="11"/>
        <v>532.29999999999995</v>
      </c>
      <c r="AC16" s="480">
        <f t="shared" si="12"/>
        <v>532.29999999999995</v>
      </c>
      <c r="AD16" s="480">
        <f t="shared" si="13"/>
        <v>0</v>
      </c>
      <c r="AE16" s="483"/>
      <c r="AF16" s="477">
        <f>skemA3!B16</f>
        <v>44720</v>
      </c>
      <c r="AG16" s="66">
        <f t="shared" si="14"/>
        <v>1</v>
      </c>
      <c r="AH16" s="481">
        <f t="shared" si="15"/>
        <v>1034.2999999999997</v>
      </c>
      <c r="AI16" s="480">
        <f t="shared" si="16"/>
        <v>1034.2999999999997</v>
      </c>
      <c r="AJ16" s="480">
        <f t="shared" si="17"/>
        <v>0</v>
      </c>
      <c r="AL16" s="477">
        <f>skemA3!B16</f>
        <v>44720</v>
      </c>
      <c r="AM16" s="66">
        <f>'Tabel 6'!H17</f>
        <v>-1</v>
      </c>
      <c r="AN16" s="481">
        <f t="shared" si="18"/>
        <v>532.29999999999995</v>
      </c>
      <c r="AO16" s="480">
        <f t="shared" si="19"/>
        <v>0</v>
      </c>
      <c r="AP16" s="480">
        <f t="shared" si="20"/>
        <v>532.29999999999995</v>
      </c>
      <c r="AR16" s="477">
        <f>skemA3!B16</f>
        <v>44720</v>
      </c>
      <c r="AS16" s="66">
        <f t="shared" si="21"/>
        <v>-1</v>
      </c>
      <c r="AT16" s="481">
        <f t="shared" si="22"/>
        <v>1034.2999999999997</v>
      </c>
      <c r="AU16" s="480">
        <f t="shared" si="23"/>
        <v>0</v>
      </c>
      <c r="AV16" s="480">
        <f t="shared" si="24"/>
        <v>1034.2999999999997</v>
      </c>
      <c r="AX16" s="477">
        <f>skemA3!B16</f>
        <v>44720</v>
      </c>
      <c r="AY16" s="66">
        <f>'Tabel 6'!I17</f>
        <v>1</v>
      </c>
      <c r="AZ16" s="481">
        <f t="shared" si="25"/>
        <v>532.29999999999995</v>
      </c>
      <c r="BA16" s="480">
        <f t="shared" si="26"/>
        <v>532.29999999999995</v>
      </c>
      <c r="BB16" s="480">
        <f t="shared" si="27"/>
        <v>0</v>
      </c>
      <c r="BD16" s="477">
        <f>skemA3!B16</f>
        <v>44720</v>
      </c>
      <c r="BE16" s="66">
        <f t="shared" si="28"/>
        <v>1</v>
      </c>
      <c r="BF16" s="481">
        <f t="shared" si="29"/>
        <v>1034.2999999999997</v>
      </c>
      <c r="BG16" s="480">
        <f t="shared" si="30"/>
        <v>1034.2999999999997</v>
      </c>
      <c r="BH16" s="480">
        <f t="shared" si="31"/>
        <v>0</v>
      </c>
      <c r="BJ16" s="477">
        <f>skemA3!B16</f>
        <v>44720</v>
      </c>
      <c r="BK16" s="66">
        <f>'Tabel 6'!J17</f>
        <v>-1</v>
      </c>
      <c r="BL16" s="481">
        <f t="shared" si="32"/>
        <v>532.29999999999995</v>
      </c>
      <c r="BM16" s="480">
        <f t="shared" si="33"/>
        <v>0</v>
      </c>
      <c r="BN16" s="480">
        <f t="shared" si="34"/>
        <v>532.29999999999995</v>
      </c>
      <c r="BP16" s="477">
        <f>skemA3!B16</f>
        <v>44720</v>
      </c>
      <c r="BQ16" s="66">
        <f t="shared" si="35"/>
        <v>-1</v>
      </c>
      <c r="BR16" s="481">
        <f t="shared" si="36"/>
        <v>1034.2999999999997</v>
      </c>
      <c r="BS16" s="480">
        <f t="shared" si="37"/>
        <v>0</v>
      </c>
      <c r="BT16" s="480">
        <f t="shared" si="38"/>
        <v>1034.2999999999997</v>
      </c>
      <c r="BU16" s="486"/>
      <c r="BV16" s="477">
        <f>skemA3!B16</f>
        <v>44720</v>
      </c>
      <c r="BW16" s="66">
        <f>'Tabel 6'!K17</f>
        <v>1</v>
      </c>
      <c r="BX16" s="481">
        <f t="shared" si="39"/>
        <v>532.29999999999995</v>
      </c>
      <c r="BY16" s="480">
        <f t="shared" si="40"/>
        <v>532.29999999999995</v>
      </c>
      <c r="BZ16" s="480">
        <f t="shared" si="41"/>
        <v>0</v>
      </c>
      <c r="CB16" s="477">
        <f>skemA3!B16</f>
        <v>44720</v>
      </c>
      <c r="CC16" s="66">
        <f t="shared" si="42"/>
        <v>1</v>
      </c>
      <c r="CD16" s="481">
        <f t="shared" si="43"/>
        <v>1034.2999999999997</v>
      </c>
      <c r="CE16" s="480">
        <f t="shared" si="44"/>
        <v>1034.2999999999997</v>
      </c>
      <c r="CF16" s="480">
        <f t="shared" si="45"/>
        <v>0</v>
      </c>
      <c r="CG16" s="487"/>
      <c r="CH16" s="487"/>
      <c r="CI16" s="487"/>
      <c r="CJ16" s="688" t="s">
        <v>139</v>
      </c>
      <c r="CK16" s="61" t="s">
        <v>76</v>
      </c>
      <c r="CL16" s="61">
        <f t="array" ref="CL16:CL17">TRANSPOSE(BA34:BB34)</f>
        <v>3854.9999999999995</v>
      </c>
      <c r="CM16" s="61">
        <f t="array" ref="CM16:CM17">TRANSPOSE(BG34:BH34)</f>
        <v>5711.7999999999993</v>
      </c>
      <c r="CN16" s="66">
        <f>IF((CL16-CL17)&gt;0,(CL16-CL17),0)</f>
        <v>0</v>
      </c>
      <c r="CO16" s="102">
        <f>IF((CM16-CM17)&gt;0,(CM16-CM17),0)</f>
        <v>2394.9499999999998</v>
      </c>
    </row>
    <row r="17" spans="2:93">
      <c r="B17" s="477">
        <f>skemA3!B17</f>
        <v>44721</v>
      </c>
      <c r="C17" s="66">
        <f>'Tabel 6'!E18</f>
        <v>1</v>
      </c>
      <c r="D17" s="66">
        <f>skemA3!D55</f>
        <v>414</v>
      </c>
      <c r="E17" s="480">
        <f t="shared" si="0"/>
        <v>414</v>
      </c>
      <c r="F17" s="480">
        <f t="shared" si="1"/>
        <v>0</v>
      </c>
      <c r="H17" s="477">
        <f>skemA3!B17</f>
        <v>44721</v>
      </c>
      <c r="I17" s="66">
        <f>'Tabel 6'!E18</f>
        <v>1</v>
      </c>
      <c r="J17" s="481">
        <f>skemA3!E55</f>
        <v>940.39999999999986</v>
      </c>
      <c r="K17" s="480">
        <f t="shared" si="2"/>
        <v>940.39999999999986</v>
      </c>
      <c r="L17" s="480">
        <f t="shared" si="3"/>
        <v>0</v>
      </c>
      <c r="N17" s="477">
        <f>skemA3!B17</f>
        <v>44721</v>
      </c>
      <c r="O17" s="66">
        <f>'Tabel 6'!F18</f>
        <v>1</v>
      </c>
      <c r="P17" s="481">
        <f t="shared" si="4"/>
        <v>414</v>
      </c>
      <c r="Q17" s="480">
        <f t="shared" si="5"/>
        <v>414</v>
      </c>
      <c r="R17" s="480">
        <f t="shared" si="6"/>
        <v>0</v>
      </c>
      <c r="T17" s="477">
        <f>skemA3!B17</f>
        <v>44721</v>
      </c>
      <c r="U17" s="66">
        <f t="shared" si="7"/>
        <v>1</v>
      </c>
      <c r="V17" s="481">
        <f t="shared" si="8"/>
        <v>940.39999999999986</v>
      </c>
      <c r="W17" s="480">
        <f t="shared" si="9"/>
        <v>940.39999999999986</v>
      </c>
      <c r="X17" s="480">
        <f t="shared" si="10"/>
        <v>0</v>
      </c>
      <c r="Y17" s="483"/>
      <c r="Z17" s="477">
        <f>skemA3!B17</f>
        <v>44721</v>
      </c>
      <c r="AA17" s="66">
        <f>'Tabel 6'!G18</f>
        <v>1</v>
      </c>
      <c r="AB17" s="481">
        <f t="shared" si="11"/>
        <v>414</v>
      </c>
      <c r="AC17" s="480">
        <f t="shared" si="12"/>
        <v>414</v>
      </c>
      <c r="AD17" s="480">
        <f t="shared" si="13"/>
        <v>0</v>
      </c>
      <c r="AE17" s="483"/>
      <c r="AF17" s="477">
        <f>skemA3!B17</f>
        <v>44721</v>
      </c>
      <c r="AG17" s="66">
        <f t="shared" si="14"/>
        <v>1</v>
      </c>
      <c r="AH17" s="481">
        <f t="shared" si="15"/>
        <v>940.39999999999986</v>
      </c>
      <c r="AI17" s="480">
        <f t="shared" si="16"/>
        <v>940.39999999999986</v>
      </c>
      <c r="AJ17" s="480">
        <f t="shared" si="17"/>
        <v>0</v>
      </c>
      <c r="AL17" s="477">
        <f>skemA3!B17</f>
        <v>44721</v>
      </c>
      <c r="AM17" s="66">
        <f>'Tabel 6'!H18</f>
        <v>1</v>
      </c>
      <c r="AN17" s="481">
        <f t="shared" si="18"/>
        <v>414</v>
      </c>
      <c r="AO17" s="480">
        <f t="shared" si="19"/>
        <v>414</v>
      </c>
      <c r="AP17" s="480">
        <f t="shared" si="20"/>
        <v>0</v>
      </c>
      <c r="AR17" s="477">
        <f>skemA3!B17</f>
        <v>44721</v>
      </c>
      <c r="AS17" s="66">
        <f t="shared" si="21"/>
        <v>1</v>
      </c>
      <c r="AT17" s="481">
        <f t="shared" si="22"/>
        <v>940.39999999999986</v>
      </c>
      <c r="AU17" s="480">
        <f t="shared" si="23"/>
        <v>940.39999999999986</v>
      </c>
      <c r="AV17" s="480">
        <f t="shared" si="24"/>
        <v>0</v>
      </c>
      <c r="AX17" s="477">
        <f>skemA3!B17</f>
        <v>44721</v>
      </c>
      <c r="AY17" s="66">
        <f>'Tabel 6'!I18</f>
        <v>1</v>
      </c>
      <c r="AZ17" s="481">
        <f t="shared" si="25"/>
        <v>414</v>
      </c>
      <c r="BA17" s="480">
        <f t="shared" si="26"/>
        <v>414</v>
      </c>
      <c r="BB17" s="480">
        <f t="shared" si="27"/>
        <v>0</v>
      </c>
      <c r="BD17" s="477">
        <f>skemA3!B17</f>
        <v>44721</v>
      </c>
      <c r="BE17" s="66">
        <f t="shared" si="28"/>
        <v>1</v>
      </c>
      <c r="BF17" s="481">
        <f t="shared" si="29"/>
        <v>940.39999999999986</v>
      </c>
      <c r="BG17" s="480">
        <f t="shared" si="30"/>
        <v>940.39999999999986</v>
      </c>
      <c r="BH17" s="480">
        <f t="shared" si="31"/>
        <v>0</v>
      </c>
      <c r="BJ17" s="477">
        <f>skemA3!B17</f>
        <v>44721</v>
      </c>
      <c r="BK17" s="66">
        <f>'Tabel 6'!J18</f>
        <v>-1</v>
      </c>
      <c r="BL17" s="481">
        <f t="shared" si="32"/>
        <v>414</v>
      </c>
      <c r="BM17" s="480">
        <f t="shared" si="33"/>
        <v>0</v>
      </c>
      <c r="BN17" s="480">
        <f t="shared" si="34"/>
        <v>414</v>
      </c>
      <c r="BP17" s="477">
        <f>skemA3!B17</f>
        <v>44721</v>
      </c>
      <c r="BQ17" s="66">
        <f t="shared" si="35"/>
        <v>-1</v>
      </c>
      <c r="BR17" s="481">
        <f t="shared" si="36"/>
        <v>940.39999999999986</v>
      </c>
      <c r="BS17" s="480">
        <f t="shared" si="37"/>
        <v>0</v>
      </c>
      <c r="BT17" s="480">
        <f t="shared" si="38"/>
        <v>940.39999999999986</v>
      </c>
      <c r="BU17" s="486"/>
      <c r="BV17" s="477">
        <f>skemA3!B17</f>
        <v>44721</v>
      </c>
      <c r="BW17" s="66">
        <f>'Tabel 6'!K18</f>
        <v>1</v>
      </c>
      <c r="BX17" s="481">
        <f t="shared" si="39"/>
        <v>414</v>
      </c>
      <c r="BY17" s="480">
        <f t="shared" si="40"/>
        <v>414</v>
      </c>
      <c r="BZ17" s="480">
        <f t="shared" si="41"/>
        <v>0</v>
      </c>
      <c r="CB17" s="477">
        <f>skemA3!B17</f>
        <v>44721</v>
      </c>
      <c r="CC17" s="66">
        <f t="shared" si="42"/>
        <v>1</v>
      </c>
      <c r="CD17" s="481">
        <f t="shared" si="43"/>
        <v>940.39999999999986</v>
      </c>
      <c r="CE17" s="480">
        <f t="shared" si="44"/>
        <v>940.39999999999986</v>
      </c>
      <c r="CF17" s="480">
        <f t="shared" si="45"/>
        <v>0</v>
      </c>
      <c r="CG17" s="487"/>
      <c r="CH17" s="487"/>
      <c r="CI17" s="487"/>
      <c r="CJ17" s="688"/>
      <c r="CK17" s="61" t="s">
        <v>77</v>
      </c>
      <c r="CL17" s="61">
        <v>3856.650000000001</v>
      </c>
      <c r="CM17" s="61">
        <v>3316.8499999999995</v>
      </c>
      <c r="CN17" s="62">
        <f>IF((CL16-CL17)&lt;0,(CL16-CL17),0)</f>
        <v>-1.6500000000014552</v>
      </c>
      <c r="CO17" s="103">
        <f>IF((CM16-CM17)&lt;0,(CM16-CM17),0)</f>
        <v>0</v>
      </c>
    </row>
    <row r="18" spans="2:93">
      <c r="B18" s="477">
        <f>skemA3!B18</f>
        <v>44722</v>
      </c>
      <c r="C18" s="66">
        <f>'Tabel 6'!E19</f>
        <v>1</v>
      </c>
      <c r="D18" s="66">
        <f>skemA3!D56</f>
        <v>313.50000000000045</v>
      </c>
      <c r="E18" s="480">
        <f t="shared" si="0"/>
        <v>313.50000000000045</v>
      </c>
      <c r="F18" s="480">
        <f t="shared" si="1"/>
        <v>0</v>
      </c>
      <c r="H18" s="477">
        <f>skemA3!B18</f>
        <v>44722</v>
      </c>
      <c r="I18" s="66">
        <f>'Tabel 6'!E19</f>
        <v>1</v>
      </c>
      <c r="J18" s="481">
        <f>skemA3!E56</f>
        <v>853.69999999999982</v>
      </c>
      <c r="K18" s="480">
        <f t="shared" si="2"/>
        <v>853.69999999999982</v>
      </c>
      <c r="L18" s="480">
        <f t="shared" si="3"/>
        <v>0</v>
      </c>
      <c r="N18" s="477">
        <f>skemA3!B18</f>
        <v>44722</v>
      </c>
      <c r="O18" s="66">
        <f>'Tabel 6'!F19</f>
        <v>1</v>
      </c>
      <c r="P18" s="481">
        <f t="shared" si="4"/>
        <v>313.50000000000045</v>
      </c>
      <c r="Q18" s="480">
        <f t="shared" si="5"/>
        <v>313.50000000000045</v>
      </c>
      <c r="R18" s="480">
        <f t="shared" si="6"/>
        <v>0</v>
      </c>
      <c r="T18" s="477">
        <f>skemA3!B18</f>
        <v>44722</v>
      </c>
      <c r="U18" s="66">
        <f t="shared" si="7"/>
        <v>1</v>
      </c>
      <c r="V18" s="481">
        <f t="shared" si="8"/>
        <v>853.69999999999982</v>
      </c>
      <c r="W18" s="480">
        <f t="shared" si="9"/>
        <v>853.69999999999982</v>
      </c>
      <c r="X18" s="480">
        <f t="shared" si="10"/>
        <v>0</v>
      </c>
      <c r="Y18" s="483"/>
      <c r="Z18" s="477">
        <f>skemA3!B18</f>
        <v>44722</v>
      </c>
      <c r="AA18" s="66">
        <f>'Tabel 6'!G19</f>
        <v>1</v>
      </c>
      <c r="AB18" s="481">
        <f t="shared" si="11"/>
        <v>313.50000000000045</v>
      </c>
      <c r="AC18" s="480">
        <f t="shared" si="12"/>
        <v>313.50000000000045</v>
      </c>
      <c r="AD18" s="480">
        <f t="shared" si="13"/>
        <v>0</v>
      </c>
      <c r="AE18" s="483"/>
      <c r="AF18" s="477">
        <f>skemA3!B18</f>
        <v>44722</v>
      </c>
      <c r="AG18" s="66">
        <f t="shared" si="14"/>
        <v>1</v>
      </c>
      <c r="AH18" s="481">
        <f t="shared" si="15"/>
        <v>853.69999999999982</v>
      </c>
      <c r="AI18" s="480">
        <f t="shared" si="16"/>
        <v>853.69999999999982</v>
      </c>
      <c r="AJ18" s="480">
        <f t="shared" si="17"/>
        <v>0</v>
      </c>
      <c r="AL18" s="477">
        <f>skemA3!B18</f>
        <v>44722</v>
      </c>
      <c r="AM18" s="66">
        <f>'Tabel 6'!H19</f>
        <v>1</v>
      </c>
      <c r="AN18" s="481">
        <f t="shared" si="18"/>
        <v>313.50000000000045</v>
      </c>
      <c r="AO18" s="480">
        <f t="shared" si="19"/>
        <v>313.50000000000045</v>
      </c>
      <c r="AP18" s="480">
        <f t="shared" si="20"/>
        <v>0</v>
      </c>
      <c r="AR18" s="477">
        <f>skemA3!B18</f>
        <v>44722</v>
      </c>
      <c r="AS18" s="66">
        <f t="shared" si="21"/>
        <v>1</v>
      </c>
      <c r="AT18" s="481">
        <f t="shared" si="22"/>
        <v>853.69999999999982</v>
      </c>
      <c r="AU18" s="480">
        <f t="shared" si="23"/>
        <v>853.69999999999982</v>
      </c>
      <c r="AV18" s="480">
        <f t="shared" si="24"/>
        <v>0</v>
      </c>
      <c r="AX18" s="477">
        <f>skemA3!B18</f>
        <v>44722</v>
      </c>
      <c r="AY18" s="66">
        <f>'Tabel 6'!I19</f>
        <v>1</v>
      </c>
      <c r="AZ18" s="481">
        <f t="shared" si="25"/>
        <v>313.50000000000045</v>
      </c>
      <c r="BA18" s="480">
        <f t="shared" si="26"/>
        <v>313.50000000000045</v>
      </c>
      <c r="BB18" s="480">
        <f t="shared" si="27"/>
        <v>0</v>
      </c>
      <c r="BD18" s="477">
        <f>skemA3!B18</f>
        <v>44722</v>
      </c>
      <c r="BE18" s="66">
        <f t="shared" si="28"/>
        <v>1</v>
      </c>
      <c r="BF18" s="481">
        <f t="shared" si="29"/>
        <v>853.69999999999982</v>
      </c>
      <c r="BG18" s="480">
        <f t="shared" si="30"/>
        <v>853.69999999999982</v>
      </c>
      <c r="BH18" s="480">
        <f t="shared" si="31"/>
        <v>0</v>
      </c>
      <c r="BJ18" s="477">
        <f>skemA3!B18</f>
        <v>44722</v>
      </c>
      <c r="BK18" s="66">
        <f>'Tabel 6'!J19</f>
        <v>1</v>
      </c>
      <c r="BL18" s="481">
        <f t="shared" si="32"/>
        <v>313.50000000000045</v>
      </c>
      <c r="BM18" s="480">
        <f t="shared" si="33"/>
        <v>313.50000000000045</v>
      </c>
      <c r="BN18" s="480">
        <f t="shared" si="34"/>
        <v>0</v>
      </c>
      <c r="BP18" s="477">
        <f>skemA3!B18</f>
        <v>44722</v>
      </c>
      <c r="BQ18" s="66">
        <f t="shared" si="35"/>
        <v>1</v>
      </c>
      <c r="BR18" s="481">
        <f t="shared" si="36"/>
        <v>853.69999999999982</v>
      </c>
      <c r="BS18" s="480">
        <f t="shared" si="37"/>
        <v>853.69999999999982</v>
      </c>
      <c r="BT18" s="480">
        <f t="shared" si="38"/>
        <v>0</v>
      </c>
      <c r="BU18" s="486"/>
      <c r="BV18" s="477">
        <f>skemA3!B18</f>
        <v>44722</v>
      </c>
      <c r="BW18" s="66">
        <f>'Tabel 6'!K19</f>
        <v>1</v>
      </c>
      <c r="BX18" s="481">
        <f t="shared" si="39"/>
        <v>313.50000000000045</v>
      </c>
      <c r="BY18" s="480">
        <f t="shared" si="40"/>
        <v>313.50000000000045</v>
      </c>
      <c r="BZ18" s="480">
        <f t="shared" si="41"/>
        <v>0</v>
      </c>
      <c r="CB18" s="477">
        <f>skemA3!B18</f>
        <v>44722</v>
      </c>
      <c r="CC18" s="66">
        <f t="shared" si="42"/>
        <v>1</v>
      </c>
      <c r="CD18" s="481">
        <f t="shared" si="43"/>
        <v>853.69999999999982</v>
      </c>
      <c r="CE18" s="480">
        <f t="shared" si="44"/>
        <v>853.69999999999982</v>
      </c>
      <c r="CF18" s="480">
        <f t="shared" si="45"/>
        <v>0</v>
      </c>
      <c r="CG18" s="487"/>
      <c r="CH18" s="487"/>
      <c r="CI18" s="487"/>
      <c r="CJ18" s="689">
        <v>20</v>
      </c>
      <c r="CK18" s="66" t="s">
        <v>76</v>
      </c>
      <c r="CL18" s="481">
        <f>skemA3!F72</f>
        <v>15947.549999999996</v>
      </c>
      <c r="CM18" s="481">
        <f>skemA3!G72</f>
        <v>21749.55</v>
      </c>
      <c r="CN18" s="61">
        <f>IF((CL18-CL19)&gt;0,(CL18-CL19),0)</f>
        <v>0</v>
      </c>
      <c r="CO18" s="101">
        <f>IF((CM18-CM19)&gt;0,(CM18-CM19),0)</f>
        <v>0</v>
      </c>
    </row>
    <row r="19" spans="2:93">
      <c r="B19" s="477">
        <f>skemA3!B19</f>
        <v>44723</v>
      </c>
      <c r="C19" s="66">
        <f>'Tabel 6'!E20</f>
        <v>1</v>
      </c>
      <c r="D19" s="66">
        <f>skemA3!D57</f>
        <v>209.10000000000014</v>
      </c>
      <c r="E19" s="480">
        <f t="shared" si="0"/>
        <v>209.10000000000014</v>
      </c>
      <c r="F19" s="480">
        <f t="shared" si="1"/>
        <v>0</v>
      </c>
      <c r="H19" s="477">
        <f>skemA3!B19</f>
        <v>44723</v>
      </c>
      <c r="I19" s="66">
        <f>'Tabel 6'!E20</f>
        <v>1</v>
      </c>
      <c r="J19" s="481">
        <f>skemA3!E57</f>
        <v>637.89999999999964</v>
      </c>
      <c r="K19" s="480">
        <f t="shared" si="2"/>
        <v>637.89999999999964</v>
      </c>
      <c r="L19" s="480">
        <f t="shared" si="3"/>
        <v>0</v>
      </c>
      <c r="N19" s="477">
        <f>skemA3!B19</f>
        <v>44723</v>
      </c>
      <c r="O19" s="66">
        <f>'Tabel 6'!F20</f>
        <v>1</v>
      </c>
      <c r="P19" s="481">
        <f t="shared" si="4"/>
        <v>209.10000000000014</v>
      </c>
      <c r="Q19" s="480">
        <f t="shared" si="5"/>
        <v>209.10000000000014</v>
      </c>
      <c r="R19" s="480">
        <f t="shared" si="6"/>
        <v>0</v>
      </c>
      <c r="T19" s="477">
        <f>skemA3!B19</f>
        <v>44723</v>
      </c>
      <c r="U19" s="66">
        <f t="shared" si="7"/>
        <v>1</v>
      </c>
      <c r="V19" s="481">
        <f t="shared" si="8"/>
        <v>637.89999999999964</v>
      </c>
      <c r="W19" s="480">
        <f t="shared" si="9"/>
        <v>637.89999999999964</v>
      </c>
      <c r="X19" s="480">
        <f t="shared" si="10"/>
        <v>0</v>
      </c>
      <c r="Y19" s="483"/>
      <c r="Z19" s="477">
        <f>skemA3!B19</f>
        <v>44723</v>
      </c>
      <c r="AA19" s="66">
        <f>'Tabel 6'!G20</f>
        <v>0</v>
      </c>
      <c r="AB19" s="481">
        <f t="shared" si="11"/>
        <v>209.10000000000014</v>
      </c>
      <c r="AC19" s="480">
        <f t="shared" si="12"/>
        <v>0</v>
      </c>
      <c r="AD19" s="480">
        <f t="shared" si="13"/>
        <v>0</v>
      </c>
      <c r="AE19" s="483"/>
      <c r="AF19" s="477">
        <f>skemA3!B19</f>
        <v>44723</v>
      </c>
      <c r="AG19" s="66">
        <f t="shared" si="14"/>
        <v>0</v>
      </c>
      <c r="AH19" s="481">
        <f t="shared" si="15"/>
        <v>637.89999999999964</v>
      </c>
      <c r="AI19" s="480">
        <f t="shared" si="16"/>
        <v>0</v>
      </c>
      <c r="AJ19" s="480">
        <f t="shared" si="17"/>
        <v>0</v>
      </c>
      <c r="AL19" s="477">
        <f>skemA3!B19</f>
        <v>44723</v>
      </c>
      <c r="AM19" s="66">
        <f>'Tabel 6'!H20</f>
        <v>1</v>
      </c>
      <c r="AN19" s="481">
        <f t="shared" si="18"/>
        <v>209.10000000000014</v>
      </c>
      <c r="AO19" s="480">
        <f t="shared" si="19"/>
        <v>209.10000000000014</v>
      </c>
      <c r="AP19" s="480">
        <f t="shared" si="20"/>
        <v>0</v>
      </c>
      <c r="AR19" s="477">
        <f>skemA3!B19</f>
        <v>44723</v>
      </c>
      <c r="AS19" s="66">
        <f t="shared" si="21"/>
        <v>1</v>
      </c>
      <c r="AT19" s="481">
        <f t="shared" si="22"/>
        <v>637.89999999999964</v>
      </c>
      <c r="AU19" s="480">
        <f t="shared" si="23"/>
        <v>637.89999999999964</v>
      </c>
      <c r="AV19" s="480">
        <f t="shared" si="24"/>
        <v>0</v>
      </c>
      <c r="AX19" s="477">
        <f>skemA3!B19</f>
        <v>44723</v>
      </c>
      <c r="AY19" s="66">
        <f>'Tabel 6'!I20</f>
        <v>0</v>
      </c>
      <c r="AZ19" s="481">
        <f t="shared" si="25"/>
        <v>209.10000000000014</v>
      </c>
      <c r="BA19" s="480">
        <f t="shared" si="26"/>
        <v>0</v>
      </c>
      <c r="BB19" s="480">
        <f t="shared" si="27"/>
        <v>0</v>
      </c>
      <c r="BD19" s="477">
        <f>skemA3!B19</f>
        <v>44723</v>
      </c>
      <c r="BE19" s="66">
        <f t="shared" si="28"/>
        <v>0</v>
      </c>
      <c r="BF19" s="481">
        <f t="shared" si="29"/>
        <v>637.89999999999964</v>
      </c>
      <c r="BG19" s="480">
        <f t="shared" si="30"/>
        <v>0</v>
      </c>
      <c r="BH19" s="480">
        <f t="shared" si="31"/>
        <v>0</v>
      </c>
      <c r="BJ19" s="477">
        <f>skemA3!B19</f>
        <v>44723</v>
      </c>
      <c r="BK19" s="66">
        <f>'Tabel 6'!J20</f>
        <v>1</v>
      </c>
      <c r="BL19" s="481">
        <f t="shared" si="32"/>
        <v>209.10000000000014</v>
      </c>
      <c r="BM19" s="480">
        <f t="shared" si="33"/>
        <v>209.10000000000014</v>
      </c>
      <c r="BN19" s="480">
        <f t="shared" si="34"/>
        <v>0</v>
      </c>
      <c r="BP19" s="477">
        <f>skemA3!B19</f>
        <v>44723</v>
      </c>
      <c r="BQ19" s="66">
        <f t="shared" si="35"/>
        <v>1</v>
      </c>
      <c r="BR19" s="481">
        <f t="shared" si="36"/>
        <v>637.89999999999964</v>
      </c>
      <c r="BS19" s="480">
        <f t="shared" si="37"/>
        <v>637.89999999999964</v>
      </c>
      <c r="BT19" s="480">
        <f t="shared" si="38"/>
        <v>0</v>
      </c>
      <c r="BU19" s="486"/>
      <c r="BV19" s="477">
        <f>skemA3!B19</f>
        <v>44723</v>
      </c>
      <c r="BW19" s="66">
        <f>'Tabel 6'!K20</f>
        <v>0</v>
      </c>
      <c r="BX19" s="481">
        <f t="shared" si="39"/>
        <v>209.10000000000014</v>
      </c>
      <c r="BY19" s="480">
        <f t="shared" si="40"/>
        <v>0</v>
      </c>
      <c r="BZ19" s="480">
        <f t="shared" si="41"/>
        <v>0</v>
      </c>
      <c r="CB19" s="477">
        <f>skemA3!B19</f>
        <v>44723</v>
      </c>
      <c r="CC19" s="66">
        <f t="shared" si="42"/>
        <v>0</v>
      </c>
      <c r="CD19" s="481">
        <f t="shared" si="43"/>
        <v>637.89999999999964</v>
      </c>
      <c r="CE19" s="480">
        <f t="shared" si="44"/>
        <v>0</v>
      </c>
      <c r="CF19" s="480">
        <f t="shared" si="45"/>
        <v>0</v>
      </c>
      <c r="CG19" s="487"/>
      <c r="CH19" s="487"/>
      <c r="CI19" s="487"/>
      <c r="CJ19" s="689"/>
      <c r="CK19" s="62" t="s">
        <v>77</v>
      </c>
      <c r="CL19" s="62">
        <f>ABS(skemA3!F42*'Tabel 6'!E4)</f>
        <v>26100</v>
      </c>
      <c r="CM19" s="62">
        <f>ABS(skemA3!G42*'Tabel 6'!E4)</f>
        <v>29000</v>
      </c>
      <c r="CN19" s="61">
        <f>IF((CL18-CL19)&lt;0,(CL18-CL19),0)</f>
        <v>-10152.450000000004</v>
      </c>
      <c r="CO19" s="101">
        <f>IF((CM18-CM19)&lt;0,(CM18-CM19),0)</f>
        <v>-7250.4500000000007</v>
      </c>
    </row>
    <row r="20" spans="2:93">
      <c r="B20" s="477">
        <f>skemA3!B20</f>
        <v>44724</v>
      </c>
      <c r="C20" s="66">
        <f>'Tabel 6'!E21</f>
        <v>1</v>
      </c>
      <c r="D20" s="66">
        <f>skemA3!D58</f>
        <v>161.30000000000018</v>
      </c>
      <c r="E20" s="480">
        <f t="shared" si="0"/>
        <v>161.30000000000018</v>
      </c>
      <c r="F20" s="480">
        <f t="shared" si="1"/>
        <v>0</v>
      </c>
      <c r="H20" s="477">
        <f>skemA3!B20</f>
        <v>44724</v>
      </c>
      <c r="I20" s="66">
        <f>'Tabel 6'!E21</f>
        <v>1</v>
      </c>
      <c r="J20" s="481">
        <f>skemA3!E58</f>
        <v>383.09999999999968</v>
      </c>
      <c r="K20" s="480">
        <f t="shared" si="2"/>
        <v>383.09999999999968</v>
      </c>
      <c r="L20" s="480">
        <f t="shared" si="3"/>
        <v>0</v>
      </c>
      <c r="N20" s="477">
        <f>skemA3!B20</f>
        <v>44724</v>
      </c>
      <c r="O20" s="66">
        <f>'Tabel 6'!F21</f>
        <v>1</v>
      </c>
      <c r="P20" s="481">
        <f t="shared" si="4"/>
        <v>161.30000000000018</v>
      </c>
      <c r="Q20" s="480">
        <f t="shared" si="5"/>
        <v>161.30000000000018</v>
      </c>
      <c r="R20" s="480">
        <f t="shared" si="6"/>
        <v>0</v>
      </c>
      <c r="T20" s="477">
        <f>skemA3!B20</f>
        <v>44724</v>
      </c>
      <c r="U20" s="66">
        <f t="shared" si="7"/>
        <v>1</v>
      </c>
      <c r="V20" s="481">
        <f t="shared" si="8"/>
        <v>383.09999999999968</v>
      </c>
      <c r="W20" s="480">
        <f t="shared" si="9"/>
        <v>383.09999999999968</v>
      </c>
      <c r="X20" s="480">
        <f t="shared" si="10"/>
        <v>0</v>
      </c>
      <c r="Y20" s="483"/>
      <c r="Z20" s="477">
        <f>skemA3!B20</f>
        <v>44724</v>
      </c>
      <c r="AA20" s="66">
        <f>'Tabel 6'!G21</f>
        <v>-1</v>
      </c>
      <c r="AB20" s="481">
        <f t="shared" si="11"/>
        <v>161.30000000000018</v>
      </c>
      <c r="AC20" s="480">
        <f t="shared" si="12"/>
        <v>0</v>
      </c>
      <c r="AD20" s="480">
        <f t="shared" si="13"/>
        <v>161.30000000000018</v>
      </c>
      <c r="AE20" s="483"/>
      <c r="AF20" s="477">
        <f>skemA3!B20</f>
        <v>44724</v>
      </c>
      <c r="AG20" s="66">
        <f t="shared" si="14"/>
        <v>-1</v>
      </c>
      <c r="AH20" s="481">
        <f t="shared" si="15"/>
        <v>383.09999999999968</v>
      </c>
      <c r="AI20" s="480">
        <f t="shared" si="16"/>
        <v>0</v>
      </c>
      <c r="AJ20" s="480">
        <f t="shared" si="17"/>
        <v>383.09999999999968</v>
      </c>
      <c r="AL20" s="477">
        <f>skemA3!B20</f>
        <v>44724</v>
      </c>
      <c r="AM20" s="66">
        <f>'Tabel 6'!H21</f>
        <v>1</v>
      </c>
      <c r="AN20" s="481">
        <f t="shared" si="18"/>
        <v>161.30000000000018</v>
      </c>
      <c r="AO20" s="480">
        <f t="shared" si="19"/>
        <v>161.30000000000018</v>
      </c>
      <c r="AP20" s="480">
        <f t="shared" si="20"/>
        <v>0</v>
      </c>
      <c r="AR20" s="477">
        <f>skemA3!B20</f>
        <v>44724</v>
      </c>
      <c r="AS20" s="66">
        <f t="shared" si="21"/>
        <v>1</v>
      </c>
      <c r="AT20" s="481">
        <f t="shared" si="22"/>
        <v>383.09999999999968</v>
      </c>
      <c r="AU20" s="480">
        <f t="shared" si="23"/>
        <v>383.09999999999968</v>
      </c>
      <c r="AV20" s="480">
        <f t="shared" si="24"/>
        <v>0</v>
      </c>
      <c r="AX20" s="477">
        <f>skemA3!B20</f>
        <v>44724</v>
      </c>
      <c r="AY20" s="66">
        <f>'Tabel 6'!I21</f>
        <v>-1</v>
      </c>
      <c r="AZ20" s="481">
        <f t="shared" si="25"/>
        <v>161.30000000000018</v>
      </c>
      <c r="BA20" s="480">
        <f t="shared" si="26"/>
        <v>0</v>
      </c>
      <c r="BB20" s="480">
        <f t="shared" si="27"/>
        <v>161.30000000000018</v>
      </c>
      <c r="BD20" s="477">
        <f>skemA3!B20</f>
        <v>44724</v>
      </c>
      <c r="BE20" s="66">
        <f t="shared" si="28"/>
        <v>-1</v>
      </c>
      <c r="BF20" s="481">
        <f t="shared" si="29"/>
        <v>383.09999999999968</v>
      </c>
      <c r="BG20" s="480">
        <f t="shared" si="30"/>
        <v>0</v>
      </c>
      <c r="BH20" s="480">
        <f t="shared" si="31"/>
        <v>383.09999999999968</v>
      </c>
      <c r="BJ20" s="477">
        <f>skemA3!B20</f>
        <v>44724</v>
      </c>
      <c r="BK20" s="66">
        <f>'Tabel 6'!J21</f>
        <v>1</v>
      </c>
      <c r="BL20" s="481">
        <f t="shared" si="32"/>
        <v>161.30000000000018</v>
      </c>
      <c r="BM20" s="480">
        <f t="shared" si="33"/>
        <v>161.30000000000018</v>
      </c>
      <c r="BN20" s="480">
        <f t="shared" si="34"/>
        <v>0</v>
      </c>
      <c r="BP20" s="477">
        <f>skemA3!B20</f>
        <v>44724</v>
      </c>
      <c r="BQ20" s="66">
        <f t="shared" si="35"/>
        <v>1</v>
      </c>
      <c r="BR20" s="481">
        <f t="shared" si="36"/>
        <v>383.09999999999968</v>
      </c>
      <c r="BS20" s="480">
        <f t="shared" si="37"/>
        <v>383.09999999999968</v>
      </c>
      <c r="BT20" s="480">
        <f t="shared" si="38"/>
        <v>0</v>
      </c>
      <c r="BU20" s="486"/>
      <c r="BV20" s="477">
        <f>skemA3!B20</f>
        <v>44724</v>
      </c>
      <c r="BW20" s="66">
        <f>'Tabel 6'!K21</f>
        <v>-1</v>
      </c>
      <c r="BX20" s="481">
        <f t="shared" si="39"/>
        <v>161.30000000000018</v>
      </c>
      <c r="BY20" s="480">
        <f t="shared" si="40"/>
        <v>0</v>
      </c>
      <c r="BZ20" s="480">
        <f t="shared" si="41"/>
        <v>161.30000000000018</v>
      </c>
      <c r="CB20" s="477">
        <f>skemA3!B20</f>
        <v>44724</v>
      </c>
      <c r="CC20" s="66">
        <f t="shared" si="42"/>
        <v>-1</v>
      </c>
      <c r="CD20" s="481">
        <f t="shared" si="43"/>
        <v>383.09999999999968</v>
      </c>
      <c r="CE20" s="480">
        <f t="shared" si="44"/>
        <v>0</v>
      </c>
      <c r="CF20" s="480">
        <f t="shared" si="45"/>
        <v>383.09999999999968</v>
      </c>
      <c r="CG20" s="487"/>
      <c r="CH20" s="487"/>
      <c r="CI20" s="487"/>
      <c r="CJ20" s="688">
        <v>22</v>
      </c>
      <c r="CK20" s="61" t="s">
        <v>76</v>
      </c>
      <c r="CL20" s="61">
        <f t="array" ref="CL20:CL21">TRANSPOSE(Q67:R67)</f>
        <v>3810.5</v>
      </c>
      <c r="CM20" s="61">
        <f t="array" ref="CM20:CM21">TRANSPOSE(W67:X67)</f>
        <v>8542.2999999999993</v>
      </c>
      <c r="CN20" s="66">
        <f>IF((CL20-CL21+CL22)&gt;0,(CL20-CL21+CL22),0)</f>
        <v>1358.4500000000007</v>
      </c>
      <c r="CO20" s="102">
        <f>IF((CM20-CM21+CM22)&gt;0,(CM20-CM21+CM22),0)</f>
        <v>7234.8499999999995</v>
      </c>
    </row>
    <row r="21" spans="2:93">
      <c r="B21" s="477">
        <f>skemA3!B21</f>
        <v>44725</v>
      </c>
      <c r="C21" s="66">
        <f>'Tabel 6'!E22</f>
        <v>1</v>
      </c>
      <c r="D21" s="66">
        <f>skemA3!D59</f>
        <v>247.29999999999995</v>
      </c>
      <c r="E21" s="480">
        <f t="shared" si="0"/>
        <v>247.29999999999995</v>
      </c>
      <c r="F21" s="480">
        <f t="shared" si="1"/>
        <v>0</v>
      </c>
      <c r="H21" s="477">
        <f>skemA3!B21</f>
        <v>44725</v>
      </c>
      <c r="I21" s="66">
        <f>'Tabel 6'!E22</f>
        <v>1</v>
      </c>
      <c r="J21" s="481">
        <f>skemA3!E59</f>
        <v>161.10000000000014</v>
      </c>
      <c r="K21" s="480">
        <f t="shared" si="2"/>
        <v>161.10000000000014</v>
      </c>
      <c r="L21" s="480">
        <f t="shared" si="3"/>
        <v>0</v>
      </c>
      <c r="N21" s="477">
        <f>skemA3!B21</f>
        <v>44725</v>
      </c>
      <c r="O21" s="66">
        <f>'Tabel 6'!F22</f>
        <v>1</v>
      </c>
      <c r="P21" s="481">
        <f t="shared" si="4"/>
        <v>247.29999999999995</v>
      </c>
      <c r="Q21" s="480">
        <f t="shared" si="5"/>
        <v>247.29999999999995</v>
      </c>
      <c r="R21" s="480">
        <f t="shared" si="6"/>
        <v>0</v>
      </c>
      <c r="T21" s="477">
        <f>skemA3!B21</f>
        <v>44725</v>
      </c>
      <c r="U21" s="66">
        <f t="shared" si="7"/>
        <v>1</v>
      </c>
      <c r="V21" s="481">
        <f t="shared" si="8"/>
        <v>161.10000000000014</v>
      </c>
      <c r="W21" s="480">
        <f t="shared" si="9"/>
        <v>161.10000000000014</v>
      </c>
      <c r="X21" s="480">
        <f t="shared" si="10"/>
        <v>0</v>
      </c>
      <c r="Y21" s="483"/>
      <c r="Z21" s="477">
        <f>skemA3!B21</f>
        <v>44725</v>
      </c>
      <c r="AA21" s="66">
        <f>'Tabel 6'!G22</f>
        <v>-1</v>
      </c>
      <c r="AB21" s="481">
        <f t="shared" si="11"/>
        <v>247.29999999999995</v>
      </c>
      <c r="AC21" s="480">
        <f t="shared" si="12"/>
        <v>0</v>
      </c>
      <c r="AD21" s="480">
        <f t="shared" si="13"/>
        <v>247.29999999999995</v>
      </c>
      <c r="AE21" s="483"/>
      <c r="AF21" s="477">
        <f>skemA3!B21</f>
        <v>44725</v>
      </c>
      <c r="AG21" s="66">
        <f t="shared" si="14"/>
        <v>-1</v>
      </c>
      <c r="AH21" s="481">
        <f t="shared" si="15"/>
        <v>161.10000000000014</v>
      </c>
      <c r="AI21" s="480">
        <f t="shared" si="16"/>
        <v>0</v>
      </c>
      <c r="AJ21" s="480">
        <f t="shared" si="17"/>
        <v>161.10000000000014</v>
      </c>
      <c r="AL21" s="477">
        <f>skemA3!B21</f>
        <v>44725</v>
      </c>
      <c r="AM21" s="66">
        <f>'Tabel 6'!H22</f>
        <v>1</v>
      </c>
      <c r="AN21" s="481">
        <f t="shared" si="18"/>
        <v>247.29999999999995</v>
      </c>
      <c r="AO21" s="480">
        <f t="shared" si="19"/>
        <v>247.29999999999995</v>
      </c>
      <c r="AP21" s="480">
        <f t="shared" si="20"/>
        <v>0</v>
      </c>
      <c r="AR21" s="477">
        <f>skemA3!B21</f>
        <v>44725</v>
      </c>
      <c r="AS21" s="66">
        <f t="shared" si="21"/>
        <v>1</v>
      </c>
      <c r="AT21" s="481">
        <f t="shared" si="22"/>
        <v>161.10000000000014</v>
      </c>
      <c r="AU21" s="480">
        <f t="shared" si="23"/>
        <v>161.10000000000014</v>
      </c>
      <c r="AV21" s="480">
        <f t="shared" si="24"/>
        <v>0</v>
      </c>
      <c r="AX21" s="477">
        <f>skemA3!B21</f>
        <v>44725</v>
      </c>
      <c r="AY21" s="66">
        <f>'Tabel 6'!I22</f>
        <v>-1</v>
      </c>
      <c r="AZ21" s="481">
        <f t="shared" si="25"/>
        <v>247.29999999999995</v>
      </c>
      <c r="BA21" s="480">
        <f t="shared" si="26"/>
        <v>0</v>
      </c>
      <c r="BB21" s="480">
        <f t="shared" si="27"/>
        <v>247.29999999999995</v>
      </c>
      <c r="BD21" s="477">
        <f>skemA3!B21</f>
        <v>44725</v>
      </c>
      <c r="BE21" s="66">
        <f t="shared" si="28"/>
        <v>-1</v>
      </c>
      <c r="BF21" s="481">
        <f t="shared" si="29"/>
        <v>161.10000000000014</v>
      </c>
      <c r="BG21" s="480">
        <f t="shared" si="30"/>
        <v>0</v>
      </c>
      <c r="BH21" s="480">
        <f t="shared" si="31"/>
        <v>161.10000000000014</v>
      </c>
      <c r="BJ21" s="477">
        <f>skemA3!B21</f>
        <v>44725</v>
      </c>
      <c r="BK21" s="66">
        <f>'Tabel 6'!J22</f>
        <v>-1</v>
      </c>
      <c r="BL21" s="481">
        <f t="shared" si="32"/>
        <v>247.29999999999995</v>
      </c>
      <c r="BM21" s="480">
        <f t="shared" si="33"/>
        <v>0</v>
      </c>
      <c r="BN21" s="480">
        <f t="shared" si="34"/>
        <v>247.29999999999995</v>
      </c>
      <c r="BP21" s="477">
        <f>skemA3!B21</f>
        <v>44725</v>
      </c>
      <c r="BQ21" s="66">
        <f t="shared" si="35"/>
        <v>-1</v>
      </c>
      <c r="BR21" s="481">
        <f t="shared" si="36"/>
        <v>161.10000000000014</v>
      </c>
      <c r="BS21" s="480">
        <f t="shared" si="37"/>
        <v>0</v>
      </c>
      <c r="BT21" s="480">
        <f t="shared" si="38"/>
        <v>161.10000000000014</v>
      </c>
      <c r="BU21" s="486"/>
      <c r="BV21" s="477">
        <f>skemA3!B21</f>
        <v>44725</v>
      </c>
      <c r="BW21" s="66">
        <f>'Tabel 6'!K22</f>
        <v>-1</v>
      </c>
      <c r="BX21" s="481">
        <f t="shared" si="39"/>
        <v>247.29999999999995</v>
      </c>
      <c r="BY21" s="480">
        <f t="shared" si="40"/>
        <v>0</v>
      </c>
      <c r="BZ21" s="480">
        <f t="shared" si="41"/>
        <v>247.29999999999995</v>
      </c>
      <c r="CB21" s="477">
        <f>skemA3!B21</f>
        <v>44725</v>
      </c>
      <c r="CC21" s="66">
        <f t="shared" si="42"/>
        <v>-1</v>
      </c>
      <c r="CD21" s="481">
        <f t="shared" si="43"/>
        <v>161.10000000000014</v>
      </c>
      <c r="CE21" s="480">
        <f t="shared" si="44"/>
        <v>0</v>
      </c>
      <c r="CF21" s="480">
        <f t="shared" si="45"/>
        <v>161.10000000000014</v>
      </c>
      <c r="CG21" s="487"/>
      <c r="CH21" s="487"/>
      <c r="CI21" s="487"/>
      <c r="CJ21" s="688"/>
      <c r="CK21" s="61" t="s">
        <v>77</v>
      </c>
      <c r="CL21" s="61">
        <v>3352.0499999999993</v>
      </c>
      <c r="CM21" s="61">
        <v>2307.4499999999998</v>
      </c>
      <c r="CN21" s="61">
        <f>IF((CL20-CL21+CL22)&lt;0,(CL20-CL21+CL22),0)</f>
        <v>0</v>
      </c>
      <c r="CO21" s="101">
        <f>IF((CM20-CM21+CM22)&lt;0,(CM20-CM21+CM22),0)</f>
        <v>0</v>
      </c>
    </row>
    <row r="22" spans="2:93">
      <c r="B22" s="477">
        <f>skemA3!B22</f>
        <v>44726</v>
      </c>
      <c r="C22" s="66">
        <f>'Tabel 6'!E23</f>
        <v>1</v>
      </c>
      <c r="D22" s="66">
        <f>skemA3!D60</f>
        <v>393.19999999999982</v>
      </c>
      <c r="E22" s="480">
        <f t="shared" si="0"/>
        <v>393.19999999999982</v>
      </c>
      <c r="F22" s="480">
        <f t="shared" si="1"/>
        <v>0</v>
      </c>
      <c r="H22" s="477">
        <f>skemA3!B22</f>
        <v>44726</v>
      </c>
      <c r="I22" s="66">
        <f>'Tabel 6'!E23</f>
        <v>1</v>
      </c>
      <c r="J22" s="481">
        <f>skemA3!E60</f>
        <v>19.200000000000273</v>
      </c>
      <c r="K22" s="480">
        <f t="shared" si="2"/>
        <v>19.200000000000273</v>
      </c>
      <c r="L22" s="480">
        <f t="shared" si="3"/>
        <v>0</v>
      </c>
      <c r="N22" s="477">
        <f>skemA3!B22</f>
        <v>44726</v>
      </c>
      <c r="O22" s="66">
        <f>'Tabel 6'!F23</f>
        <v>1</v>
      </c>
      <c r="P22" s="481">
        <f t="shared" si="4"/>
        <v>393.19999999999982</v>
      </c>
      <c r="Q22" s="480">
        <f t="shared" si="5"/>
        <v>393.19999999999982</v>
      </c>
      <c r="R22" s="480">
        <f t="shared" si="6"/>
        <v>0</v>
      </c>
      <c r="T22" s="477">
        <f>skemA3!B22</f>
        <v>44726</v>
      </c>
      <c r="U22" s="66">
        <f t="shared" si="7"/>
        <v>1</v>
      </c>
      <c r="V22" s="481">
        <f t="shared" si="8"/>
        <v>19.200000000000273</v>
      </c>
      <c r="W22" s="480">
        <f t="shared" si="9"/>
        <v>19.200000000000273</v>
      </c>
      <c r="X22" s="480">
        <f t="shared" si="10"/>
        <v>0</v>
      </c>
      <c r="Y22" s="483"/>
      <c r="Z22" s="477">
        <f>skemA3!B22</f>
        <v>44726</v>
      </c>
      <c r="AA22" s="66">
        <f>'Tabel 6'!G23</f>
        <v>-1</v>
      </c>
      <c r="AB22" s="481">
        <f t="shared" si="11"/>
        <v>393.19999999999982</v>
      </c>
      <c r="AC22" s="480">
        <f t="shared" si="12"/>
        <v>0</v>
      </c>
      <c r="AD22" s="480">
        <f t="shared" si="13"/>
        <v>393.19999999999982</v>
      </c>
      <c r="AE22" s="483"/>
      <c r="AF22" s="477">
        <f>skemA3!B22</f>
        <v>44726</v>
      </c>
      <c r="AG22" s="66">
        <f t="shared" si="14"/>
        <v>-1</v>
      </c>
      <c r="AH22" s="481">
        <f t="shared" si="15"/>
        <v>19.200000000000273</v>
      </c>
      <c r="AI22" s="480">
        <f t="shared" si="16"/>
        <v>0</v>
      </c>
      <c r="AJ22" s="480">
        <f t="shared" si="17"/>
        <v>19.200000000000273</v>
      </c>
      <c r="AL22" s="477">
        <f>skemA3!B22</f>
        <v>44726</v>
      </c>
      <c r="AM22" s="66">
        <f>'Tabel 6'!H23</f>
        <v>-1</v>
      </c>
      <c r="AN22" s="481">
        <f t="shared" si="18"/>
        <v>393.19999999999982</v>
      </c>
      <c r="AO22" s="480">
        <f t="shared" si="19"/>
        <v>0</v>
      </c>
      <c r="AP22" s="480">
        <f t="shared" si="20"/>
        <v>393.19999999999982</v>
      </c>
      <c r="AR22" s="477">
        <f>skemA3!B22</f>
        <v>44726</v>
      </c>
      <c r="AS22" s="66">
        <f t="shared" si="21"/>
        <v>-1</v>
      </c>
      <c r="AT22" s="481">
        <f t="shared" si="22"/>
        <v>19.200000000000273</v>
      </c>
      <c r="AU22" s="480">
        <f t="shared" si="23"/>
        <v>0</v>
      </c>
      <c r="AV22" s="480">
        <f t="shared" si="24"/>
        <v>19.200000000000273</v>
      </c>
      <c r="AX22" s="477">
        <f>skemA3!B22</f>
        <v>44726</v>
      </c>
      <c r="AY22" s="66">
        <f>'Tabel 6'!I23</f>
        <v>-1</v>
      </c>
      <c r="AZ22" s="481">
        <f t="shared" si="25"/>
        <v>393.19999999999982</v>
      </c>
      <c r="BA22" s="480">
        <f t="shared" si="26"/>
        <v>0</v>
      </c>
      <c r="BB22" s="480">
        <f t="shared" si="27"/>
        <v>393.19999999999982</v>
      </c>
      <c r="BD22" s="477">
        <f>skemA3!B22</f>
        <v>44726</v>
      </c>
      <c r="BE22" s="66">
        <f t="shared" si="28"/>
        <v>-1</v>
      </c>
      <c r="BF22" s="481">
        <f t="shared" si="29"/>
        <v>19.200000000000273</v>
      </c>
      <c r="BG22" s="480">
        <f t="shared" si="30"/>
        <v>0</v>
      </c>
      <c r="BH22" s="480">
        <f t="shared" si="31"/>
        <v>19.200000000000273</v>
      </c>
      <c r="BJ22" s="477">
        <f>skemA3!B22</f>
        <v>44726</v>
      </c>
      <c r="BK22" s="66">
        <f>'Tabel 6'!J23</f>
        <v>-1</v>
      </c>
      <c r="BL22" s="481">
        <f t="shared" si="32"/>
        <v>393.19999999999982</v>
      </c>
      <c r="BM22" s="480">
        <f t="shared" si="33"/>
        <v>0</v>
      </c>
      <c r="BN22" s="480">
        <f t="shared" si="34"/>
        <v>393.19999999999982</v>
      </c>
      <c r="BP22" s="477">
        <f>skemA3!B22</f>
        <v>44726</v>
      </c>
      <c r="BQ22" s="66">
        <f t="shared" si="35"/>
        <v>-1</v>
      </c>
      <c r="BR22" s="481">
        <f t="shared" si="36"/>
        <v>19.200000000000273</v>
      </c>
      <c r="BS22" s="480">
        <f t="shared" si="37"/>
        <v>0</v>
      </c>
      <c r="BT22" s="480">
        <f t="shared" si="38"/>
        <v>19.200000000000273</v>
      </c>
      <c r="BU22" s="486"/>
      <c r="BV22" s="477">
        <f>skemA3!B22</f>
        <v>44726</v>
      </c>
      <c r="BW22" s="66">
        <f>'Tabel 6'!K23</f>
        <v>-1</v>
      </c>
      <c r="BX22" s="481">
        <f t="shared" si="39"/>
        <v>393.19999999999982</v>
      </c>
      <c r="BY22" s="480">
        <f t="shared" si="40"/>
        <v>0</v>
      </c>
      <c r="BZ22" s="480">
        <f t="shared" si="41"/>
        <v>393.19999999999982</v>
      </c>
      <c r="CB22" s="477">
        <f>skemA3!B22</f>
        <v>44726</v>
      </c>
      <c r="CC22" s="66">
        <f t="shared" si="42"/>
        <v>-1</v>
      </c>
      <c r="CD22" s="481">
        <f t="shared" si="43"/>
        <v>19.200000000000273</v>
      </c>
      <c r="CE22" s="480">
        <f t="shared" si="44"/>
        <v>0</v>
      </c>
      <c r="CF22" s="480">
        <f t="shared" si="45"/>
        <v>19.200000000000273</v>
      </c>
      <c r="CG22" s="487"/>
      <c r="CH22" s="487"/>
      <c r="CI22" s="487"/>
      <c r="CJ22" s="688"/>
      <c r="CK22" s="61" t="s">
        <v>76</v>
      </c>
      <c r="CL22" s="61">
        <f>ABS(skemA3!F42*'Tabel 6'!F4)</f>
        <v>900</v>
      </c>
      <c r="CM22" s="61">
        <f>ABS(skemA3!G42*'Tabel 6'!F4)</f>
        <v>1000</v>
      </c>
      <c r="CN22" s="62"/>
      <c r="CO22" s="103"/>
    </row>
    <row r="23" spans="2:93">
      <c r="B23" s="477">
        <f>skemA3!B23</f>
        <v>44727</v>
      </c>
      <c r="C23" s="66">
        <f>'Tabel 6'!E24</f>
        <v>1</v>
      </c>
      <c r="D23" s="66">
        <f>skemA3!D61</f>
        <v>582.5</v>
      </c>
      <c r="E23" s="480">
        <f t="shared" si="0"/>
        <v>582.5</v>
      </c>
      <c r="F23" s="480">
        <f t="shared" si="1"/>
        <v>0</v>
      </c>
      <c r="H23" s="477">
        <f>skemA3!B23</f>
        <v>44727</v>
      </c>
      <c r="I23" s="66">
        <f>'Tabel 6'!E24</f>
        <v>1</v>
      </c>
      <c r="J23" s="481">
        <f>skemA3!E61</f>
        <v>-1.7000000000002728</v>
      </c>
      <c r="K23" s="480">
        <f t="shared" si="2"/>
        <v>-1.7000000000002728</v>
      </c>
      <c r="L23" s="480">
        <f t="shared" si="3"/>
        <v>0</v>
      </c>
      <c r="N23" s="477">
        <f>skemA3!B23</f>
        <v>44727</v>
      </c>
      <c r="O23" s="66">
        <f>'Tabel 6'!F24</f>
        <v>-1</v>
      </c>
      <c r="P23" s="481">
        <f t="shared" si="4"/>
        <v>582.5</v>
      </c>
      <c r="Q23" s="480">
        <f t="shared" si="5"/>
        <v>0</v>
      </c>
      <c r="R23" s="480">
        <f t="shared" si="6"/>
        <v>582.5</v>
      </c>
      <c r="T23" s="477">
        <f>skemA3!B23</f>
        <v>44727</v>
      </c>
      <c r="U23" s="66">
        <f t="shared" si="7"/>
        <v>-1</v>
      </c>
      <c r="V23" s="481">
        <f t="shared" si="8"/>
        <v>-1.7000000000002728</v>
      </c>
      <c r="W23" s="480">
        <f t="shared" si="9"/>
        <v>0</v>
      </c>
      <c r="X23" s="480">
        <f t="shared" si="10"/>
        <v>1.7000000000002728</v>
      </c>
      <c r="Y23" s="483"/>
      <c r="Z23" s="477">
        <f>skemA3!B23</f>
        <v>44727</v>
      </c>
      <c r="AA23" s="66">
        <f>'Tabel 6'!G24</f>
        <v>-1</v>
      </c>
      <c r="AB23" s="481">
        <f t="shared" si="11"/>
        <v>582.5</v>
      </c>
      <c r="AC23" s="480">
        <f t="shared" si="12"/>
        <v>0</v>
      </c>
      <c r="AD23" s="480">
        <f t="shared" si="13"/>
        <v>582.5</v>
      </c>
      <c r="AE23" s="483"/>
      <c r="AF23" s="477">
        <f>skemA3!B23</f>
        <v>44727</v>
      </c>
      <c r="AG23" s="66">
        <f t="shared" si="14"/>
        <v>-1</v>
      </c>
      <c r="AH23" s="481">
        <f t="shared" si="15"/>
        <v>-1.7000000000002728</v>
      </c>
      <c r="AI23" s="480">
        <f t="shared" si="16"/>
        <v>0</v>
      </c>
      <c r="AJ23" s="480">
        <f t="shared" si="17"/>
        <v>1.7000000000002728</v>
      </c>
      <c r="AL23" s="477">
        <f>skemA3!B23</f>
        <v>44727</v>
      </c>
      <c r="AM23" s="66">
        <f>'Tabel 6'!H24</f>
        <v>-1</v>
      </c>
      <c r="AN23" s="481">
        <f t="shared" si="18"/>
        <v>582.5</v>
      </c>
      <c r="AO23" s="480">
        <f t="shared" si="19"/>
        <v>0</v>
      </c>
      <c r="AP23" s="480">
        <f t="shared" si="20"/>
        <v>582.5</v>
      </c>
      <c r="AR23" s="477">
        <f>skemA3!B23</f>
        <v>44727</v>
      </c>
      <c r="AS23" s="66">
        <f t="shared" si="21"/>
        <v>-1</v>
      </c>
      <c r="AT23" s="481">
        <f t="shared" si="22"/>
        <v>-1.7000000000002728</v>
      </c>
      <c r="AU23" s="480">
        <f t="shared" si="23"/>
        <v>0</v>
      </c>
      <c r="AV23" s="480">
        <f t="shared" si="24"/>
        <v>1.7000000000002728</v>
      </c>
      <c r="AX23" s="477">
        <f>skemA3!B23</f>
        <v>44727</v>
      </c>
      <c r="AY23" s="66">
        <f>'Tabel 6'!I24</f>
        <v>-1</v>
      </c>
      <c r="AZ23" s="481">
        <f t="shared" si="25"/>
        <v>582.5</v>
      </c>
      <c r="BA23" s="480">
        <f t="shared" si="26"/>
        <v>0</v>
      </c>
      <c r="BB23" s="480">
        <f t="shared" si="27"/>
        <v>582.5</v>
      </c>
      <c r="BD23" s="477">
        <f>skemA3!B23</f>
        <v>44727</v>
      </c>
      <c r="BE23" s="66">
        <f t="shared" si="28"/>
        <v>-1</v>
      </c>
      <c r="BF23" s="481">
        <f t="shared" si="29"/>
        <v>-1.7000000000002728</v>
      </c>
      <c r="BG23" s="480">
        <f t="shared" si="30"/>
        <v>0</v>
      </c>
      <c r="BH23" s="480">
        <f t="shared" si="31"/>
        <v>1.7000000000002728</v>
      </c>
      <c r="BJ23" s="477">
        <f>skemA3!B23</f>
        <v>44727</v>
      </c>
      <c r="BK23" s="66">
        <f>'Tabel 6'!J24</f>
        <v>-1</v>
      </c>
      <c r="BL23" s="481">
        <f t="shared" si="32"/>
        <v>582.5</v>
      </c>
      <c r="BM23" s="480">
        <f t="shared" si="33"/>
        <v>0</v>
      </c>
      <c r="BN23" s="480">
        <f t="shared" si="34"/>
        <v>582.5</v>
      </c>
      <c r="BP23" s="477">
        <f>skemA3!B23</f>
        <v>44727</v>
      </c>
      <c r="BQ23" s="66">
        <f t="shared" si="35"/>
        <v>-1</v>
      </c>
      <c r="BR23" s="481">
        <f t="shared" si="36"/>
        <v>-1.7000000000002728</v>
      </c>
      <c r="BS23" s="480">
        <f t="shared" si="37"/>
        <v>0</v>
      </c>
      <c r="BT23" s="480">
        <f t="shared" si="38"/>
        <v>1.7000000000002728</v>
      </c>
      <c r="BU23" s="486"/>
      <c r="BV23" s="477">
        <f>skemA3!B23</f>
        <v>44727</v>
      </c>
      <c r="BW23" s="66">
        <f>'Tabel 6'!K24</f>
        <v>1</v>
      </c>
      <c r="BX23" s="481">
        <f t="shared" si="39"/>
        <v>582.5</v>
      </c>
      <c r="BY23" s="480">
        <f t="shared" si="40"/>
        <v>582.5</v>
      </c>
      <c r="BZ23" s="480">
        <f t="shared" si="41"/>
        <v>0</v>
      </c>
      <c r="CB23" s="477">
        <f>skemA3!B23</f>
        <v>44727</v>
      </c>
      <c r="CC23" s="66">
        <f t="shared" si="42"/>
        <v>1</v>
      </c>
      <c r="CD23" s="481">
        <f t="shared" si="43"/>
        <v>-1.7000000000002728</v>
      </c>
      <c r="CE23" s="480">
        <f t="shared" si="44"/>
        <v>-1.7000000000002728</v>
      </c>
      <c r="CF23" s="480">
        <f t="shared" si="45"/>
        <v>0</v>
      </c>
      <c r="CG23" s="487"/>
      <c r="CH23" s="487"/>
      <c r="CI23" s="487"/>
      <c r="CJ23" s="689" t="s">
        <v>140</v>
      </c>
      <c r="CK23" s="66" t="s">
        <v>76</v>
      </c>
      <c r="CL23" s="66">
        <f t="array" ref="CL23:CL24">TRANSPOSE(AC67:AD67)</f>
        <v>5392.6</v>
      </c>
      <c r="CM23" s="66">
        <f t="array" ref="CM23:CM24">TRANSPOSE(AI67:AJ67)</f>
        <v>3667.3999999999987</v>
      </c>
      <c r="CN23" s="61">
        <f>IF((CL23-CL24)&gt;0,(CL23-CL24),0)</f>
        <v>4702.4000000000005</v>
      </c>
      <c r="CO23" s="101">
        <f>IF((CM23-CM24)&gt;0,(CM23-CM24),0)</f>
        <v>0</v>
      </c>
    </row>
    <row r="24" spans="2:93">
      <c r="B24" s="477">
        <f>skemA3!B24</f>
        <v>44728</v>
      </c>
      <c r="C24" s="66">
        <f>'Tabel 6'!E25</f>
        <v>1</v>
      </c>
      <c r="D24" s="66">
        <f>skemA3!D62</f>
        <v>823.59999999999991</v>
      </c>
      <c r="E24" s="480">
        <f t="shared" si="0"/>
        <v>823.59999999999991</v>
      </c>
      <c r="F24" s="480">
        <f t="shared" si="1"/>
        <v>0</v>
      </c>
      <c r="H24" s="477">
        <f>skemA3!B24</f>
        <v>44728</v>
      </c>
      <c r="I24" s="66">
        <f>'Tabel 6'!E25</f>
        <v>1</v>
      </c>
      <c r="J24" s="481">
        <f>skemA3!E62</f>
        <v>135</v>
      </c>
      <c r="K24" s="480">
        <f t="shared" si="2"/>
        <v>135</v>
      </c>
      <c r="L24" s="480">
        <f t="shared" si="3"/>
        <v>0</v>
      </c>
      <c r="N24" s="477">
        <f>skemA3!B24</f>
        <v>44728</v>
      </c>
      <c r="O24" s="66">
        <f>'Tabel 6'!F25</f>
        <v>-1</v>
      </c>
      <c r="P24" s="481">
        <f t="shared" si="4"/>
        <v>823.59999999999991</v>
      </c>
      <c r="Q24" s="480">
        <f t="shared" si="5"/>
        <v>0</v>
      </c>
      <c r="R24" s="480">
        <f t="shared" si="6"/>
        <v>823.59999999999991</v>
      </c>
      <c r="T24" s="477">
        <f>skemA3!B24</f>
        <v>44728</v>
      </c>
      <c r="U24" s="66">
        <f t="shared" si="7"/>
        <v>-1</v>
      </c>
      <c r="V24" s="481">
        <f t="shared" si="8"/>
        <v>135</v>
      </c>
      <c r="W24" s="480">
        <f t="shared" si="9"/>
        <v>0</v>
      </c>
      <c r="X24" s="480">
        <f t="shared" si="10"/>
        <v>135</v>
      </c>
      <c r="Y24" s="483"/>
      <c r="Z24" s="477">
        <f>skemA3!B24</f>
        <v>44728</v>
      </c>
      <c r="AA24" s="66">
        <f>'Tabel 6'!G25</f>
        <v>-1</v>
      </c>
      <c r="AB24" s="481">
        <f t="shared" si="11"/>
        <v>823.59999999999991</v>
      </c>
      <c r="AC24" s="480">
        <f t="shared" si="12"/>
        <v>0</v>
      </c>
      <c r="AD24" s="480">
        <f t="shared" si="13"/>
        <v>823.59999999999991</v>
      </c>
      <c r="AE24" s="483"/>
      <c r="AF24" s="477">
        <f>skemA3!B24</f>
        <v>44728</v>
      </c>
      <c r="AG24" s="66">
        <f t="shared" si="14"/>
        <v>-1</v>
      </c>
      <c r="AH24" s="481">
        <f t="shared" si="15"/>
        <v>135</v>
      </c>
      <c r="AI24" s="480">
        <f t="shared" si="16"/>
        <v>0</v>
      </c>
      <c r="AJ24" s="480">
        <f t="shared" si="17"/>
        <v>135</v>
      </c>
      <c r="AL24" s="477">
        <f>skemA3!B24</f>
        <v>44728</v>
      </c>
      <c r="AM24" s="66">
        <f>'Tabel 6'!H25</f>
        <v>-1</v>
      </c>
      <c r="AN24" s="481">
        <f t="shared" si="18"/>
        <v>823.59999999999991</v>
      </c>
      <c r="AO24" s="480">
        <f t="shared" si="19"/>
        <v>0</v>
      </c>
      <c r="AP24" s="480">
        <f t="shared" si="20"/>
        <v>823.59999999999991</v>
      </c>
      <c r="AR24" s="477">
        <f>skemA3!B24</f>
        <v>44728</v>
      </c>
      <c r="AS24" s="66">
        <f t="shared" si="21"/>
        <v>-1</v>
      </c>
      <c r="AT24" s="481">
        <f t="shared" si="22"/>
        <v>135</v>
      </c>
      <c r="AU24" s="480">
        <f t="shared" si="23"/>
        <v>0</v>
      </c>
      <c r="AV24" s="480">
        <f t="shared" si="24"/>
        <v>135</v>
      </c>
      <c r="AX24" s="477">
        <f>skemA3!B24</f>
        <v>44728</v>
      </c>
      <c r="AY24" s="66">
        <f>'Tabel 6'!I25</f>
        <v>1</v>
      </c>
      <c r="AZ24" s="481">
        <f t="shared" si="25"/>
        <v>823.59999999999991</v>
      </c>
      <c r="BA24" s="480">
        <f t="shared" si="26"/>
        <v>823.59999999999991</v>
      </c>
      <c r="BB24" s="480">
        <f t="shared" si="27"/>
        <v>0</v>
      </c>
      <c r="BD24" s="477">
        <f>skemA3!B24</f>
        <v>44728</v>
      </c>
      <c r="BE24" s="66">
        <f t="shared" si="28"/>
        <v>1</v>
      </c>
      <c r="BF24" s="481">
        <f t="shared" si="29"/>
        <v>135</v>
      </c>
      <c r="BG24" s="480">
        <f t="shared" si="30"/>
        <v>135</v>
      </c>
      <c r="BH24" s="480">
        <f t="shared" si="31"/>
        <v>0</v>
      </c>
      <c r="BJ24" s="477">
        <f>skemA3!B24</f>
        <v>44728</v>
      </c>
      <c r="BK24" s="66">
        <f>'Tabel 6'!J25</f>
        <v>-1</v>
      </c>
      <c r="BL24" s="481">
        <f t="shared" si="32"/>
        <v>823.59999999999991</v>
      </c>
      <c r="BM24" s="480">
        <f t="shared" si="33"/>
        <v>0</v>
      </c>
      <c r="BN24" s="480">
        <f t="shared" si="34"/>
        <v>823.59999999999991</v>
      </c>
      <c r="BP24" s="477">
        <f>skemA3!B24</f>
        <v>44728</v>
      </c>
      <c r="BQ24" s="66">
        <f t="shared" si="35"/>
        <v>-1</v>
      </c>
      <c r="BR24" s="481">
        <f t="shared" si="36"/>
        <v>135</v>
      </c>
      <c r="BS24" s="480">
        <f t="shared" si="37"/>
        <v>0</v>
      </c>
      <c r="BT24" s="480">
        <f t="shared" si="38"/>
        <v>135</v>
      </c>
      <c r="BU24" s="486"/>
      <c r="BV24" s="477">
        <f>skemA3!B24</f>
        <v>44728</v>
      </c>
      <c r="BW24" s="66">
        <f>'Tabel 6'!K25</f>
        <v>1</v>
      </c>
      <c r="BX24" s="481">
        <f t="shared" si="39"/>
        <v>823.59999999999991</v>
      </c>
      <c r="BY24" s="480">
        <f t="shared" si="40"/>
        <v>823.59999999999991</v>
      </c>
      <c r="BZ24" s="480">
        <f t="shared" si="41"/>
        <v>0</v>
      </c>
      <c r="CB24" s="477">
        <f>skemA3!B24</f>
        <v>44728</v>
      </c>
      <c r="CC24" s="66">
        <f t="shared" si="42"/>
        <v>1</v>
      </c>
      <c r="CD24" s="481">
        <f t="shared" si="43"/>
        <v>135</v>
      </c>
      <c r="CE24" s="480">
        <f t="shared" si="44"/>
        <v>135</v>
      </c>
      <c r="CF24" s="480">
        <f t="shared" si="45"/>
        <v>0</v>
      </c>
      <c r="CG24" s="487"/>
      <c r="CH24" s="487"/>
      <c r="CI24" s="487"/>
      <c r="CJ24" s="689"/>
      <c r="CK24" s="62" t="s">
        <v>77</v>
      </c>
      <c r="CL24" s="62">
        <v>690.19999999999982</v>
      </c>
      <c r="CM24" s="62">
        <v>4255.6000000000004</v>
      </c>
      <c r="CN24" s="61">
        <f>IF((CL23-CL24)&lt;0,(CL23-CL24),0)</f>
        <v>0</v>
      </c>
      <c r="CO24" s="101">
        <f>IF((CM23-CM24)&lt;0,(CM23-CM24),0)</f>
        <v>-588.20000000000164</v>
      </c>
    </row>
    <row r="25" spans="2:93">
      <c r="B25" s="477">
        <f>skemA3!B25</f>
        <v>44729</v>
      </c>
      <c r="C25" s="66">
        <f>'Tabel 6'!E26</f>
        <v>1</v>
      </c>
      <c r="D25" s="66">
        <f>skemA3!D63</f>
        <v>958.60000000000036</v>
      </c>
      <c r="E25" s="480">
        <f t="shared" si="0"/>
        <v>958.60000000000036</v>
      </c>
      <c r="F25" s="480">
        <f t="shared" si="1"/>
        <v>0</v>
      </c>
      <c r="H25" s="477">
        <f>skemA3!B25</f>
        <v>44729</v>
      </c>
      <c r="I25" s="66">
        <f>'Tabel 6'!E26</f>
        <v>1</v>
      </c>
      <c r="J25" s="481">
        <f>skemA3!E63</f>
        <v>388.79999999999973</v>
      </c>
      <c r="K25" s="480">
        <f t="shared" si="2"/>
        <v>388.79999999999973</v>
      </c>
      <c r="L25" s="480">
        <f t="shared" si="3"/>
        <v>0</v>
      </c>
      <c r="N25" s="477">
        <f>skemA3!B25</f>
        <v>44729</v>
      </c>
      <c r="O25" s="66">
        <f>'Tabel 6'!F26</f>
        <v>-1</v>
      </c>
      <c r="P25" s="481">
        <f t="shared" si="4"/>
        <v>958.60000000000036</v>
      </c>
      <c r="Q25" s="480">
        <f t="shared" si="5"/>
        <v>0</v>
      </c>
      <c r="R25" s="480">
        <f t="shared" si="6"/>
        <v>958.60000000000036</v>
      </c>
      <c r="T25" s="477">
        <f>skemA3!B25</f>
        <v>44729</v>
      </c>
      <c r="U25" s="66">
        <f t="shared" si="7"/>
        <v>-1</v>
      </c>
      <c r="V25" s="481">
        <f t="shared" si="8"/>
        <v>388.79999999999973</v>
      </c>
      <c r="W25" s="480">
        <f t="shared" si="9"/>
        <v>0</v>
      </c>
      <c r="X25" s="480">
        <f t="shared" si="10"/>
        <v>388.79999999999973</v>
      </c>
      <c r="Y25" s="483"/>
      <c r="Z25" s="477">
        <f>skemA3!B25</f>
        <v>44729</v>
      </c>
      <c r="AA25" s="66">
        <f>'Tabel 6'!G26</f>
        <v>-1</v>
      </c>
      <c r="AB25" s="481">
        <f t="shared" si="11"/>
        <v>958.60000000000036</v>
      </c>
      <c r="AC25" s="480">
        <f t="shared" si="12"/>
        <v>0</v>
      </c>
      <c r="AD25" s="480">
        <f t="shared" si="13"/>
        <v>958.60000000000036</v>
      </c>
      <c r="AE25" s="483"/>
      <c r="AF25" s="477">
        <f>skemA3!B25</f>
        <v>44729</v>
      </c>
      <c r="AG25" s="66">
        <f t="shared" si="14"/>
        <v>-1</v>
      </c>
      <c r="AH25" s="481">
        <f t="shared" si="15"/>
        <v>388.79999999999973</v>
      </c>
      <c r="AI25" s="480">
        <f t="shared" si="16"/>
        <v>0</v>
      </c>
      <c r="AJ25" s="480">
        <f t="shared" si="17"/>
        <v>388.79999999999973</v>
      </c>
      <c r="AL25" s="477">
        <f>skemA3!B25</f>
        <v>44729</v>
      </c>
      <c r="AM25" s="66">
        <f>'Tabel 6'!H26</f>
        <v>-1</v>
      </c>
      <c r="AN25" s="481">
        <f t="shared" si="18"/>
        <v>958.60000000000036</v>
      </c>
      <c r="AO25" s="480">
        <f t="shared" si="19"/>
        <v>0</v>
      </c>
      <c r="AP25" s="480">
        <f t="shared" si="20"/>
        <v>958.60000000000036</v>
      </c>
      <c r="AR25" s="477">
        <f>skemA3!B25</f>
        <v>44729</v>
      </c>
      <c r="AS25" s="66">
        <f t="shared" si="21"/>
        <v>-1</v>
      </c>
      <c r="AT25" s="481">
        <f t="shared" si="22"/>
        <v>388.79999999999973</v>
      </c>
      <c r="AU25" s="480">
        <f t="shared" si="23"/>
        <v>0</v>
      </c>
      <c r="AV25" s="480">
        <f t="shared" si="24"/>
        <v>388.79999999999973</v>
      </c>
      <c r="AX25" s="477">
        <f>skemA3!B25</f>
        <v>44729</v>
      </c>
      <c r="AY25" s="66">
        <f>'Tabel 6'!I26</f>
        <v>1</v>
      </c>
      <c r="AZ25" s="481">
        <f t="shared" si="25"/>
        <v>958.60000000000036</v>
      </c>
      <c r="BA25" s="480">
        <f t="shared" si="26"/>
        <v>958.60000000000036</v>
      </c>
      <c r="BB25" s="480">
        <f t="shared" si="27"/>
        <v>0</v>
      </c>
      <c r="BD25" s="477">
        <f>skemA3!B25</f>
        <v>44729</v>
      </c>
      <c r="BE25" s="66">
        <f t="shared" si="28"/>
        <v>1</v>
      </c>
      <c r="BF25" s="481">
        <f t="shared" si="29"/>
        <v>388.79999999999973</v>
      </c>
      <c r="BG25" s="480">
        <f t="shared" si="30"/>
        <v>388.79999999999973</v>
      </c>
      <c r="BH25" s="480">
        <f t="shared" si="31"/>
        <v>0</v>
      </c>
      <c r="BJ25" s="477">
        <f>skemA3!B25</f>
        <v>44729</v>
      </c>
      <c r="BK25" s="66">
        <f>'Tabel 6'!J26</f>
        <v>1</v>
      </c>
      <c r="BL25" s="481">
        <f t="shared" si="32"/>
        <v>958.60000000000036</v>
      </c>
      <c r="BM25" s="480">
        <f t="shared" si="33"/>
        <v>958.60000000000036</v>
      </c>
      <c r="BN25" s="480">
        <f t="shared" si="34"/>
        <v>0</v>
      </c>
      <c r="BP25" s="477">
        <f>skemA3!B25</f>
        <v>44729</v>
      </c>
      <c r="BQ25" s="66">
        <f t="shared" si="35"/>
        <v>1</v>
      </c>
      <c r="BR25" s="481">
        <f t="shared" si="36"/>
        <v>388.79999999999973</v>
      </c>
      <c r="BS25" s="480">
        <f t="shared" si="37"/>
        <v>388.79999999999973</v>
      </c>
      <c r="BT25" s="480">
        <f t="shared" si="38"/>
        <v>0</v>
      </c>
      <c r="BU25" s="486"/>
      <c r="BV25" s="477">
        <f>skemA3!B25</f>
        <v>44729</v>
      </c>
      <c r="BW25" s="66">
        <f>'Tabel 6'!K26</f>
        <v>1</v>
      </c>
      <c r="BX25" s="481">
        <f t="shared" si="39"/>
        <v>958.60000000000036</v>
      </c>
      <c r="BY25" s="480">
        <f t="shared" si="40"/>
        <v>958.60000000000036</v>
      </c>
      <c r="BZ25" s="480">
        <f t="shared" si="41"/>
        <v>0</v>
      </c>
      <c r="CB25" s="477">
        <f>skemA3!B25</f>
        <v>44729</v>
      </c>
      <c r="CC25" s="66">
        <f t="shared" si="42"/>
        <v>1</v>
      </c>
      <c r="CD25" s="481">
        <f t="shared" si="43"/>
        <v>388.79999999999973</v>
      </c>
      <c r="CE25" s="480">
        <f t="shared" si="44"/>
        <v>388.79999999999973</v>
      </c>
      <c r="CF25" s="480">
        <f t="shared" si="45"/>
        <v>0</v>
      </c>
      <c r="CG25" s="487"/>
      <c r="CH25" s="487"/>
      <c r="CI25" s="487"/>
      <c r="CJ25" s="688">
        <v>23</v>
      </c>
      <c r="CK25" s="61" t="s">
        <v>76</v>
      </c>
      <c r="CL25" s="61">
        <f t="array" ref="CL25:CL26">TRANSPOSE(AO67:AP67)</f>
        <v>2851.7999999999993</v>
      </c>
      <c r="CM25" s="61">
        <f t="array" ref="CM25:CM26">TRANSPOSE(AU67:AV67)</f>
        <v>6393.2</v>
      </c>
      <c r="CN25" s="66">
        <f>IF((CL25-CL26+CL27)&gt;0,(CL25-CL26+CL27),0)</f>
        <v>0</v>
      </c>
      <c r="CO25" s="102">
        <f>IF((CM25-CM26+CM27)&gt;0,(CM25-CM26+CM27),0)</f>
        <v>2936.6500000000005</v>
      </c>
    </row>
    <row r="26" spans="2:93">
      <c r="B26" s="477">
        <f>skemA3!B26</f>
        <v>44730</v>
      </c>
      <c r="C26" s="66">
        <f>'Tabel 6'!E27</f>
        <v>1</v>
      </c>
      <c r="D26" s="66">
        <f>skemA3!D64</f>
        <v>965.09999999999991</v>
      </c>
      <c r="E26" s="480">
        <f t="shared" si="0"/>
        <v>965.09999999999991</v>
      </c>
      <c r="F26" s="480">
        <f t="shared" si="1"/>
        <v>0</v>
      </c>
      <c r="H26" s="477">
        <f>skemA3!B26</f>
        <v>44730</v>
      </c>
      <c r="I26" s="66">
        <f>'Tabel 6'!E27</f>
        <v>1</v>
      </c>
      <c r="J26" s="481">
        <f>skemA3!E64</f>
        <v>653.49999999999977</v>
      </c>
      <c r="K26" s="480">
        <f t="shared" si="2"/>
        <v>653.49999999999977</v>
      </c>
      <c r="L26" s="480">
        <f t="shared" si="3"/>
        <v>0</v>
      </c>
      <c r="N26" s="477">
        <f>skemA3!B26</f>
        <v>44730</v>
      </c>
      <c r="O26" s="66">
        <f>'Tabel 6'!F27</f>
        <v>-1</v>
      </c>
      <c r="P26" s="481">
        <f t="shared" si="4"/>
        <v>965.09999999999991</v>
      </c>
      <c r="Q26" s="480">
        <f t="shared" si="5"/>
        <v>0</v>
      </c>
      <c r="R26" s="480">
        <f t="shared" si="6"/>
        <v>965.09999999999991</v>
      </c>
      <c r="T26" s="477">
        <f>skemA3!B26</f>
        <v>44730</v>
      </c>
      <c r="U26" s="66">
        <f t="shared" si="7"/>
        <v>-1</v>
      </c>
      <c r="V26" s="481">
        <f t="shared" si="8"/>
        <v>653.49999999999977</v>
      </c>
      <c r="W26" s="480">
        <f t="shared" si="9"/>
        <v>0</v>
      </c>
      <c r="X26" s="480">
        <f t="shared" si="10"/>
        <v>653.49999999999977</v>
      </c>
      <c r="Y26" s="483"/>
      <c r="Z26" s="477">
        <f>skemA3!B26</f>
        <v>44730</v>
      </c>
      <c r="AA26" s="66">
        <f>'Tabel 6'!G27</f>
        <v>0</v>
      </c>
      <c r="AB26" s="481">
        <f t="shared" si="11"/>
        <v>965.09999999999991</v>
      </c>
      <c r="AC26" s="480">
        <f t="shared" si="12"/>
        <v>0</v>
      </c>
      <c r="AD26" s="480">
        <f t="shared" si="13"/>
        <v>0</v>
      </c>
      <c r="AE26" s="483"/>
      <c r="AF26" s="477">
        <f>skemA3!B26</f>
        <v>44730</v>
      </c>
      <c r="AG26" s="66">
        <f t="shared" si="14"/>
        <v>0</v>
      </c>
      <c r="AH26" s="481">
        <f t="shared" si="15"/>
        <v>653.49999999999977</v>
      </c>
      <c r="AI26" s="480">
        <f t="shared" si="16"/>
        <v>0</v>
      </c>
      <c r="AJ26" s="480">
        <f t="shared" si="17"/>
        <v>0</v>
      </c>
      <c r="AL26" s="477">
        <f>skemA3!B26</f>
        <v>44730</v>
      </c>
      <c r="AM26" s="66">
        <f>'Tabel 6'!H27</f>
        <v>-1</v>
      </c>
      <c r="AN26" s="481">
        <f t="shared" si="18"/>
        <v>965.09999999999991</v>
      </c>
      <c r="AO26" s="480">
        <f t="shared" si="19"/>
        <v>0</v>
      </c>
      <c r="AP26" s="480">
        <f t="shared" si="20"/>
        <v>965.09999999999991</v>
      </c>
      <c r="AR26" s="477">
        <f>skemA3!B26</f>
        <v>44730</v>
      </c>
      <c r="AS26" s="66">
        <f t="shared" si="21"/>
        <v>-1</v>
      </c>
      <c r="AT26" s="481">
        <f t="shared" si="22"/>
        <v>653.49999999999977</v>
      </c>
      <c r="AU26" s="480">
        <f t="shared" si="23"/>
        <v>0</v>
      </c>
      <c r="AV26" s="480">
        <f t="shared" si="24"/>
        <v>653.49999999999977</v>
      </c>
      <c r="AX26" s="477">
        <f>skemA3!B26</f>
        <v>44730</v>
      </c>
      <c r="AY26" s="66">
        <f>'Tabel 6'!I27</f>
        <v>1</v>
      </c>
      <c r="AZ26" s="481">
        <f t="shared" si="25"/>
        <v>965.09999999999991</v>
      </c>
      <c r="BA26" s="480">
        <f t="shared" si="26"/>
        <v>965.09999999999991</v>
      </c>
      <c r="BB26" s="480">
        <f t="shared" si="27"/>
        <v>0</v>
      </c>
      <c r="BD26" s="477">
        <f>skemA3!B26</f>
        <v>44730</v>
      </c>
      <c r="BE26" s="66">
        <f t="shared" si="28"/>
        <v>1</v>
      </c>
      <c r="BF26" s="481">
        <f t="shared" si="29"/>
        <v>653.49999999999977</v>
      </c>
      <c r="BG26" s="480">
        <f t="shared" si="30"/>
        <v>653.49999999999977</v>
      </c>
      <c r="BH26" s="480">
        <f t="shared" si="31"/>
        <v>0</v>
      </c>
      <c r="BJ26" s="477">
        <f>skemA3!B26</f>
        <v>44730</v>
      </c>
      <c r="BK26" s="66">
        <f>'Tabel 6'!J27</f>
        <v>1</v>
      </c>
      <c r="BL26" s="481">
        <f t="shared" si="32"/>
        <v>965.09999999999991</v>
      </c>
      <c r="BM26" s="480">
        <f t="shared" si="33"/>
        <v>965.09999999999991</v>
      </c>
      <c r="BN26" s="480">
        <f t="shared" si="34"/>
        <v>0</v>
      </c>
      <c r="BP26" s="477">
        <f>skemA3!B26</f>
        <v>44730</v>
      </c>
      <c r="BQ26" s="66">
        <f t="shared" si="35"/>
        <v>1</v>
      </c>
      <c r="BR26" s="481">
        <f t="shared" si="36"/>
        <v>653.49999999999977</v>
      </c>
      <c r="BS26" s="480">
        <f t="shared" si="37"/>
        <v>653.49999999999977</v>
      </c>
      <c r="BT26" s="480">
        <f t="shared" si="38"/>
        <v>0</v>
      </c>
      <c r="BU26" s="486"/>
      <c r="BV26" s="477">
        <f>skemA3!B26</f>
        <v>44730</v>
      </c>
      <c r="BW26" s="66">
        <f>'Tabel 6'!K27</f>
        <v>0</v>
      </c>
      <c r="BX26" s="481">
        <f t="shared" si="39"/>
        <v>965.09999999999991</v>
      </c>
      <c r="BY26" s="480">
        <f t="shared" si="40"/>
        <v>0</v>
      </c>
      <c r="BZ26" s="480">
        <f t="shared" si="41"/>
        <v>0</v>
      </c>
      <c r="CB26" s="477">
        <f>skemA3!B26</f>
        <v>44730</v>
      </c>
      <c r="CC26" s="66">
        <f t="shared" si="42"/>
        <v>0</v>
      </c>
      <c r="CD26" s="481">
        <f t="shared" si="43"/>
        <v>653.49999999999977</v>
      </c>
      <c r="CE26" s="480">
        <f t="shared" si="44"/>
        <v>0</v>
      </c>
      <c r="CF26" s="480">
        <f t="shared" si="45"/>
        <v>0</v>
      </c>
      <c r="CG26" s="487"/>
      <c r="CH26" s="487"/>
      <c r="CI26" s="487"/>
      <c r="CJ26" s="688"/>
      <c r="CK26" s="61" t="s">
        <v>77</v>
      </c>
      <c r="CL26" s="61">
        <v>4204.9499999999989</v>
      </c>
      <c r="CM26" s="61">
        <v>4456.5499999999993</v>
      </c>
      <c r="CN26" s="61">
        <f>IF((CL25-CL26+CL27)&lt;0,(CL25-CL26+CL27),0)</f>
        <v>-453.14999999999964</v>
      </c>
      <c r="CO26" s="101">
        <f>IF((CM25-CM26+CM27)&lt;0,(CM25-CM26+CM27),0)</f>
        <v>0</v>
      </c>
    </row>
    <row r="27" spans="2:93">
      <c r="B27" s="477">
        <f>skemA3!B27</f>
        <v>44731</v>
      </c>
      <c r="C27" s="66">
        <f>'Tabel 6'!E28</f>
        <v>1</v>
      </c>
      <c r="D27" s="66">
        <f>skemA3!D65</f>
        <v>901.29999999999973</v>
      </c>
      <c r="E27" s="480">
        <f t="shared" si="0"/>
        <v>901.29999999999973</v>
      </c>
      <c r="F27" s="480">
        <f t="shared" si="1"/>
        <v>0</v>
      </c>
      <c r="H27" s="477">
        <f>skemA3!B27</f>
        <v>44731</v>
      </c>
      <c r="I27" s="66">
        <f>'Tabel 6'!E28</f>
        <v>1</v>
      </c>
      <c r="J27" s="481">
        <f>skemA3!E65</f>
        <v>857.69999999999982</v>
      </c>
      <c r="K27" s="480">
        <f t="shared" si="2"/>
        <v>857.69999999999982</v>
      </c>
      <c r="L27" s="480">
        <f t="shared" si="3"/>
        <v>0</v>
      </c>
      <c r="N27" s="477">
        <f>skemA3!B27</f>
        <v>44731</v>
      </c>
      <c r="O27" s="66">
        <f>'Tabel 6'!F28</f>
        <v>-1</v>
      </c>
      <c r="P27" s="481">
        <f t="shared" si="4"/>
        <v>901.29999999999973</v>
      </c>
      <c r="Q27" s="480">
        <f t="shared" si="5"/>
        <v>0</v>
      </c>
      <c r="R27" s="480">
        <f t="shared" si="6"/>
        <v>901.29999999999973</v>
      </c>
      <c r="T27" s="477">
        <f>skemA3!B27</f>
        <v>44731</v>
      </c>
      <c r="U27" s="66">
        <f t="shared" si="7"/>
        <v>-1</v>
      </c>
      <c r="V27" s="481">
        <f t="shared" si="8"/>
        <v>857.69999999999982</v>
      </c>
      <c r="W27" s="480">
        <f t="shared" si="9"/>
        <v>0</v>
      </c>
      <c r="X27" s="480">
        <f t="shared" si="10"/>
        <v>857.69999999999982</v>
      </c>
      <c r="Y27" s="483"/>
      <c r="Z27" s="477">
        <f>skemA3!B27</f>
        <v>44731</v>
      </c>
      <c r="AA27" s="66">
        <f>'Tabel 6'!G28</f>
        <v>1</v>
      </c>
      <c r="AB27" s="481">
        <f t="shared" si="11"/>
        <v>901.29999999999973</v>
      </c>
      <c r="AC27" s="480">
        <f t="shared" si="12"/>
        <v>901.29999999999973</v>
      </c>
      <c r="AD27" s="480">
        <f t="shared" si="13"/>
        <v>0</v>
      </c>
      <c r="AE27" s="483"/>
      <c r="AF27" s="477">
        <f>skemA3!B27</f>
        <v>44731</v>
      </c>
      <c r="AG27" s="66">
        <f t="shared" si="14"/>
        <v>1</v>
      </c>
      <c r="AH27" s="481">
        <f t="shared" si="15"/>
        <v>857.69999999999982</v>
      </c>
      <c r="AI27" s="480">
        <f t="shared" si="16"/>
        <v>857.69999999999982</v>
      </c>
      <c r="AJ27" s="480">
        <f t="shared" si="17"/>
        <v>0</v>
      </c>
      <c r="AL27" s="477">
        <f>skemA3!B27</f>
        <v>44731</v>
      </c>
      <c r="AM27" s="66">
        <f>'Tabel 6'!H28</f>
        <v>1</v>
      </c>
      <c r="AN27" s="481">
        <f t="shared" si="18"/>
        <v>901.29999999999973</v>
      </c>
      <c r="AO27" s="480">
        <f t="shared" si="19"/>
        <v>901.29999999999973</v>
      </c>
      <c r="AP27" s="480">
        <f t="shared" si="20"/>
        <v>0</v>
      </c>
      <c r="AR27" s="477">
        <f>skemA3!B27</f>
        <v>44731</v>
      </c>
      <c r="AS27" s="66">
        <f t="shared" si="21"/>
        <v>1</v>
      </c>
      <c r="AT27" s="481">
        <f t="shared" si="22"/>
        <v>857.69999999999982</v>
      </c>
      <c r="AU27" s="480">
        <f t="shared" si="23"/>
        <v>857.69999999999982</v>
      </c>
      <c r="AV27" s="480">
        <f t="shared" si="24"/>
        <v>0</v>
      </c>
      <c r="AX27" s="477">
        <f>skemA3!B27</f>
        <v>44731</v>
      </c>
      <c r="AY27" s="66">
        <f>'Tabel 6'!I28</f>
        <v>1</v>
      </c>
      <c r="AZ27" s="481">
        <f t="shared" si="25"/>
        <v>901.29999999999973</v>
      </c>
      <c r="BA27" s="480">
        <f t="shared" si="26"/>
        <v>901.29999999999973</v>
      </c>
      <c r="BB27" s="480">
        <f t="shared" si="27"/>
        <v>0</v>
      </c>
      <c r="BD27" s="477">
        <f>skemA3!B27</f>
        <v>44731</v>
      </c>
      <c r="BE27" s="66">
        <f t="shared" si="28"/>
        <v>1</v>
      </c>
      <c r="BF27" s="481">
        <f t="shared" si="29"/>
        <v>857.69999999999982</v>
      </c>
      <c r="BG27" s="480">
        <f t="shared" si="30"/>
        <v>857.69999999999982</v>
      </c>
      <c r="BH27" s="480">
        <f t="shared" si="31"/>
        <v>0</v>
      </c>
      <c r="BJ27" s="477">
        <f>skemA3!B27</f>
        <v>44731</v>
      </c>
      <c r="BK27" s="66">
        <f>'Tabel 6'!J28</f>
        <v>1</v>
      </c>
      <c r="BL27" s="481">
        <f t="shared" si="32"/>
        <v>901.29999999999973</v>
      </c>
      <c r="BM27" s="480">
        <f t="shared" si="33"/>
        <v>901.29999999999973</v>
      </c>
      <c r="BN27" s="480">
        <f t="shared" si="34"/>
        <v>0</v>
      </c>
      <c r="BP27" s="477">
        <f>skemA3!B27</f>
        <v>44731</v>
      </c>
      <c r="BQ27" s="66">
        <f t="shared" si="35"/>
        <v>1</v>
      </c>
      <c r="BR27" s="481">
        <f t="shared" si="36"/>
        <v>857.69999999999982</v>
      </c>
      <c r="BS27" s="480">
        <f t="shared" si="37"/>
        <v>857.69999999999982</v>
      </c>
      <c r="BT27" s="480">
        <f t="shared" si="38"/>
        <v>0</v>
      </c>
      <c r="BU27" s="486"/>
      <c r="BV27" s="477">
        <f>skemA3!B27</f>
        <v>44731</v>
      </c>
      <c r="BW27" s="66">
        <f>'Tabel 6'!K28</f>
        <v>-1</v>
      </c>
      <c r="BX27" s="481">
        <f t="shared" si="39"/>
        <v>901.29999999999973</v>
      </c>
      <c r="BY27" s="480">
        <f t="shared" si="40"/>
        <v>0</v>
      </c>
      <c r="BZ27" s="480">
        <f t="shared" si="41"/>
        <v>901.29999999999973</v>
      </c>
      <c r="CB27" s="477">
        <f>skemA3!B27</f>
        <v>44731</v>
      </c>
      <c r="CC27" s="66">
        <f t="shared" si="42"/>
        <v>-1</v>
      </c>
      <c r="CD27" s="481">
        <f t="shared" si="43"/>
        <v>857.69999999999982</v>
      </c>
      <c r="CE27" s="480">
        <f t="shared" si="44"/>
        <v>0</v>
      </c>
      <c r="CF27" s="480">
        <f t="shared" si="45"/>
        <v>857.69999999999982</v>
      </c>
      <c r="CG27" s="487"/>
      <c r="CH27" s="487"/>
      <c r="CI27" s="487"/>
      <c r="CJ27" s="688"/>
      <c r="CK27" s="61" t="s">
        <v>76</v>
      </c>
      <c r="CL27" s="61">
        <f>ABS(skemA3!F42*'Tabel 6'!H4)</f>
        <v>900</v>
      </c>
      <c r="CM27" s="61">
        <f>ABS(skemA3!G42*'Tabel 6'!H4)</f>
        <v>1000</v>
      </c>
      <c r="CN27" s="62"/>
      <c r="CO27" s="103"/>
    </row>
    <row r="28" spans="2:93">
      <c r="B28" s="477">
        <f>skemA3!B28</f>
        <v>44732</v>
      </c>
      <c r="C28" s="66">
        <f>'Tabel 6'!E29</f>
        <v>1</v>
      </c>
      <c r="D28" s="66">
        <f>skemA3!D66</f>
        <v>748.39999999999964</v>
      </c>
      <c r="E28" s="480">
        <f t="shared" si="0"/>
        <v>748.39999999999964</v>
      </c>
      <c r="F28" s="480">
        <f t="shared" si="1"/>
        <v>0</v>
      </c>
      <c r="H28" s="477">
        <f>skemA3!B28</f>
        <v>44732</v>
      </c>
      <c r="I28" s="66">
        <f>'Tabel 6'!E29</f>
        <v>1</v>
      </c>
      <c r="J28" s="481">
        <f>skemA3!E66</f>
        <v>961.20000000000027</v>
      </c>
      <c r="K28" s="480">
        <f t="shared" si="2"/>
        <v>961.20000000000027</v>
      </c>
      <c r="L28" s="480">
        <f t="shared" si="3"/>
        <v>0</v>
      </c>
      <c r="N28" s="477">
        <f>skemA3!B28</f>
        <v>44732</v>
      </c>
      <c r="O28" s="66">
        <f>'Tabel 6'!F29</f>
        <v>-1</v>
      </c>
      <c r="P28" s="481">
        <f t="shared" si="4"/>
        <v>748.39999999999964</v>
      </c>
      <c r="Q28" s="480">
        <f t="shared" si="5"/>
        <v>0</v>
      </c>
      <c r="R28" s="480">
        <f t="shared" si="6"/>
        <v>748.39999999999964</v>
      </c>
      <c r="T28" s="477">
        <f>skemA3!B28</f>
        <v>44732</v>
      </c>
      <c r="U28" s="66">
        <f t="shared" si="7"/>
        <v>-1</v>
      </c>
      <c r="V28" s="481">
        <f t="shared" si="8"/>
        <v>961.20000000000027</v>
      </c>
      <c r="W28" s="480">
        <f t="shared" si="9"/>
        <v>0</v>
      </c>
      <c r="X28" s="480">
        <f t="shared" si="10"/>
        <v>961.20000000000027</v>
      </c>
      <c r="Y28" s="483"/>
      <c r="Z28" s="477">
        <f>skemA3!B28</f>
        <v>44732</v>
      </c>
      <c r="AA28" s="66">
        <f>'Tabel 6'!G29</f>
        <v>1</v>
      </c>
      <c r="AB28" s="481">
        <f t="shared" si="11"/>
        <v>748.39999999999964</v>
      </c>
      <c r="AC28" s="480">
        <f t="shared" si="12"/>
        <v>748.39999999999964</v>
      </c>
      <c r="AD28" s="480">
        <f t="shared" si="13"/>
        <v>0</v>
      </c>
      <c r="AE28" s="483"/>
      <c r="AF28" s="477">
        <f>skemA3!B28</f>
        <v>44732</v>
      </c>
      <c r="AG28" s="66">
        <f t="shared" si="14"/>
        <v>1</v>
      </c>
      <c r="AH28" s="481">
        <f t="shared" si="15"/>
        <v>961.20000000000027</v>
      </c>
      <c r="AI28" s="480">
        <f t="shared" si="16"/>
        <v>961.20000000000027</v>
      </c>
      <c r="AJ28" s="480">
        <f t="shared" si="17"/>
        <v>0</v>
      </c>
      <c r="AL28" s="477">
        <f>skemA3!B28</f>
        <v>44732</v>
      </c>
      <c r="AM28" s="66">
        <f>'Tabel 6'!H29</f>
        <v>1</v>
      </c>
      <c r="AN28" s="481">
        <f t="shared" si="18"/>
        <v>748.39999999999964</v>
      </c>
      <c r="AO28" s="480">
        <f t="shared" si="19"/>
        <v>748.39999999999964</v>
      </c>
      <c r="AP28" s="480">
        <f t="shared" si="20"/>
        <v>0</v>
      </c>
      <c r="AR28" s="477">
        <f>skemA3!B28</f>
        <v>44732</v>
      </c>
      <c r="AS28" s="66">
        <f t="shared" si="21"/>
        <v>1</v>
      </c>
      <c r="AT28" s="481">
        <f t="shared" si="22"/>
        <v>961.20000000000027</v>
      </c>
      <c r="AU28" s="480">
        <f t="shared" si="23"/>
        <v>961.20000000000027</v>
      </c>
      <c r="AV28" s="480">
        <f t="shared" si="24"/>
        <v>0</v>
      </c>
      <c r="AX28" s="477">
        <f>skemA3!B28</f>
        <v>44732</v>
      </c>
      <c r="AY28" s="66">
        <f>'Tabel 6'!I29</f>
        <v>1</v>
      </c>
      <c r="AZ28" s="481">
        <f t="shared" si="25"/>
        <v>748.39999999999964</v>
      </c>
      <c r="BA28" s="480">
        <f t="shared" si="26"/>
        <v>748.39999999999964</v>
      </c>
      <c r="BB28" s="480">
        <f t="shared" si="27"/>
        <v>0</v>
      </c>
      <c r="BD28" s="477">
        <f>skemA3!B28</f>
        <v>44732</v>
      </c>
      <c r="BE28" s="66">
        <f t="shared" si="28"/>
        <v>1</v>
      </c>
      <c r="BF28" s="481">
        <f t="shared" si="29"/>
        <v>961.20000000000027</v>
      </c>
      <c r="BG28" s="480">
        <f t="shared" si="30"/>
        <v>961.20000000000027</v>
      </c>
      <c r="BH28" s="480">
        <f t="shared" si="31"/>
        <v>0</v>
      </c>
      <c r="BJ28" s="477">
        <f>skemA3!B28</f>
        <v>44732</v>
      </c>
      <c r="BK28" s="66">
        <f>'Tabel 6'!J29</f>
        <v>1</v>
      </c>
      <c r="BL28" s="481">
        <f t="shared" si="32"/>
        <v>748.39999999999964</v>
      </c>
      <c r="BM28" s="480">
        <f t="shared" si="33"/>
        <v>748.39999999999964</v>
      </c>
      <c r="BN28" s="480">
        <f t="shared" si="34"/>
        <v>0</v>
      </c>
      <c r="BP28" s="477">
        <f>skemA3!B28</f>
        <v>44732</v>
      </c>
      <c r="BQ28" s="66">
        <f t="shared" si="35"/>
        <v>1</v>
      </c>
      <c r="BR28" s="481">
        <f t="shared" si="36"/>
        <v>961.20000000000027</v>
      </c>
      <c r="BS28" s="480">
        <f t="shared" si="37"/>
        <v>961.20000000000027</v>
      </c>
      <c r="BT28" s="480">
        <f t="shared" si="38"/>
        <v>0</v>
      </c>
      <c r="BU28" s="486"/>
      <c r="BV28" s="477">
        <f>skemA3!B28</f>
        <v>44732</v>
      </c>
      <c r="BW28" s="66">
        <f>'Tabel 6'!K29</f>
        <v>-1</v>
      </c>
      <c r="BX28" s="481">
        <f t="shared" si="39"/>
        <v>748.39999999999964</v>
      </c>
      <c r="BY28" s="480">
        <f t="shared" si="40"/>
        <v>0</v>
      </c>
      <c r="BZ28" s="480">
        <f t="shared" si="41"/>
        <v>748.39999999999964</v>
      </c>
      <c r="CB28" s="477">
        <f>skemA3!B28</f>
        <v>44732</v>
      </c>
      <c r="CC28" s="66">
        <f t="shared" si="42"/>
        <v>-1</v>
      </c>
      <c r="CD28" s="481">
        <f t="shared" si="43"/>
        <v>961.20000000000027</v>
      </c>
      <c r="CE28" s="480">
        <f t="shared" si="44"/>
        <v>0</v>
      </c>
      <c r="CF28" s="480">
        <f t="shared" si="45"/>
        <v>961.20000000000027</v>
      </c>
      <c r="CG28" s="487"/>
      <c r="CH28" s="487"/>
      <c r="CI28" s="487"/>
      <c r="CJ28" s="689" t="s">
        <v>141</v>
      </c>
      <c r="CK28" s="66" t="s">
        <v>76</v>
      </c>
      <c r="CL28" s="66">
        <f t="array" ref="CL28:CL29">TRANSPOSE(BA67:BB67)</f>
        <v>3954.1999999999994</v>
      </c>
      <c r="CM28" s="66">
        <f t="array" ref="CM28:CM29">TRANSPOSE(BG67:BH67)</f>
        <v>8199.5999999999985</v>
      </c>
      <c r="CN28" s="61">
        <f>IF((CL28-CL29)&gt;0,(CL28-CL29),0)</f>
        <v>1594.5499999999997</v>
      </c>
      <c r="CO28" s="101">
        <f>IF((CM28-CM29)&gt;0,(CM28-CM29),0)</f>
        <v>6880.7499999999982</v>
      </c>
    </row>
    <row r="29" spans="2:93">
      <c r="B29" s="477">
        <f>skemA3!B29</f>
        <v>44733</v>
      </c>
      <c r="C29" s="66">
        <f>'Tabel 6'!E30</f>
        <v>1</v>
      </c>
      <c r="D29" s="66">
        <f>skemA3!D67</f>
        <v>605.89999999999986</v>
      </c>
      <c r="E29" s="480">
        <f t="shared" si="0"/>
        <v>605.89999999999986</v>
      </c>
      <c r="F29" s="480">
        <f t="shared" si="1"/>
        <v>0</v>
      </c>
      <c r="H29" s="477">
        <f>skemA3!B29</f>
        <v>44733</v>
      </c>
      <c r="I29" s="66">
        <f>'Tabel 6'!E30</f>
        <v>1</v>
      </c>
      <c r="J29" s="481">
        <f>skemA3!E67</f>
        <v>946.5</v>
      </c>
      <c r="K29" s="480">
        <f t="shared" si="2"/>
        <v>946.5</v>
      </c>
      <c r="L29" s="480">
        <f t="shared" si="3"/>
        <v>0</v>
      </c>
      <c r="N29" s="477">
        <f>skemA3!B29</f>
        <v>44733</v>
      </c>
      <c r="O29" s="66">
        <f>'Tabel 6'!F30</f>
        <v>-1</v>
      </c>
      <c r="P29" s="481">
        <f t="shared" si="4"/>
        <v>605.89999999999986</v>
      </c>
      <c r="Q29" s="480">
        <f t="shared" si="5"/>
        <v>0</v>
      </c>
      <c r="R29" s="480">
        <f t="shared" si="6"/>
        <v>605.89999999999986</v>
      </c>
      <c r="T29" s="477">
        <f>skemA3!B29</f>
        <v>44733</v>
      </c>
      <c r="U29" s="66">
        <f t="shared" si="7"/>
        <v>-1</v>
      </c>
      <c r="V29" s="481">
        <f t="shared" si="8"/>
        <v>946.5</v>
      </c>
      <c r="W29" s="480">
        <f t="shared" si="9"/>
        <v>0</v>
      </c>
      <c r="X29" s="480">
        <f t="shared" si="10"/>
        <v>946.5</v>
      </c>
      <c r="Y29" s="483"/>
      <c r="Z29" s="477">
        <f>skemA3!B29</f>
        <v>44733</v>
      </c>
      <c r="AA29" s="66">
        <f>'Tabel 6'!G30</f>
        <v>1</v>
      </c>
      <c r="AB29" s="481">
        <f t="shared" si="11"/>
        <v>605.89999999999986</v>
      </c>
      <c r="AC29" s="480">
        <f t="shared" si="12"/>
        <v>605.89999999999986</v>
      </c>
      <c r="AD29" s="480">
        <f t="shared" si="13"/>
        <v>0</v>
      </c>
      <c r="AE29" s="483"/>
      <c r="AF29" s="477">
        <f>skemA3!B29</f>
        <v>44733</v>
      </c>
      <c r="AG29" s="66">
        <f t="shared" si="14"/>
        <v>1</v>
      </c>
      <c r="AH29" s="481">
        <f t="shared" si="15"/>
        <v>946.5</v>
      </c>
      <c r="AI29" s="480">
        <f t="shared" si="16"/>
        <v>946.5</v>
      </c>
      <c r="AJ29" s="480">
        <f t="shared" si="17"/>
        <v>0</v>
      </c>
      <c r="AL29" s="477">
        <f>skemA3!B29</f>
        <v>44733</v>
      </c>
      <c r="AM29" s="66">
        <f>'Tabel 6'!H30</f>
        <v>1</v>
      </c>
      <c r="AN29" s="481">
        <f t="shared" si="18"/>
        <v>605.89999999999986</v>
      </c>
      <c r="AO29" s="480">
        <f t="shared" si="19"/>
        <v>605.89999999999986</v>
      </c>
      <c r="AP29" s="480">
        <f t="shared" si="20"/>
        <v>0</v>
      </c>
      <c r="AR29" s="477">
        <f>skemA3!B29</f>
        <v>44733</v>
      </c>
      <c r="AS29" s="66">
        <f t="shared" si="21"/>
        <v>1</v>
      </c>
      <c r="AT29" s="481">
        <f t="shared" si="22"/>
        <v>946.5</v>
      </c>
      <c r="AU29" s="480">
        <f t="shared" si="23"/>
        <v>946.5</v>
      </c>
      <c r="AV29" s="480">
        <f t="shared" si="24"/>
        <v>0</v>
      </c>
      <c r="AX29" s="477">
        <f>skemA3!B29</f>
        <v>44733</v>
      </c>
      <c r="AY29" s="66">
        <f>'Tabel 6'!I30</f>
        <v>-1</v>
      </c>
      <c r="AZ29" s="481">
        <f t="shared" si="25"/>
        <v>605.89999999999986</v>
      </c>
      <c r="BA29" s="480">
        <f t="shared" si="26"/>
        <v>0</v>
      </c>
      <c r="BB29" s="480">
        <f t="shared" si="27"/>
        <v>605.89999999999986</v>
      </c>
      <c r="BD29" s="477">
        <f>skemA3!B29</f>
        <v>44733</v>
      </c>
      <c r="BE29" s="66">
        <f t="shared" si="28"/>
        <v>-1</v>
      </c>
      <c r="BF29" s="481">
        <f t="shared" si="29"/>
        <v>946.5</v>
      </c>
      <c r="BG29" s="480">
        <f t="shared" si="30"/>
        <v>0</v>
      </c>
      <c r="BH29" s="480">
        <f t="shared" si="31"/>
        <v>946.5</v>
      </c>
      <c r="BJ29" s="477">
        <f>skemA3!B29</f>
        <v>44733</v>
      </c>
      <c r="BK29" s="66">
        <f>'Tabel 6'!J30</f>
        <v>-1</v>
      </c>
      <c r="BL29" s="481">
        <f t="shared" si="32"/>
        <v>605.89999999999986</v>
      </c>
      <c r="BM29" s="480">
        <f t="shared" si="33"/>
        <v>0</v>
      </c>
      <c r="BN29" s="480">
        <f t="shared" si="34"/>
        <v>605.89999999999986</v>
      </c>
      <c r="BP29" s="477">
        <f>skemA3!B29</f>
        <v>44733</v>
      </c>
      <c r="BQ29" s="66">
        <f t="shared" si="35"/>
        <v>-1</v>
      </c>
      <c r="BR29" s="481">
        <f t="shared" si="36"/>
        <v>946.5</v>
      </c>
      <c r="BS29" s="480">
        <f t="shared" si="37"/>
        <v>0</v>
      </c>
      <c r="BT29" s="480">
        <f t="shared" si="38"/>
        <v>946.5</v>
      </c>
      <c r="BU29" s="486"/>
      <c r="BV29" s="477">
        <f>skemA3!B29</f>
        <v>44733</v>
      </c>
      <c r="BW29" s="66">
        <f>'Tabel 6'!K30</f>
        <v>-1</v>
      </c>
      <c r="BX29" s="481">
        <f t="shared" si="39"/>
        <v>605.89999999999986</v>
      </c>
      <c r="BY29" s="480">
        <f t="shared" si="40"/>
        <v>0</v>
      </c>
      <c r="BZ29" s="480">
        <f t="shared" si="41"/>
        <v>605.89999999999986</v>
      </c>
      <c r="CB29" s="477">
        <f>skemA3!B29</f>
        <v>44733</v>
      </c>
      <c r="CC29" s="66">
        <f t="shared" si="42"/>
        <v>-1</v>
      </c>
      <c r="CD29" s="481">
        <f t="shared" si="43"/>
        <v>946.5</v>
      </c>
      <c r="CE29" s="480">
        <f t="shared" si="44"/>
        <v>0</v>
      </c>
      <c r="CF29" s="480">
        <f t="shared" si="45"/>
        <v>946.5</v>
      </c>
      <c r="CG29" s="487"/>
      <c r="CH29" s="487"/>
      <c r="CI29" s="487"/>
      <c r="CJ29" s="689"/>
      <c r="CK29" s="62" t="s">
        <v>77</v>
      </c>
      <c r="CL29" s="62">
        <v>2359.6499999999996</v>
      </c>
      <c r="CM29" s="62">
        <v>1318.85</v>
      </c>
      <c r="CN29" s="61">
        <f>IF((CL28-CL29)&lt;0,(CL28-CL29),0)</f>
        <v>0</v>
      </c>
      <c r="CO29" s="101">
        <f>IF((CM28-CM29)&lt;0,(CM28-CM29),0)</f>
        <v>0</v>
      </c>
    </row>
    <row r="30" spans="2:93">
      <c r="B30" s="477">
        <f>skemA3!B30</f>
        <v>44734</v>
      </c>
      <c r="C30" s="66">
        <f>'Tabel 6'!E31</f>
        <v>1</v>
      </c>
      <c r="D30" s="66">
        <f>skemA3!D68</f>
        <v>483.70000000000027</v>
      </c>
      <c r="E30" s="480">
        <f t="shared" si="0"/>
        <v>483.70000000000027</v>
      </c>
      <c r="F30" s="480">
        <f t="shared" si="1"/>
        <v>0</v>
      </c>
      <c r="H30" s="477">
        <f>skemA3!B30</f>
        <v>44734</v>
      </c>
      <c r="I30" s="66">
        <f>'Tabel 6'!E31</f>
        <v>1</v>
      </c>
      <c r="J30" s="481">
        <f>skemA3!E68</f>
        <v>839.09999999999945</v>
      </c>
      <c r="K30" s="480">
        <f t="shared" si="2"/>
        <v>839.09999999999945</v>
      </c>
      <c r="L30" s="480">
        <f t="shared" si="3"/>
        <v>0</v>
      </c>
      <c r="N30" s="477">
        <f>skemA3!B30</f>
        <v>44734</v>
      </c>
      <c r="O30" s="66">
        <f>'Tabel 6'!F31</f>
        <v>1</v>
      </c>
      <c r="P30" s="481">
        <f t="shared" si="4"/>
        <v>483.70000000000027</v>
      </c>
      <c r="Q30" s="480">
        <f t="shared" si="5"/>
        <v>483.70000000000027</v>
      </c>
      <c r="R30" s="480">
        <f t="shared" si="6"/>
        <v>0</v>
      </c>
      <c r="T30" s="477">
        <f>skemA3!B30</f>
        <v>44734</v>
      </c>
      <c r="U30" s="66">
        <f t="shared" si="7"/>
        <v>1</v>
      </c>
      <c r="V30" s="481">
        <f t="shared" si="8"/>
        <v>839.09999999999945</v>
      </c>
      <c r="W30" s="480">
        <f t="shared" si="9"/>
        <v>839.09999999999945</v>
      </c>
      <c r="X30" s="480">
        <f t="shared" si="10"/>
        <v>0</v>
      </c>
      <c r="Y30" s="483"/>
      <c r="Z30" s="477">
        <f>skemA3!B30</f>
        <v>44734</v>
      </c>
      <c r="AA30" s="66">
        <f>'Tabel 6'!G31</f>
        <v>1</v>
      </c>
      <c r="AB30" s="481">
        <f t="shared" si="11"/>
        <v>483.70000000000027</v>
      </c>
      <c r="AC30" s="480">
        <f t="shared" si="12"/>
        <v>483.70000000000027</v>
      </c>
      <c r="AD30" s="480">
        <f t="shared" si="13"/>
        <v>0</v>
      </c>
      <c r="AE30" s="483"/>
      <c r="AF30" s="477">
        <f>skemA3!B30</f>
        <v>44734</v>
      </c>
      <c r="AG30" s="66">
        <f t="shared" si="14"/>
        <v>1</v>
      </c>
      <c r="AH30" s="481">
        <f t="shared" si="15"/>
        <v>839.09999999999945</v>
      </c>
      <c r="AI30" s="480">
        <f t="shared" si="16"/>
        <v>839.09999999999945</v>
      </c>
      <c r="AJ30" s="480">
        <f t="shared" si="17"/>
        <v>0</v>
      </c>
      <c r="AL30" s="477">
        <f>skemA3!B30</f>
        <v>44734</v>
      </c>
      <c r="AM30" s="66">
        <f>'Tabel 6'!H31</f>
        <v>1</v>
      </c>
      <c r="AN30" s="481">
        <f t="shared" si="18"/>
        <v>483.70000000000027</v>
      </c>
      <c r="AO30" s="480">
        <f t="shared" si="19"/>
        <v>483.70000000000027</v>
      </c>
      <c r="AP30" s="480">
        <f t="shared" si="20"/>
        <v>0</v>
      </c>
      <c r="AR30" s="477">
        <f>skemA3!B30</f>
        <v>44734</v>
      </c>
      <c r="AS30" s="66">
        <f t="shared" si="21"/>
        <v>1</v>
      </c>
      <c r="AT30" s="481">
        <f t="shared" si="22"/>
        <v>839.09999999999945</v>
      </c>
      <c r="AU30" s="480">
        <f t="shared" si="23"/>
        <v>839.09999999999945</v>
      </c>
      <c r="AV30" s="480">
        <f t="shared" si="24"/>
        <v>0</v>
      </c>
      <c r="AX30" s="477">
        <f>skemA3!B30</f>
        <v>44734</v>
      </c>
      <c r="AY30" s="66">
        <f>'Tabel 6'!I31</f>
        <v>-1</v>
      </c>
      <c r="AZ30" s="481">
        <f t="shared" si="25"/>
        <v>483.70000000000027</v>
      </c>
      <c r="BA30" s="480">
        <f t="shared" si="26"/>
        <v>0</v>
      </c>
      <c r="BB30" s="480">
        <f t="shared" si="27"/>
        <v>483.70000000000027</v>
      </c>
      <c r="BD30" s="477">
        <f>skemA3!B30</f>
        <v>44734</v>
      </c>
      <c r="BE30" s="66">
        <f t="shared" si="28"/>
        <v>-1</v>
      </c>
      <c r="BF30" s="481">
        <f t="shared" si="29"/>
        <v>839.09999999999945</v>
      </c>
      <c r="BG30" s="480">
        <f t="shared" si="30"/>
        <v>0</v>
      </c>
      <c r="BH30" s="480">
        <f t="shared" si="31"/>
        <v>839.09999999999945</v>
      </c>
      <c r="BJ30" s="477">
        <f>skemA3!B30</f>
        <v>44734</v>
      </c>
      <c r="BK30" s="66">
        <f>'Tabel 6'!J31</f>
        <v>-1</v>
      </c>
      <c r="BL30" s="481">
        <f t="shared" si="32"/>
        <v>483.70000000000027</v>
      </c>
      <c r="BM30" s="480">
        <f t="shared" si="33"/>
        <v>0</v>
      </c>
      <c r="BN30" s="480">
        <f t="shared" si="34"/>
        <v>483.70000000000027</v>
      </c>
      <c r="BP30" s="477">
        <f>skemA3!B30</f>
        <v>44734</v>
      </c>
      <c r="BQ30" s="66">
        <f t="shared" si="35"/>
        <v>-1</v>
      </c>
      <c r="BR30" s="481">
        <f t="shared" si="36"/>
        <v>839.09999999999945</v>
      </c>
      <c r="BS30" s="480">
        <f t="shared" si="37"/>
        <v>0</v>
      </c>
      <c r="BT30" s="480">
        <f t="shared" si="38"/>
        <v>839.09999999999945</v>
      </c>
      <c r="BU30" s="486"/>
      <c r="BV30" s="477">
        <f>skemA3!B30</f>
        <v>44734</v>
      </c>
      <c r="BW30" s="66">
        <f>'Tabel 6'!K31</f>
        <v>1</v>
      </c>
      <c r="BX30" s="481">
        <f t="shared" si="39"/>
        <v>483.70000000000027</v>
      </c>
      <c r="BY30" s="480">
        <f t="shared" si="40"/>
        <v>483.70000000000027</v>
      </c>
      <c r="BZ30" s="480">
        <f t="shared" si="41"/>
        <v>0</v>
      </c>
      <c r="CB30" s="477">
        <f>skemA3!B30</f>
        <v>44734</v>
      </c>
      <c r="CC30" s="66">
        <f t="shared" si="42"/>
        <v>1</v>
      </c>
      <c r="CD30" s="481">
        <f t="shared" si="43"/>
        <v>839.09999999999945</v>
      </c>
      <c r="CE30" s="480">
        <f t="shared" si="44"/>
        <v>839.09999999999945</v>
      </c>
      <c r="CF30" s="480">
        <f t="shared" si="45"/>
        <v>0</v>
      </c>
      <c r="CG30" s="487"/>
      <c r="CH30" s="487"/>
      <c r="CI30" s="487"/>
      <c r="CJ30" s="688">
        <v>42</v>
      </c>
      <c r="CK30" s="61" t="s">
        <v>76</v>
      </c>
      <c r="CL30" s="61">
        <f t="array" ref="CL30:CL31">TRANSPOSE(Q100:R100)</f>
        <v>683.30000000000041</v>
      </c>
      <c r="CM30" s="61">
        <f t="array" ref="CM30:CM31">TRANSPOSE(W100:X100)</f>
        <v>1672.3000000000009</v>
      </c>
      <c r="CN30" s="66">
        <f>IF((CL30-CL31+CL32)&gt;0,(CL30-CL31+CL32),0)</f>
        <v>75.2999999999995</v>
      </c>
      <c r="CO30" s="102">
        <f>IF((CM30-CM31+CM32)&gt;0,(CM30-CM31+CM32),0)</f>
        <v>650.45000000000141</v>
      </c>
    </row>
    <row r="31" spans="2:93">
      <c r="B31" s="477">
        <f>skemA3!B31</f>
        <v>44735</v>
      </c>
      <c r="C31" s="66">
        <f>'Tabel 6'!E32</f>
        <v>1</v>
      </c>
      <c r="D31" s="66">
        <f>skemA3!D69</f>
        <v>324.00000000000068</v>
      </c>
      <c r="E31" s="480">
        <f t="shared" si="0"/>
        <v>324.00000000000068</v>
      </c>
      <c r="F31" s="480">
        <f t="shared" si="1"/>
        <v>0</v>
      </c>
      <c r="H31" s="477">
        <f>skemA3!B31</f>
        <v>44735</v>
      </c>
      <c r="I31" s="66">
        <f>'Tabel 6'!E32</f>
        <v>1</v>
      </c>
      <c r="J31" s="481">
        <f>skemA3!E69</f>
        <v>667.80000000000018</v>
      </c>
      <c r="K31" s="480">
        <f t="shared" si="2"/>
        <v>667.80000000000018</v>
      </c>
      <c r="L31" s="480">
        <f t="shared" si="3"/>
        <v>0</v>
      </c>
      <c r="N31" s="477">
        <f>skemA3!B31</f>
        <v>44735</v>
      </c>
      <c r="O31" s="66">
        <f>'Tabel 6'!F32</f>
        <v>1</v>
      </c>
      <c r="P31" s="481">
        <f t="shared" si="4"/>
        <v>324.00000000000068</v>
      </c>
      <c r="Q31" s="480">
        <f t="shared" si="5"/>
        <v>324.00000000000068</v>
      </c>
      <c r="R31" s="480">
        <f t="shared" si="6"/>
        <v>0</v>
      </c>
      <c r="T31" s="477">
        <f>skemA3!B31</f>
        <v>44735</v>
      </c>
      <c r="U31" s="66">
        <f t="shared" si="7"/>
        <v>1</v>
      </c>
      <c r="V31" s="481">
        <f t="shared" si="8"/>
        <v>667.80000000000018</v>
      </c>
      <c r="W31" s="480">
        <f t="shared" si="9"/>
        <v>667.80000000000018</v>
      </c>
      <c r="X31" s="480">
        <f t="shared" si="10"/>
        <v>0</v>
      </c>
      <c r="Y31" s="483"/>
      <c r="Z31" s="477">
        <f>skemA3!B31</f>
        <v>44735</v>
      </c>
      <c r="AA31" s="66">
        <f>'Tabel 6'!G32</f>
        <v>1</v>
      </c>
      <c r="AB31" s="481">
        <f t="shared" si="11"/>
        <v>324.00000000000068</v>
      </c>
      <c r="AC31" s="480">
        <f t="shared" si="12"/>
        <v>324.00000000000068</v>
      </c>
      <c r="AD31" s="480">
        <f t="shared" si="13"/>
        <v>0</v>
      </c>
      <c r="AE31" s="483"/>
      <c r="AF31" s="477">
        <f>skemA3!B31</f>
        <v>44735</v>
      </c>
      <c r="AG31" s="66">
        <f t="shared" si="14"/>
        <v>1</v>
      </c>
      <c r="AH31" s="481">
        <f t="shared" si="15"/>
        <v>667.80000000000018</v>
      </c>
      <c r="AI31" s="480">
        <f t="shared" si="16"/>
        <v>667.80000000000018</v>
      </c>
      <c r="AJ31" s="480">
        <f t="shared" si="17"/>
        <v>0</v>
      </c>
      <c r="AL31" s="477">
        <f>skemA3!B31</f>
        <v>44735</v>
      </c>
      <c r="AM31" s="66">
        <f>'Tabel 6'!H32</f>
        <v>1</v>
      </c>
      <c r="AN31" s="481">
        <f t="shared" si="18"/>
        <v>324.00000000000068</v>
      </c>
      <c r="AO31" s="480">
        <f t="shared" si="19"/>
        <v>324.00000000000068</v>
      </c>
      <c r="AP31" s="480">
        <f t="shared" si="20"/>
        <v>0</v>
      </c>
      <c r="AR31" s="477">
        <f>skemA3!B31</f>
        <v>44735</v>
      </c>
      <c r="AS31" s="66">
        <f t="shared" si="21"/>
        <v>1</v>
      </c>
      <c r="AT31" s="481">
        <f t="shared" si="22"/>
        <v>667.80000000000018</v>
      </c>
      <c r="AU31" s="480">
        <f t="shared" si="23"/>
        <v>667.80000000000018</v>
      </c>
      <c r="AV31" s="480">
        <f t="shared" si="24"/>
        <v>0</v>
      </c>
      <c r="AX31" s="477">
        <f>skemA3!B31</f>
        <v>44735</v>
      </c>
      <c r="AY31" s="66">
        <f>'Tabel 6'!I32</f>
        <v>-1</v>
      </c>
      <c r="AZ31" s="481">
        <f t="shared" si="25"/>
        <v>324.00000000000068</v>
      </c>
      <c r="BA31" s="480">
        <f t="shared" si="26"/>
        <v>0</v>
      </c>
      <c r="BB31" s="480">
        <f t="shared" si="27"/>
        <v>324.00000000000068</v>
      </c>
      <c r="BD31" s="477">
        <f>skemA3!B31</f>
        <v>44735</v>
      </c>
      <c r="BE31" s="66">
        <f t="shared" si="28"/>
        <v>-1</v>
      </c>
      <c r="BF31" s="481">
        <f t="shared" si="29"/>
        <v>667.80000000000018</v>
      </c>
      <c r="BG31" s="480">
        <f t="shared" si="30"/>
        <v>0</v>
      </c>
      <c r="BH31" s="480">
        <f t="shared" si="31"/>
        <v>667.80000000000018</v>
      </c>
      <c r="BJ31" s="477">
        <f>skemA3!B31</f>
        <v>44735</v>
      </c>
      <c r="BK31" s="66">
        <f>'Tabel 6'!J32</f>
        <v>-1</v>
      </c>
      <c r="BL31" s="481">
        <f t="shared" si="32"/>
        <v>324.00000000000068</v>
      </c>
      <c r="BM31" s="480">
        <f t="shared" si="33"/>
        <v>0</v>
      </c>
      <c r="BN31" s="480">
        <f t="shared" si="34"/>
        <v>324.00000000000068</v>
      </c>
      <c r="BP31" s="477">
        <f>skemA3!B31</f>
        <v>44735</v>
      </c>
      <c r="BQ31" s="66">
        <f t="shared" si="35"/>
        <v>-1</v>
      </c>
      <c r="BR31" s="481">
        <f t="shared" si="36"/>
        <v>667.80000000000018</v>
      </c>
      <c r="BS31" s="480">
        <f t="shared" si="37"/>
        <v>0</v>
      </c>
      <c r="BT31" s="480">
        <f t="shared" si="38"/>
        <v>667.80000000000018</v>
      </c>
      <c r="BU31" s="486"/>
      <c r="BV31" s="477">
        <f>skemA3!B31</f>
        <v>44735</v>
      </c>
      <c r="BW31" s="66">
        <f>'Tabel 6'!K32</f>
        <v>1</v>
      </c>
      <c r="BX31" s="481">
        <f t="shared" si="39"/>
        <v>324.00000000000068</v>
      </c>
      <c r="BY31" s="480">
        <f t="shared" si="40"/>
        <v>324.00000000000068</v>
      </c>
      <c r="BZ31" s="480">
        <f t="shared" si="41"/>
        <v>0</v>
      </c>
      <c r="CB31" s="477">
        <f>skemA3!B31</f>
        <v>44735</v>
      </c>
      <c r="CC31" s="66">
        <f t="shared" si="42"/>
        <v>1</v>
      </c>
      <c r="CD31" s="481">
        <f t="shared" si="43"/>
        <v>667.80000000000018</v>
      </c>
      <c r="CE31" s="480">
        <f t="shared" si="44"/>
        <v>667.80000000000018</v>
      </c>
      <c r="CF31" s="480">
        <f t="shared" si="45"/>
        <v>0</v>
      </c>
      <c r="CG31" s="487"/>
      <c r="CH31" s="487"/>
      <c r="CI31" s="487"/>
      <c r="CJ31" s="688"/>
      <c r="CK31" s="61" t="s">
        <v>77</v>
      </c>
      <c r="CL31" s="61">
        <v>708.00000000000091</v>
      </c>
      <c r="CM31" s="61">
        <v>1221.8499999999995</v>
      </c>
      <c r="CN31" s="61">
        <f>IF((CL30-CL31+CL32)&lt;0,(CL30-CL31+CL32),0)</f>
        <v>0</v>
      </c>
      <c r="CO31" s="101">
        <f>IF((CM30-CM31+CM32)&lt;0,(CM30-CM31+CM32),0)</f>
        <v>0</v>
      </c>
    </row>
    <row r="32" spans="2:93">
      <c r="B32" s="477">
        <f>skemA3!B32</f>
        <v>44736</v>
      </c>
      <c r="C32" s="66">
        <f>'Tabel 6'!E33</f>
        <v>1</v>
      </c>
      <c r="D32" s="66">
        <f>skemA3!D70</f>
        <v>247.2000000000005</v>
      </c>
      <c r="E32" s="480">
        <f t="shared" si="0"/>
        <v>247.2000000000005</v>
      </c>
      <c r="F32" s="480">
        <f t="shared" si="1"/>
        <v>0</v>
      </c>
      <c r="H32" s="477">
        <f>skemA3!B32</f>
        <v>44736</v>
      </c>
      <c r="I32" s="66">
        <f>'Tabel 6'!E33</f>
        <v>1</v>
      </c>
      <c r="J32" s="481">
        <f>skemA3!E70</f>
        <v>570.40000000000009</v>
      </c>
      <c r="K32" s="480">
        <f t="shared" si="2"/>
        <v>570.40000000000009</v>
      </c>
      <c r="L32" s="480">
        <f t="shared" si="3"/>
        <v>0</v>
      </c>
      <c r="N32" s="477">
        <f>skemA3!B32</f>
        <v>44736</v>
      </c>
      <c r="O32" s="66">
        <f>'Tabel 6'!F33</f>
        <v>1</v>
      </c>
      <c r="P32" s="481">
        <f t="shared" si="4"/>
        <v>247.2000000000005</v>
      </c>
      <c r="Q32" s="480">
        <f t="shared" si="5"/>
        <v>247.2000000000005</v>
      </c>
      <c r="R32" s="480">
        <f t="shared" si="6"/>
        <v>0</v>
      </c>
      <c r="T32" s="477">
        <f>skemA3!B32</f>
        <v>44736</v>
      </c>
      <c r="U32" s="66">
        <f t="shared" si="7"/>
        <v>1</v>
      </c>
      <c r="V32" s="481">
        <f t="shared" si="8"/>
        <v>570.40000000000009</v>
      </c>
      <c r="W32" s="480">
        <f t="shared" si="9"/>
        <v>570.40000000000009</v>
      </c>
      <c r="X32" s="480">
        <f t="shared" si="10"/>
        <v>0</v>
      </c>
      <c r="Y32" s="483"/>
      <c r="Z32" s="477">
        <f>skemA3!B32</f>
        <v>44736</v>
      </c>
      <c r="AA32" s="66">
        <f>'Tabel 6'!G33</f>
        <v>1</v>
      </c>
      <c r="AB32" s="481">
        <f t="shared" si="11"/>
        <v>247.2000000000005</v>
      </c>
      <c r="AC32" s="480">
        <f t="shared" si="12"/>
        <v>247.2000000000005</v>
      </c>
      <c r="AD32" s="480">
        <f t="shared" si="13"/>
        <v>0</v>
      </c>
      <c r="AE32" s="483"/>
      <c r="AF32" s="477">
        <f>skemA3!B32</f>
        <v>44736</v>
      </c>
      <c r="AG32" s="66">
        <f t="shared" si="14"/>
        <v>1</v>
      </c>
      <c r="AH32" s="481">
        <f t="shared" si="15"/>
        <v>570.40000000000009</v>
      </c>
      <c r="AI32" s="480">
        <f t="shared" si="16"/>
        <v>570.40000000000009</v>
      </c>
      <c r="AJ32" s="480">
        <f t="shared" si="17"/>
        <v>0</v>
      </c>
      <c r="AL32" s="477">
        <f>skemA3!B32</f>
        <v>44736</v>
      </c>
      <c r="AM32" s="66">
        <f>'Tabel 6'!H33</f>
        <v>-1</v>
      </c>
      <c r="AN32" s="481">
        <f t="shared" si="18"/>
        <v>247.2000000000005</v>
      </c>
      <c r="AO32" s="480">
        <f t="shared" si="19"/>
        <v>0</v>
      </c>
      <c r="AP32" s="480">
        <f t="shared" si="20"/>
        <v>247.2000000000005</v>
      </c>
      <c r="AR32" s="477">
        <f>skemA3!B32</f>
        <v>44736</v>
      </c>
      <c r="AS32" s="66">
        <f t="shared" si="21"/>
        <v>-1</v>
      </c>
      <c r="AT32" s="481">
        <f t="shared" si="22"/>
        <v>570.40000000000009</v>
      </c>
      <c r="AU32" s="480">
        <f t="shared" si="23"/>
        <v>0</v>
      </c>
      <c r="AV32" s="480">
        <f t="shared" si="24"/>
        <v>570.40000000000009</v>
      </c>
      <c r="AX32" s="477">
        <f>skemA3!B32</f>
        <v>44736</v>
      </c>
      <c r="AY32" s="66">
        <f>'Tabel 6'!I33</f>
        <v>-1</v>
      </c>
      <c r="AZ32" s="481">
        <f t="shared" si="25"/>
        <v>247.2000000000005</v>
      </c>
      <c r="BA32" s="480">
        <f t="shared" si="26"/>
        <v>0</v>
      </c>
      <c r="BB32" s="480">
        <f t="shared" si="27"/>
        <v>247.2000000000005</v>
      </c>
      <c r="BD32" s="477">
        <f>skemA3!B32</f>
        <v>44736</v>
      </c>
      <c r="BE32" s="66">
        <f t="shared" si="28"/>
        <v>-1</v>
      </c>
      <c r="BF32" s="481">
        <f t="shared" si="29"/>
        <v>570.40000000000009</v>
      </c>
      <c r="BG32" s="480">
        <f t="shared" si="30"/>
        <v>0</v>
      </c>
      <c r="BH32" s="480">
        <f t="shared" si="31"/>
        <v>570.40000000000009</v>
      </c>
      <c r="BJ32" s="477">
        <f>skemA3!B32</f>
        <v>44736</v>
      </c>
      <c r="BK32" s="66">
        <f>'Tabel 6'!J33</f>
        <v>1</v>
      </c>
      <c r="BL32" s="481">
        <f t="shared" si="32"/>
        <v>247.2000000000005</v>
      </c>
      <c r="BM32" s="480">
        <f t="shared" si="33"/>
        <v>247.2000000000005</v>
      </c>
      <c r="BN32" s="480">
        <f t="shared" si="34"/>
        <v>0</v>
      </c>
      <c r="BP32" s="477">
        <f>skemA3!B32</f>
        <v>44736</v>
      </c>
      <c r="BQ32" s="66">
        <f t="shared" si="35"/>
        <v>1</v>
      </c>
      <c r="BR32" s="481">
        <f t="shared" si="36"/>
        <v>570.40000000000009</v>
      </c>
      <c r="BS32" s="480">
        <f t="shared" si="37"/>
        <v>570.40000000000009</v>
      </c>
      <c r="BT32" s="480">
        <f t="shared" si="38"/>
        <v>0</v>
      </c>
      <c r="BU32" s="486"/>
      <c r="BV32" s="477">
        <f>skemA3!B32</f>
        <v>44736</v>
      </c>
      <c r="BW32" s="66">
        <f>'Tabel 6'!K33</f>
        <v>1</v>
      </c>
      <c r="BX32" s="481">
        <f t="shared" si="39"/>
        <v>247.2000000000005</v>
      </c>
      <c r="BY32" s="480">
        <f t="shared" si="40"/>
        <v>247.2000000000005</v>
      </c>
      <c r="BZ32" s="480">
        <f t="shared" si="41"/>
        <v>0</v>
      </c>
      <c r="CB32" s="477">
        <f>skemA3!B32</f>
        <v>44736</v>
      </c>
      <c r="CC32" s="66">
        <f t="shared" si="42"/>
        <v>1</v>
      </c>
      <c r="CD32" s="481">
        <f t="shared" si="43"/>
        <v>570.40000000000009</v>
      </c>
      <c r="CE32" s="480">
        <f t="shared" si="44"/>
        <v>570.40000000000009</v>
      </c>
      <c r="CF32" s="480">
        <f t="shared" si="45"/>
        <v>0</v>
      </c>
      <c r="CG32" s="487"/>
      <c r="CH32" s="487"/>
      <c r="CI32" s="487"/>
      <c r="CJ32" s="688"/>
      <c r="CK32" s="61" t="s">
        <v>76</v>
      </c>
      <c r="CL32" s="61">
        <f>ABS(skemA3!H42*'Tabel 6'!F4)</f>
        <v>100</v>
      </c>
      <c r="CM32" s="61">
        <f>ABS(skemA3!I42*'Tabel 6'!F4)</f>
        <v>200</v>
      </c>
      <c r="CN32" s="62"/>
      <c r="CO32" s="103"/>
    </row>
    <row r="33" spans="2:93">
      <c r="B33" s="477">
        <f>skemA3!B33</f>
        <v>44737</v>
      </c>
      <c r="C33" s="66">
        <f>'Tabel 6'!E34</f>
        <v>1</v>
      </c>
      <c r="D33" s="66">
        <f>skemA3!D71</f>
        <v>210.69999999999959</v>
      </c>
      <c r="E33" s="480">
        <f t="shared" si="0"/>
        <v>210.69999999999959</v>
      </c>
      <c r="F33" s="480">
        <f t="shared" si="1"/>
        <v>0</v>
      </c>
      <c r="H33" s="477">
        <f>skemA3!B33</f>
        <v>44737</v>
      </c>
      <c r="I33" s="66">
        <f>'Tabel 6'!E34</f>
        <v>1</v>
      </c>
      <c r="J33" s="481">
        <f>skemA3!E71</f>
        <v>452.09999999999991</v>
      </c>
      <c r="K33" s="480">
        <f t="shared" si="2"/>
        <v>452.09999999999991</v>
      </c>
      <c r="L33" s="480">
        <f t="shared" si="3"/>
        <v>0</v>
      </c>
      <c r="N33" s="477">
        <f>skemA3!B33</f>
        <v>44737</v>
      </c>
      <c r="O33" s="66">
        <f>'Tabel 6'!F34</f>
        <v>1</v>
      </c>
      <c r="P33" s="481">
        <f t="shared" si="4"/>
        <v>210.69999999999959</v>
      </c>
      <c r="Q33" s="480">
        <f t="shared" si="5"/>
        <v>210.69999999999959</v>
      </c>
      <c r="R33" s="480">
        <f t="shared" si="6"/>
        <v>0</v>
      </c>
      <c r="T33" s="477">
        <f>skemA3!B33</f>
        <v>44737</v>
      </c>
      <c r="U33" s="66">
        <f t="shared" si="7"/>
        <v>1</v>
      </c>
      <c r="V33" s="481">
        <f t="shared" si="8"/>
        <v>452.09999999999991</v>
      </c>
      <c r="W33" s="480">
        <f t="shared" si="9"/>
        <v>452.09999999999991</v>
      </c>
      <c r="X33" s="480">
        <f t="shared" si="10"/>
        <v>0</v>
      </c>
      <c r="Y33" s="483"/>
      <c r="Z33" s="477">
        <f>skemA3!B33</f>
        <v>44737</v>
      </c>
      <c r="AA33" s="66">
        <f>'Tabel 6'!G34</f>
        <v>0</v>
      </c>
      <c r="AB33" s="481">
        <f t="shared" si="11"/>
        <v>210.69999999999959</v>
      </c>
      <c r="AC33" s="480">
        <f t="shared" si="12"/>
        <v>0</v>
      </c>
      <c r="AD33" s="480">
        <f t="shared" si="13"/>
        <v>0</v>
      </c>
      <c r="AE33" s="483"/>
      <c r="AF33" s="477">
        <f>skemA3!B33</f>
        <v>44737</v>
      </c>
      <c r="AG33" s="66">
        <f t="shared" si="14"/>
        <v>0</v>
      </c>
      <c r="AH33" s="481">
        <f t="shared" si="15"/>
        <v>452.09999999999991</v>
      </c>
      <c r="AI33" s="480">
        <f t="shared" si="16"/>
        <v>0</v>
      </c>
      <c r="AJ33" s="480">
        <f t="shared" si="17"/>
        <v>0</v>
      </c>
      <c r="AL33" s="477">
        <f>skemA3!B33</f>
        <v>44737</v>
      </c>
      <c r="AM33" s="66">
        <f>'Tabel 6'!H34</f>
        <v>-1</v>
      </c>
      <c r="AN33" s="481">
        <f t="shared" si="18"/>
        <v>210.69999999999959</v>
      </c>
      <c r="AO33" s="480">
        <f t="shared" si="19"/>
        <v>0</v>
      </c>
      <c r="AP33" s="480">
        <f t="shared" si="20"/>
        <v>210.69999999999959</v>
      </c>
      <c r="AR33" s="477">
        <f>skemA3!B33</f>
        <v>44737</v>
      </c>
      <c r="AS33" s="66">
        <f t="shared" si="21"/>
        <v>-1</v>
      </c>
      <c r="AT33" s="481">
        <f t="shared" si="22"/>
        <v>452.09999999999991</v>
      </c>
      <c r="AU33" s="480">
        <f t="shared" si="23"/>
        <v>0</v>
      </c>
      <c r="AV33" s="480">
        <f t="shared" si="24"/>
        <v>452.09999999999991</v>
      </c>
      <c r="AX33" s="477">
        <f>skemA3!B33</f>
        <v>44737</v>
      </c>
      <c r="AY33" s="66">
        <f>'Tabel 6'!I34</f>
        <v>-1</v>
      </c>
      <c r="AZ33" s="481">
        <f t="shared" si="25"/>
        <v>210.69999999999959</v>
      </c>
      <c r="BA33" s="480">
        <f t="shared" si="26"/>
        <v>0</v>
      </c>
      <c r="BB33" s="480">
        <f t="shared" si="27"/>
        <v>210.69999999999959</v>
      </c>
      <c r="BD33" s="477">
        <f>skemA3!B33</f>
        <v>44737</v>
      </c>
      <c r="BE33" s="66">
        <f t="shared" si="28"/>
        <v>-1</v>
      </c>
      <c r="BF33" s="481">
        <f t="shared" si="29"/>
        <v>452.09999999999991</v>
      </c>
      <c r="BG33" s="480">
        <f t="shared" si="30"/>
        <v>0</v>
      </c>
      <c r="BH33" s="480">
        <f t="shared" si="31"/>
        <v>452.09999999999991</v>
      </c>
      <c r="BJ33" s="477">
        <f>skemA3!B33</f>
        <v>44737</v>
      </c>
      <c r="BK33" s="66">
        <f>'Tabel 6'!J34</f>
        <v>1</v>
      </c>
      <c r="BL33" s="481">
        <f t="shared" si="32"/>
        <v>210.69999999999959</v>
      </c>
      <c r="BM33" s="480">
        <f t="shared" si="33"/>
        <v>210.69999999999959</v>
      </c>
      <c r="BN33" s="480">
        <f t="shared" si="34"/>
        <v>0</v>
      </c>
      <c r="BP33" s="477">
        <f>skemA3!B33</f>
        <v>44737</v>
      </c>
      <c r="BQ33" s="66">
        <f t="shared" si="35"/>
        <v>1</v>
      </c>
      <c r="BR33" s="481">
        <f t="shared" si="36"/>
        <v>452.09999999999991</v>
      </c>
      <c r="BS33" s="480">
        <f t="shared" si="37"/>
        <v>452.09999999999991</v>
      </c>
      <c r="BT33" s="480">
        <f t="shared" si="38"/>
        <v>0</v>
      </c>
      <c r="BU33" s="486"/>
      <c r="BV33" s="477">
        <f>skemA3!B33</f>
        <v>44737</v>
      </c>
      <c r="BW33" s="66">
        <f>'Tabel 6'!K34</f>
        <v>0</v>
      </c>
      <c r="BX33" s="481">
        <f t="shared" si="39"/>
        <v>210.69999999999959</v>
      </c>
      <c r="BY33" s="480">
        <f t="shared" si="40"/>
        <v>0</v>
      </c>
      <c r="BZ33" s="480">
        <f t="shared" si="41"/>
        <v>0</v>
      </c>
      <c r="CB33" s="477">
        <f>skemA3!B33</f>
        <v>44737</v>
      </c>
      <c r="CC33" s="66">
        <f t="shared" si="42"/>
        <v>0</v>
      </c>
      <c r="CD33" s="481">
        <f t="shared" si="43"/>
        <v>452.09999999999991</v>
      </c>
      <c r="CE33" s="480">
        <f t="shared" si="44"/>
        <v>0</v>
      </c>
      <c r="CF33" s="480">
        <f t="shared" si="45"/>
        <v>0</v>
      </c>
      <c r="CG33" s="487"/>
      <c r="CH33" s="487"/>
      <c r="CI33" s="487"/>
      <c r="CJ33" s="689" t="s">
        <v>142</v>
      </c>
      <c r="CK33" s="66" t="s">
        <v>76</v>
      </c>
      <c r="CL33" s="66">
        <f t="array" ref="CL33:CL34">TRANSPOSE(AC100:AD100)</f>
        <v>594.90000000000032</v>
      </c>
      <c r="CM33" s="66">
        <f t="array" ref="CM33:CM34">TRANSPOSE(AI100:AJ100)</f>
        <v>1121.1999999999998</v>
      </c>
      <c r="CN33" s="61">
        <f>IF((CL33-CL34)&gt;0,(CL33-CL34),0)</f>
        <v>80.099999999999682</v>
      </c>
      <c r="CO33" s="101">
        <f>IF((CM33-CM34)&gt;0,(CM33-CM34),0)</f>
        <v>0</v>
      </c>
    </row>
    <row r="34" spans="2:93" ht="15">
      <c r="B34" s="83" t="s">
        <v>85</v>
      </c>
      <c r="C34" s="91"/>
      <c r="D34" s="83">
        <f>SUM(D5:D19)</f>
        <v>7920.7500000000018</v>
      </c>
      <c r="E34" s="94">
        <f>SUM(E5:E19)</f>
        <v>7920.7500000000018</v>
      </c>
      <c r="F34" s="95">
        <f>SUM(F5:F19)</f>
        <v>0</v>
      </c>
      <c r="H34" s="83" t="s">
        <v>85</v>
      </c>
      <c r="I34" s="91"/>
      <c r="J34" s="83">
        <f>SUM(J5:J19)</f>
        <v>9666.5499999999975</v>
      </c>
      <c r="K34" s="94">
        <f>SUM(K5:K19)</f>
        <v>9666.5499999999975</v>
      </c>
      <c r="L34" s="95">
        <f>SUM(L5:L19)</f>
        <v>0</v>
      </c>
      <c r="N34" s="83" t="s">
        <v>85</v>
      </c>
      <c r="O34" s="91"/>
      <c r="P34" s="83">
        <f>SUM(P5:P19)</f>
        <v>7920.7500000000018</v>
      </c>
      <c r="Q34" s="94">
        <f>SUM(Q5:Q19)</f>
        <v>2809.8999999999996</v>
      </c>
      <c r="R34" s="95">
        <f>SUM(R5:R19)</f>
        <v>5110.8500000000004</v>
      </c>
      <c r="T34" s="83" t="s">
        <v>85</v>
      </c>
      <c r="U34" s="91"/>
      <c r="V34" s="83">
        <f>SUM(V5:V19)</f>
        <v>9666.5499999999975</v>
      </c>
      <c r="W34" s="94">
        <f>SUM(W5:W19)</f>
        <v>5040.0999999999985</v>
      </c>
      <c r="X34" s="95">
        <f>SUM(X5:X19)</f>
        <v>4626.45</v>
      </c>
      <c r="Y34" s="484"/>
      <c r="Z34" s="83" t="s">
        <v>85</v>
      </c>
      <c r="AA34" s="91"/>
      <c r="AB34" s="83">
        <f>SUM(AB5:AB19)</f>
        <v>7920.7500000000018</v>
      </c>
      <c r="AC34" s="94">
        <f>SUM(AC5:AC19)</f>
        <v>3469.2000000000003</v>
      </c>
      <c r="AD34" s="95">
        <f>SUM(AD5:AD19)</f>
        <v>3210.8</v>
      </c>
      <c r="AE34" s="484"/>
      <c r="AF34" s="83" t="s">
        <v>85</v>
      </c>
      <c r="AG34" s="91"/>
      <c r="AH34" s="83">
        <f>SUM(AH5:AH19)</f>
        <v>9666.5499999999975</v>
      </c>
      <c r="AI34" s="94">
        <f>SUM(AI5:AI19)</f>
        <v>5527.7999999999993</v>
      </c>
      <c r="AJ34" s="95">
        <f>SUM(AJ5:AJ19)</f>
        <v>2316.5999999999995</v>
      </c>
      <c r="AL34" s="83" t="s">
        <v>85</v>
      </c>
      <c r="AM34" s="91"/>
      <c r="AN34" s="83">
        <f>SUM(AN5:AN19)</f>
        <v>7920.7500000000018</v>
      </c>
      <c r="AO34" s="94">
        <f>SUM(AO5:AO19)</f>
        <v>3877.2000000000007</v>
      </c>
      <c r="AP34" s="95">
        <f>SUM(AP5:AP19)</f>
        <v>4043.55</v>
      </c>
      <c r="AR34" s="83" t="s">
        <v>85</v>
      </c>
      <c r="AS34" s="91"/>
      <c r="AT34" s="83">
        <f>SUM(AT5:AT19)</f>
        <v>9666.5499999999975</v>
      </c>
      <c r="AU34" s="94">
        <f>SUM(AU5:AU19)</f>
        <v>4376.5999999999985</v>
      </c>
      <c r="AV34" s="95">
        <f>SUM(AV5:AV19)</f>
        <v>5289.9499999999989</v>
      </c>
      <c r="AX34" s="83" t="s">
        <v>85</v>
      </c>
      <c r="AY34" s="91"/>
      <c r="AZ34" s="83">
        <f>SUM(AZ5:AZ19)</f>
        <v>7920.7500000000018</v>
      </c>
      <c r="BA34" s="94">
        <f>SUM(BA5:BA19)</f>
        <v>3854.9999999999995</v>
      </c>
      <c r="BB34" s="95">
        <f>SUM(BB5:BB19)</f>
        <v>3856.650000000001</v>
      </c>
      <c r="BD34" s="83" t="s">
        <v>85</v>
      </c>
      <c r="BE34" s="91"/>
      <c r="BF34" s="83">
        <f>SUM(BF5:BF19)</f>
        <v>9666.5499999999975</v>
      </c>
      <c r="BG34" s="94">
        <f>SUM(BG5:BG19)</f>
        <v>5711.7999999999993</v>
      </c>
      <c r="BH34" s="95">
        <f>SUM(BH5:BH19)</f>
        <v>3316.8499999999995</v>
      </c>
      <c r="BJ34" s="83" t="s">
        <v>85</v>
      </c>
      <c r="BK34" s="91"/>
      <c r="BL34" s="83">
        <f>SUM(BL5:BL19)</f>
        <v>7920.7500000000018</v>
      </c>
      <c r="BM34" s="94">
        <f>SUM(BM5:BM19)</f>
        <v>4146.5500000000011</v>
      </c>
      <c r="BN34" s="95">
        <f>SUM(BN5:BN19)</f>
        <v>3774.2</v>
      </c>
      <c r="BP34" s="83" t="s">
        <v>85</v>
      </c>
      <c r="BQ34" s="91"/>
      <c r="BR34" s="83">
        <f>SUM(BR5:BR19)</f>
        <v>9666.5499999999975</v>
      </c>
      <c r="BS34" s="94">
        <f>SUM(BS5:BS19)</f>
        <v>4784.5499999999993</v>
      </c>
      <c r="BT34" s="95">
        <f>SUM(BT5:BT19)</f>
        <v>4881.9999999999991</v>
      </c>
      <c r="BU34" s="485"/>
      <c r="BV34" s="83" t="s">
        <v>85</v>
      </c>
      <c r="BW34" s="91"/>
      <c r="BX34" s="83">
        <f>SUM(BX5:BX19)</f>
        <v>7920.7500000000018</v>
      </c>
      <c r="BY34" s="94">
        <f>SUM(BY5:BY19)</f>
        <v>3377.3000000000015</v>
      </c>
      <c r="BZ34" s="95">
        <f>SUM(BZ5:BZ19)</f>
        <v>3302.6999999999989</v>
      </c>
      <c r="CB34" s="83" t="s">
        <v>85</v>
      </c>
      <c r="CC34" s="91"/>
      <c r="CD34" s="83">
        <f>SUM(CD5:CD19)</f>
        <v>9666.5499999999975</v>
      </c>
      <c r="CE34" s="94">
        <f>SUM(CE5:CE19)</f>
        <v>4100.5</v>
      </c>
      <c r="CF34" s="95">
        <f>SUM(CF5:CF19)</f>
        <v>3743.8999999999987</v>
      </c>
      <c r="CG34" s="24"/>
      <c r="CH34" s="24"/>
      <c r="CI34" s="24"/>
      <c r="CJ34" s="689"/>
      <c r="CK34" s="62" t="s">
        <v>77</v>
      </c>
      <c r="CL34" s="62">
        <v>514.80000000000064</v>
      </c>
      <c r="CM34" s="62">
        <v>1134.4000000000012</v>
      </c>
      <c r="CN34" s="61">
        <f>IF((CL33-CL34)&lt;0,(CL33-CL34),0)</f>
        <v>0</v>
      </c>
      <c r="CO34" s="101">
        <f>IF((CM33-CM34)&lt;0,(CM33-CM34),0)</f>
        <v>-13.20000000000141</v>
      </c>
    </row>
    <row r="35" spans="2:93">
      <c r="C35" s="97"/>
      <c r="D35" s="97"/>
      <c r="E35" s="97"/>
      <c r="CJ35" s="688">
        <v>44</v>
      </c>
      <c r="CK35" s="61" t="s">
        <v>76</v>
      </c>
      <c r="CL35" s="61">
        <f t="array" ref="CL35:CL36">TRANSPOSE(BM100:BN100)</f>
        <v>741.20000000000118</v>
      </c>
      <c r="CM35" s="61">
        <f t="array" ref="CM35:CM36">TRANSPOSE(BS100:BT100)</f>
        <v>1546.5499999999993</v>
      </c>
      <c r="CN35" s="66">
        <f>IF((CL35-CL36+CL37)&gt;0,(CL35-CL36+CL37),0)</f>
        <v>191.10000000000105</v>
      </c>
      <c r="CO35" s="102">
        <f>IF((CM35-CM36+CM37)&gt;0,(CM35-CM36+CM37),0)</f>
        <v>398.94999999999823</v>
      </c>
    </row>
    <row r="36" spans="2:93" ht="16.5">
      <c r="B36" s="78" t="s">
        <v>86</v>
      </c>
      <c r="C36" s="78" t="s">
        <v>567</v>
      </c>
      <c r="D36" s="676" t="s">
        <v>71</v>
      </c>
      <c r="E36" s="680" t="s">
        <v>579</v>
      </c>
      <c r="F36" s="680"/>
      <c r="H36" s="78" t="s">
        <v>86</v>
      </c>
      <c r="I36" s="78" t="s">
        <v>567</v>
      </c>
      <c r="J36" s="676" t="s">
        <v>72</v>
      </c>
      <c r="K36" s="680" t="s">
        <v>580</v>
      </c>
      <c r="L36" s="680"/>
      <c r="N36" s="78" t="s">
        <v>86</v>
      </c>
      <c r="O36" s="78" t="s">
        <v>567</v>
      </c>
      <c r="P36" s="676" t="s">
        <v>71</v>
      </c>
      <c r="Q36" s="680" t="s">
        <v>116</v>
      </c>
      <c r="R36" s="680"/>
      <c r="T36" s="78" t="s">
        <v>86</v>
      </c>
      <c r="U36" s="78" t="s">
        <v>567</v>
      </c>
      <c r="V36" s="676" t="s">
        <v>72</v>
      </c>
      <c r="W36" s="680" t="s">
        <v>117</v>
      </c>
      <c r="X36" s="680"/>
      <c r="Y36" s="482"/>
      <c r="Z36" s="78" t="s">
        <v>86</v>
      </c>
      <c r="AA36" s="78" t="s">
        <v>567</v>
      </c>
      <c r="AB36" s="676" t="s">
        <v>71</v>
      </c>
      <c r="AC36" s="680" t="s">
        <v>118</v>
      </c>
      <c r="AD36" s="680"/>
      <c r="AE36" s="482"/>
      <c r="AF36" s="78" t="s">
        <v>86</v>
      </c>
      <c r="AG36" s="78" t="s">
        <v>567</v>
      </c>
      <c r="AH36" s="676" t="s">
        <v>72</v>
      </c>
      <c r="AI36" s="680" t="s">
        <v>119</v>
      </c>
      <c r="AJ36" s="680"/>
      <c r="AL36" s="78" t="s">
        <v>86</v>
      </c>
      <c r="AM36" s="78" t="s">
        <v>567</v>
      </c>
      <c r="AN36" s="676" t="s">
        <v>71</v>
      </c>
      <c r="AO36" s="680" t="s">
        <v>114</v>
      </c>
      <c r="AP36" s="680"/>
      <c r="AR36" s="78" t="s">
        <v>86</v>
      </c>
      <c r="AS36" s="78" t="s">
        <v>567</v>
      </c>
      <c r="AT36" s="676" t="s">
        <v>72</v>
      </c>
      <c r="AU36" s="680" t="s">
        <v>115</v>
      </c>
      <c r="AV36" s="680"/>
      <c r="AX36" s="78" t="s">
        <v>86</v>
      </c>
      <c r="AY36" s="78" t="s">
        <v>567</v>
      </c>
      <c r="AZ36" s="676" t="s">
        <v>71</v>
      </c>
      <c r="BA36" s="680" t="s">
        <v>120</v>
      </c>
      <c r="BB36" s="680"/>
      <c r="BD36" s="78" t="s">
        <v>86</v>
      </c>
      <c r="BE36" s="78" t="s">
        <v>567</v>
      </c>
      <c r="BF36" s="676" t="s">
        <v>72</v>
      </c>
      <c r="BG36" s="680" t="s">
        <v>121</v>
      </c>
      <c r="BH36" s="680"/>
      <c r="BJ36" s="78" t="s">
        <v>86</v>
      </c>
      <c r="BK36" s="78" t="s">
        <v>567</v>
      </c>
      <c r="BL36" s="676" t="s">
        <v>71</v>
      </c>
      <c r="BM36" s="680" t="s">
        <v>581</v>
      </c>
      <c r="BN36" s="680"/>
      <c r="BP36" s="78" t="s">
        <v>86</v>
      </c>
      <c r="BQ36" s="78" t="s">
        <v>567</v>
      </c>
      <c r="BR36" s="676" t="s">
        <v>72</v>
      </c>
      <c r="BS36" s="680" t="s">
        <v>582</v>
      </c>
      <c r="BT36" s="680"/>
      <c r="BU36" s="485"/>
      <c r="BV36" s="78" t="s">
        <v>86</v>
      </c>
      <c r="BW36" s="78" t="s">
        <v>567</v>
      </c>
      <c r="BX36" s="676" t="s">
        <v>71</v>
      </c>
      <c r="BY36" s="680" t="s">
        <v>583</v>
      </c>
      <c r="BZ36" s="680"/>
      <c r="CB36" s="78" t="s">
        <v>86</v>
      </c>
      <c r="CC36" s="78" t="s">
        <v>567</v>
      </c>
      <c r="CD36" s="676" t="s">
        <v>72</v>
      </c>
      <c r="CE36" s="680" t="s">
        <v>584</v>
      </c>
      <c r="CF36" s="680"/>
      <c r="CJ36" s="688"/>
      <c r="CK36" s="61" t="s">
        <v>77</v>
      </c>
      <c r="CL36" s="61">
        <v>650.10000000000014</v>
      </c>
      <c r="CM36" s="61">
        <v>1347.600000000001</v>
      </c>
      <c r="CN36" s="61">
        <f>IF((CL35-CL36+CL37)&lt;0,(CL35-CL36+CL37),0)</f>
        <v>0</v>
      </c>
      <c r="CO36" s="101">
        <f>IF((CM35-CM36+CM37)&lt;0,(CM35-CM36+CM37),0)</f>
        <v>0</v>
      </c>
    </row>
    <row r="37" spans="2:93" ht="15">
      <c r="B37" s="78" t="s">
        <v>87</v>
      </c>
      <c r="C37" s="78" t="s">
        <v>568</v>
      </c>
      <c r="D37" s="676"/>
      <c r="E37" s="78" t="s">
        <v>76</v>
      </c>
      <c r="F37" s="78" t="s">
        <v>77</v>
      </c>
      <c r="H37" s="78" t="s">
        <v>87</v>
      </c>
      <c r="I37" s="78" t="s">
        <v>568</v>
      </c>
      <c r="J37" s="676"/>
      <c r="K37" s="78" t="s">
        <v>76</v>
      </c>
      <c r="L37" s="78" t="s">
        <v>77</v>
      </c>
      <c r="N37" s="78" t="s">
        <v>87</v>
      </c>
      <c r="O37" s="78" t="s">
        <v>569</v>
      </c>
      <c r="P37" s="676"/>
      <c r="Q37" s="78" t="s">
        <v>76</v>
      </c>
      <c r="R37" s="78" t="s">
        <v>77</v>
      </c>
      <c r="T37" s="78" t="s">
        <v>87</v>
      </c>
      <c r="U37" s="78" t="s">
        <v>569</v>
      </c>
      <c r="V37" s="676"/>
      <c r="W37" s="78" t="s">
        <v>76</v>
      </c>
      <c r="X37" s="78" t="s">
        <v>77</v>
      </c>
      <c r="Y37" s="482"/>
      <c r="Z37" s="78" t="s">
        <v>87</v>
      </c>
      <c r="AA37" s="78" t="s">
        <v>570</v>
      </c>
      <c r="AB37" s="676"/>
      <c r="AC37" s="78" t="s">
        <v>76</v>
      </c>
      <c r="AD37" s="78" t="s">
        <v>77</v>
      </c>
      <c r="AE37" s="482"/>
      <c r="AF37" s="78" t="s">
        <v>87</v>
      </c>
      <c r="AG37" s="78" t="s">
        <v>570</v>
      </c>
      <c r="AH37" s="676"/>
      <c r="AI37" s="78" t="s">
        <v>76</v>
      </c>
      <c r="AJ37" s="78" t="s">
        <v>77</v>
      </c>
      <c r="AL37" s="78" t="s">
        <v>87</v>
      </c>
      <c r="AM37" s="78" t="s">
        <v>571</v>
      </c>
      <c r="AN37" s="676"/>
      <c r="AO37" s="78" t="s">
        <v>76</v>
      </c>
      <c r="AP37" s="78" t="s">
        <v>77</v>
      </c>
      <c r="AR37" s="78" t="s">
        <v>87</v>
      </c>
      <c r="AS37" s="78" t="s">
        <v>571</v>
      </c>
      <c r="AT37" s="676"/>
      <c r="AU37" s="78" t="s">
        <v>76</v>
      </c>
      <c r="AV37" s="78" t="s">
        <v>77</v>
      </c>
      <c r="AX37" s="78" t="s">
        <v>87</v>
      </c>
      <c r="AY37" s="78" t="s">
        <v>572</v>
      </c>
      <c r="AZ37" s="676"/>
      <c r="BA37" s="78" t="s">
        <v>76</v>
      </c>
      <c r="BB37" s="78" t="s">
        <v>77</v>
      </c>
      <c r="BD37" s="78" t="s">
        <v>87</v>
      </c>
      <c r="BE37" s="78" t="s">
        <v>572</v>
      </c>
      <c r="BF37" s="676"/>
      <c r="BG37" s="78" t="s">
        <v>76</v>
      </c>
      <c r="BH37" s="78" t="s">
        <v>77</v>
      </c>
      <c r="BJ37" s="78" t="s">
        <v>87</v>
      </c>
      <c r="BK37" s="78" t="s">
        <v>573</v>
      </c>
      <c r="BL37" s="676"/>
      <c r="BM37" s="78" t="s">
        <v>76</v>
      </c>
      <c r="BN37" s="78" t="s">
        <v>77</v>
      </c>
      <c r="BP37" s="78" t="s">
        <v>87</v>
      </c>
      <c r="BQ37" s="78" t="s">
        <v>573</v>
      </c>
      <c r="BR37" s="676"/>
      <c r="BS37" s="78" t="s">
        <v>76</v>
      </c>
      <c r="BT37" s="78" t="s">
        <v>77</v>
      </c>
      <c r="BU37" s="485"/>
      <c r="BV37" s="78" t="s">
        <v>87</v>
      </c>
      <c r="BW37" s="78" t="s">
        <v>576</v>
      </c>
      <c r="BX37" s="676"/>
      <c r="BY37" s="78" t="s">
        <v>76</v>
      </c>
      <c r="BZ37" s="78" t="s">
        <v>77</v>
      </c>
      <c r="CB37" s="78" t="s">
        <v>87</v>
      </c>
      <c r="CC37" s="78" t="s">
        <v>576</v>
      </c>
      <c r="CD37" s="676"/>
      <c r="CE37" s="78" t="s">
        <v>76</v>
      </c>
      <c r="CF37" s="78" t="s">
        <v>77</v>
      </c>
      <c r="CJ37" s="688"/>
      <c r="CK37" s="61" t="s">
        <v>76</v>
      </c>
      <c r="CL37" s="61">
        <f>ABS(skemA3!H42*'Tabel 6'!J4)</f>
        <v>100</v>
      </c>
      <c r="CM37" s="61">
        <f>ABS(skemA3!I42*'Tabel 6'!J4)</f>
        <v>200</v>
      </c>
      <c r="CN37" s="62"/>
      <c r="CO37" s="103"/>
    </row>
    <row r="38" spans="2:93" ht="15" thickBot="1">
      <c r="B38" s="477">
        <f>skemA3!B5</f>
        <v>44709</v>
      </c>
      <c r="C38" s="66">
        <f>C5</f>
        <v>1</v>
      </c>
      <c r="D38" s="481">
        <f>skemA3!F43</f>
        <v>248.89999999999941</v>
      </c>
      <c r="E38" s="480">
        <f>IF($C38&gt;0,$D38*$C38,0)</f>
        <v>248.89999999999941</v>
      </c>
      <c r="F38" s="480">
        <f>IF($C38&lt;0,ABS($D38*$C38),0)</f>
        <v>0</v>
      </c>
      <c r="H38" s="477">
        <f>skemA3!B5</f>
        <v>44709</v>
      </c>
      <c r="I38" s="66">
        <f>I5</f>
        <v>1</v>
      </c>
      <c r="J38" s="481">
        <f>skemA3!G43</f>
        <v>1407.3</v>
      </c>
      <c r="K38" s="480">
        <f>IF($I38&gt;0,$J38*$I38,0)</f>
        <v>1407.3</v>
      </c>
      <c r="L38" s="480">
        <f>IF($I38&lt;0,ABS($J38*$I38),0)</f>
        <v>0</v>
      </c>
      <c r="N38" s="477">
        <f>skemA3!B5</f>
        <v>44709</v>
      </c>
      <c r="O38" s="66">
        <f>O5</f>
        <v>1</v>
      </c>
      <c r="P38" s="481">
        <f>D38</f>
        <v>248.89999999999941</v>
      </c>
      <c r="Q38" s="480">
        <f>IF($O38&gt;0,$P38*$O38,0)</f>
        <v>248.89999999999941</v>
      </c>
      <c r="R38" s="480">
        <f>IF($O38&lt;0,ABS($P38*$O38),0)</f>
        <v>0</v>
      </c>
      <c r="T38" s="477">
        <f>skemA3!B5</f>
        <v>44709</v>
      </c>
      <c r="U38" s="66">
        <f>U5</f>
        <v>1</v>
      </c>
      <c r="V38" s="481">
        <f>J38</f>
        <v>1407.3</v>
      </c>
      <c r="W38" s="480">
        <f>IF($U38&gt;0,$V38*$U38,0)</f>
        <v>1407.3</v>
      </c>
      <c r="X38" s="480">
        <f>IF($U38&lt;0,ABS($V38*$U38),0)</f>
        <v>0</v>
      </c>
      <c r="Y38" s="483"/>
      <c r="Z38" s="477">
        <f>skemA3!B5</f>
        <v>44709</v>
      </c>
      <c r="AA38" s="66">
        <f>AA5</f>
        <v>0</v>
      </c>
      <c r="AB38" s="481">
        <f>P38</f>
        <v>248.89999999999941</v>
      </c>
      <c r="AC38" s="480">
        <f>IF($AA38&gt;0,$AB38*$AA38,0)</f>
        <v>0</v>
      </c>
      <c r="AD38" s="480">
        <f>IF($AA38&lt;0,ABS($AB38*$AA38),0)</f>
        <v>0</v>
      </c>
      <c r="AE38" s="483"/>
      <c r="AF38" s="477">
        <f>skemA3!B5</f>
        <v>44709</v>
      </c>
      <c r="AG38" s="66">
        <f>AA38</f>
        <v>0</v>
      </c>
      <c r="AH38" s="481">
        <f>V38</f>
        <v>1407.3</v>
      </c>
      <c r="AI38" s="480">
        <f>IF($AG38&gt;0,$AH38*$AG38,0)</f>
        <v>0</v>
      </c>
      <c r="AJ38" s="480">
        <f>IF($AG38&lt;0,ABS($AH38*$AG38),0)</f>
        <v>0</v>
      </c>
      <c r="AL38" s="477">
        <f>skemA3!B5</f>
        <v>44709</v>
      </c>
      <c r="AM38" s="66">
        <f>AM5</f>
        <v>-1</v>
      </c>
      <c r="AN38" s="481">
        <f>AB38</f>
        <v>248.89999999999941</v>
      </c>
      <c r="AO38" s="480">
        <f>IF($AM38&gt;0,$AN38*$AM38,0)</f>
        <v>0</v>
      </c>
      <c r="AP38" s="480">
        <f>IF($AM38&lt;0,ABS($AN38*$AM38),0)</f>
        <v>248.89999999999941</v>
      </c>
      <c r="AR38" s="477">
        <f>skemA3!B5</f>
        <v>44709</v>
      </c>
      <c r="AS38" s="66">
        <f>AS5</f>
        <v>-1</v>
      </c>
      <c r="AT38" s="481">
        <f>AH38</f>
        <v>1407.3</v>
      </c>
      <c r="AU38" s="480">
        <f>IF($AS38&gt;0,$AT38*$AS38,0)</f>
        <v>0</v>
      </c>
      <c r="AV38" s="480">
        <f>IF($AS38&lt;0,ABS($AT38*$AS38),0)</f>
        <v>1407.3</v>
      </c>
      <c r="AX38" s="477">
        <f>AX5</f>
        <v>44709</v>
      </c>
      <c r="AY38" s="66">
        <f>AY5</f>
        <v>1</v>
      </c>
      <c r="AZ38" s="481">
        <f>AN38</f>
        <v>248.89999999999941</v>
      </c>
      <c r="BA38" s="480">
        <f>IF($AY38&gt;0,$AZ38*$AY38,0)</f>
        <v>248.89999999999941</v>
      </c>
      <c r="BB38" s="480">
        <f>IF($AY38&lt;0,ABS($AZ38*$AY38),0)</f>
        <v>0</v>
      </c>
      <c r="BD38" s="477">
        <f>skemA3!B5</f>
        <v>44709</v>
      </c>
      <c r="BE38" s="66">
        <f>AY38</f>
        <v>1</v>
      </c>
      <c r="BF38" s="481">
        <f>AT38</f>
        <v>1407.3</v>
      </c>
      <c r="BG38" s="480">
        <f>IF($BE38&gt;0,$BF38*$BE38,0)</f>
        <v>1407.3</v>
      </c>
      <c r="BH38" s="480">
        <f>IF($BE38&lt;0,ABS($BF38*$BE38),0)</f>
        <v>0</v>
      </c>
      <c r="BJ38" s="477">
        <f>skemA3!B5</f>
        <v>44709</v>
      </c>
      <c r="BK38" s="66">
        <f>BK5</f>
        <v>1</v>
      </c>
      <c r="BL38" s="481">
        <f>AZ38</f>
        <v>248.89999999999941</v>
      </c>
      <c r="BM38" s="480">
        <f>IF($BK38&gt;0,$BL38*$BK38,0)</f>
        <v>248.89999999999941</v>
      </c>
      <c r="BN38" s="480">
        <f>IF($BK38&lt;0,ABS($BL38*$BK38),0)</f>
        <v>0</v>
      </c>
      <c r="BP38" s="477">
        <f>skemA3!B5</f>
        <v>44709</v>
      </c>
      <c r="BQ38" s="66">
        <f>BK38</f>
        <v>1</v>
      </c>
      <c r="BR38" s="481">
        <f>BF38</f>
        <v>1407.3</v>
      </c>
      <c r="BS38" s="480">
        <f>IF($BQ38&gt;0,$BR38*$BQ38,0)</f>
        <v>1407.3</v>
      </c>
      <c r="BT38" s="480">
        <f>IF($BQ38&lt;0,ABS($BR38*$BQ38),0)</f>
        <v>0</v>
      </c>
      <c r="BU38" s="486"/>
      <c r="BV38" s="477">
        <f>skemA3!B38</f>
        <v>0</v>
      </c>
      <c r="BW38" s="66">
        <f>BW5</f>
        <v>0</v>
      </c>
      <c r="BX38" s="481">
        <f>BL38</f>
        <v>248.89999999999941</v>
      </c>
      <c r="BY38" s="480">
        <f>IF($BW38&gt;0,$BX38*$BW38,0)</f>
        <v>0</v>
      </c>
      <c r="BZ38" s="480">
        <f>IF($BW38&lt;0,ABS($BX38*$BW38),0)</f>
        <v>0</v>
      </c>
      <c r="CB38" s="477">
        <f>skemA3!B5</f>
        <v>44709</v>
      </c>
      <c r="CC38" s="66">
        <f>BW38</f>
        <v>0</v>
      </c>
      <c r="CD38" s="481">
        <f>BR38</f>
        <v>1407.3</v>
      </c>
      <c r="CE38" s="480">
        <f>IF($CC38&gt;0,$CD38*$CC38,0)</f>
        <v>0</v>
      </c>
      <c r="CF38" s="480">
        <f>IF($CC38&lt;0,ABS($CD38*$CC38),0)</f>
        <v>0</v>
      </c>
      <c r="CJ38" s="694" t="s">
        <v>143</v>
      </c>
      <c r="CK38" s="66" t="s">
        <v>76</v>
      </c>
      <c r="CL38" s="66">
        <f t="array" ref="CL38:CL39">TRANSPOSE(BY100:BZ100)</f>
        <v>579.80000000000086</v>
      </c>
      <c r="CM38" s="66">
        <f t="array" ref="CM38:CM39">TRANSPOSE(CE100:CF100)</f>
        <v>1092.3000000000004</v>
      </c>
      <c r="CN38" s="66">
        <f>IF((CL38-CL39)&gt;0,(CL38-CL39),0)</f>
        <v>49.900000000000773</v>
      </c>
      <c r="CO38" s="102">
        <f>IF((CM38-CM39)&gt;0,(CM38-CM39),0)</f>
        <v>0</v>
      </c>
    </row>
    <row r="39" spans="2:93" ht="15.75" thickTop="1" thickBot="1">
      <c r="B39" s="477">
        <f>skemA3!B6</f>
        <v>44710</v>
      </c>
      <c r="C39" s="66">
        <f t="shared" ref="C39:C66" si="46">C6</f>
        <v>1</v>
      </c>
      <c r="D39" s="481">
        <f>skemA3!F44</f>
        <v>34.800000000000182</v>
      </c>
      <c r="E39" s="480">
        <f t="shared" ref="E39:E66" si="47">IF($C39&gt;0,$D39*$C39,0)</f>
        <v>34.800000000000182</v>
      </c>
      <c r="F39" s="480">
        <f t="shared" ref="F39:F66" si="48">IF($C39&lt;0,ABS($D39*$C39),0)</f>
        <v>0</v>
      </c>
      <c r="H39" s="477">
        <f>skemA3!B6</f>
        <v>44710</v>
      </c>
      <c r="I39" s="66">
        <f t="shared" ref="I39:I66" si="49">I6</f>
        <v>1</v>
      </c>
      <c r="J39" s="481">
        <f>skemA3!G44</f>
        <v>1257.5999999999999</v>
      </c>
      <c r="K39" s="480">
        <f t="shared" ref="K39:K66" si="50">IF($I39&gt;0,$J39*$I39,0)</f>
        <v>1257.5999999999999</v>
      </c>
      <c r="L39" s="480">
        <f t="shared" ref="L39:L66" si="51">IF($I39&lt;0,ABS($J39*$I39),0)</f>
        <v>0</v>
      </c>
      <c r="N39" s="477">
        <f>skemA3!B6</f>
        <v>44710</v>
      </c>
      <c r="O39" s="66">
        <f t="shared" ref="O39:O66" si="52">O6</f>
        <v>1</v>
      </c>
      <c r="P39" s="481">
        <f t="shared" ref="P39:P66" si="53">D39</f>
        <v>34.800000000000182</v>
      </c>
      <c r="Q39" s="480">
        <f t="shared" ref="Q39:Q66" si="54">IF($O39&gt;0,$P39*$O39,0)</f>
        <v>34.800000000000182</v>
      </c>
      <c r="R39" s="480">
        <f t="shared" ref="R39:R66" si="55">IF($O39&lt;0,ABS($P39*$O39),0)</f>
        <v>0</v>
      </c>
      <c r="T39" s="477">
        <f>skemA3!B6</f>
        <v>44710</v>
      </c>
      <c r="U39" s="66">
        <f t="shared" ref="U39:U66" si="56">U6</f>
        <v>1</v>
      </c>
      <c r="V39" s="481">
        <f t="shared" ref="V39:V66" si="57">J39</f>
        <v>1257.5999999999999</v>
      </c>
      <c r="W39" s="480">
        <f t="shared" ref="W39:W66" si="58">IF($U39&gt;0,$V39*$U39,0)</f>
        <v>1257.5999999999999</v>
      </c>
      <c r="X39" s="480">
        <f t="shared" ref="X39:X66" si="59">IF($U39&lt;0,ABS($V39*$U39),0)</f>
        <v>0</v>
      </c>
      <c r="Y39" s="483"/>
      <c r="Z39" s="477">
        <f>skemA3!B6</f>
        <v>44710</v>
      </c>
      <c r="AA39" s="66">
        <f t="shared" ref="AA39:AA66" si="60">AA6</f>
        <v>-1</v>
      </c>
      <c r="AB39" s="481">
        <f t="shared" ref="AB39:AB66" si="61">P39</f>
        <v>34.800000000000182</v>
      </c>
      <c r="AC39" s="480">
        <f t="shared" ref="AC39:AC66" si="62">IF($AA39&gt;0,$AB39*$AA39,0)</f>
        <v>0</v>
      </c>
      <c r="AD39" s="480">
        <f t="shared" ref="AD39:AD66" si="63">IF($AA39&lt;0,ABS($AB39*$AA39),0)</f>
        <v>34.800000000000182</v>
      </c>
      <c r="AE39" s="483"/>
      <c r="AF39" s="477">
        <f>skemA3!B6</f>
        <v>44710</v>
      </c>
      <c r="AG39" s="66">
        <f t="shared" ref="AG39:AG66" si="64">AA39</f>
        <v>-1</v>
      </c>
      <c r="AH39" s="481">
        <f t="shared" ref="AH39:AH66" si="65">V39</f>
        <v>1257.5999999999999</v>
      </c>
      <c r="AI39" s="480">
        <f t="shared" ref="AI39:AI66" si="66">IF($AG39&gt;0,$AH39*$AG39,0)</f>
        <v>0</v>
      </c>
      <c r="AJ39" s="480">
        <f t="shared" ref="AJ39:AJ66" si="67">IF($AG39&lt;0,ABS($AH39*$AG39),0)</f>
        <v>1257.5999999999999</v>
      </c>
      <c r="AL39" s="477">
        <f>skemA3!B6</f>
        <v>44710</v>
      </c>
      <c r="AM39" s="66">
        <f t="shared" ref="AM39:AM66" si="68">AM6</f>
        <v>-1</v>
      </c>
      <c r="AN39" s="481">
        <f t="shared" ref="AN39:AN66" si="69">AB39</f>
        <v>34.800000000000182</v>
      </c>
      <c r="AO39" s="480">
        <f t="shared" ref="AO39:AO66" si="70">IF($AM39&gt;0,$AN39*$AM39,0)</f>
        <v>0</v>
      </c>
      <c r="AP39" s="480">
        <f t="shared" ref="AP39:AP66" si="71">IF($AM39&lt;0,ABS($AN39*$AM39),0)</f>
        <v>34.800000000000182</v>
      </c>
      <c r="AR39" s="477">
        <f>skemA3!B6</f>
        <v>44710</v>
      </c>
      <c r="AS39" s="66">
        <f t="shared" ref="AS39:AS66" si="72">AS6</f>
        <v>-1</v>
      </c>
      <c r="AT39" s="481">
        <f t="shared" ref="AT39:AT66" si="73">AH39</f>
        <v>1257.5999999999999</v>
      </c>
      <c r="AU39" s="480">
        <f t="shared" ref="AU39:AU66" si="74">IF($AS39&gt;0,$AT39*$AS39,0)</f>
        <v>0</v>
      </c>
      <c r="AV39" s="480">
        <f t="shared" ref="AV39:AV66" si="75">IF($AS39&lt;0,ABS($AT39*$AS39),0)</f>
        <v>1257.5999999999999</v>
      </c>
      <c r="AX39" s="477">
        <f t="shared" ref="AX39:AY66" si="76">AX6</f>
        <v>44710</v>
      </c>
      <c r="AY39" s="66">
        <f t="shared" si="76"/>
        <v>1</v>
      </c>
      <c r="AZ39" s="481">
        <f t="shared" ref="AZ39:AZ66" si="77">AN39</f>
        <v>34.800000000000182</v>
      </c>
      <c r="BA39" s="480">
        <f t="shared" ref="BA39:BA66" si="78">IF($AY39&gt;0,$AZ39*$AY39,0)</f>
        <v>34.800000000000182</v>
      </c>
      <c r="BB39" s="480">
        <f t="shared" ref="BB39:BB66" si="79">IF($AY39&lt;0,ABS($AZ39*$AY39),0)</f>
        <v>0</v>
      </c>
      <c r="BD39" s="477">
        <f>skemA3!B6</f>
        <v>44710</v>
      </c>
      <c r="BE39" s="66">
        <f t="shared" ref="BE39:BE66" si="80">AY39</f>
        <v>1</v>
      </c>
      <c r="BF39" s="481">
        <f t="shared" ref="BF39:BF66" si="81">AT39</f>
        <v>1257.5999999999999</v>
      </c>
      <c r="BG39" s="480">
        <f t="shared" ref="BG39:BG66" si="82">IF($BE39&gt;0,$BF39*$BE39,0)</f>
        <v>1257.5999999999999</v>
      </c>
      <c r="BH39" s="480">
        <f t="shared" ref="BH39:BH66" si="83">IF($BE39&lt;0,ABS($BF39*$BE39),0)</f>
        <v>0</v>
      </c>
      <c r="BJ39" s="477">
        <f>skemA3!B6</f>
        <v>44710</v>
      </c>
      <c r="BK39" s="66">
        <f t="shared" ref="BK39:BK66" si="84">BK6</f>
        <v>1</v>
      </c>
      <c r="BL39" s="481">
        <f t="shared" ref="BL39:BL66" si="85">AZ39</f>
        <v>34.800000000000182</v>
      </c>
      <c r="BM39" s="480">
        <f t="shared" ref="BM39:BM66" si="86">IF($BK39&gt;0,$BL39*$BK39,0)</f>
        <v>34.800000000000182</v>
      </c>
      <c r="BN39" s="480">
        <f t="shared" ref="BN39:BN66" si="87">IF($BK39&lt;0,ABS($BL39*$BK39),0)</f>
        <v>0</v>
      </c>
      <c r="BP39" s="477">
        <f>skemA3!B6</f>
        <v>44710</v>
      </c>
      <c r="BQ39" s="66">
        <f t="shared" ref="BQ39:BQ66" si="88">BK39</f>
        <v>1</v>
      </c>
      <c r="BR39" s="481">
        <f t="shared" ref="BR39:BR66" si="89">BF39</f>
        <v>1257.5999999999999</v>
      </c>
      <c r="BS39" s="480">
        <f t="shared" ref="BS39:BS66" si="90">IF($BQ39&gt;0,$BR39*$BQ39,0)</f>
        <v>1257.5999999999999</v>
      </c>
      <c r="BT39" s="480">
        <f t="shared" ref="BT39:BT66" si="91">IF($BQ39&lt;0,ABS($BR39*$BQ39),0)</f>
        <v>0</v>
      </c>
      <c r="BU39" s="486"/>
      <c r="BV39" s="477" t="str">
        <f>skemA3!B39</f>
        <v xml:space="preserve">Skema 3  :  Penyusunan hasil perhitungan harga X dan Y indeks </v>
      </c>
      <c r="BW39" s="66">
        <f t="shared" ref="BW39:BW66" si="92">BW6</f>
        <v>-1</v>
      </c>
      <c r="BX39" s="481">
        <f t="shared" ref="BX39:BX66" si="93">BL39</f>
        <v>34.800000000000182</v>
      </c>
      <c r="BY39" s="480">
        <f t="shared" ref="BY39:BY66" si="94">IF($BW39&gt;0,$BX39*$BW39,0)</f>
        <v>0</v>
      </c>
      <c r="BZ39" s="480">
        <f t="shared" ref="BZ39:BZ66" si="95">IF($BW39&lt;0,ABS($BX39*$BW39),0)</f>
        <v>34.800000000000182</v>
      </c>
      <c r="CB39" s="477">
        <f>skemA3!B6</f>
        <v>44710</v>
      </c>
      <c r="CC39" s="66">
        <f t="shared" ref="CC39:CC66" si="96">BW39</f>
        <v>-1</v>
      </c>
      <c r="CD39" s="481">
        <f t="shared" ref="CD39:CD66" si="97">BR39</f>
        <v>1257.5999999999999</v>
      </c>
      <c r="CE39" s="480">
        <f t="shared" ref="CE39:CE66" si="98">IF($CC39&gt;0,$CD39*$CC39,0)</f>
        <v>0</v>
      </c>
      <c r="CF39" s="480">
        <f t="shared" ref="CF39:CF66" si="99">IF($CC39&lt;0,ABS($CD39*$CC39),0)</f>
        <v>1257.5999999999999</v>
      </c>
      <c r="CJ39" s="694"/>
      <c r="CK39" s="104" t="s">
        <v>77</v>
      </c>
      <c r="CL39" s="104">
        <v>529.90000000000009</v>
      </c>
      <c r="CM39" s="104">
        <v>1163.3000000000006</v>
      </c>
      <c r="CN39" s="104">
        <f>IF((CL38-CL39)&lt;0,(CL38-CL39),0)</f>
        <v>0</v>
      </c>
      <c r="CO39" s="105">
        <f>IF((CM38-CM39)&lt;0,(CM38-CM39),0)</f>
        <v>-71.000000000000227</v>
      </c>
    </row>
    <row r="40" spans="2:93" ht="15" thickTop="1">
      <c r="B40" s="477">
        <f>skemA3!B7</f>
        <v>44711</v>
      </c>
      <c r="C40" s="66">
        <f t="shared" si="46"/>
        <v>1</v>
      </c>
      <c r="D40" s="481">
        <f>skemA3!F45</f>
        <v>-95.099999999999454</v>
      </c>
      <c r="E40" s="480">
        <f t="shared" si="47"/>
        <v>-95.099999999999454</v>
      </c>
      <c r="F40" s="480">
        <f t="shared" si="48"/>
        <v>0</v>
      </c>
      <c r="H40" s="477">
        <f>skemA3!B7</f>
        <v>44711</v>
      </c>
      <c r="I40" s="66">
        <f t="shared" si="49"/>
        <v>1</v>
      </c>
      <c r="J40" s="481">
        <f>skemA3!G45</f>
        <v>1044.6999999999998</v>
      </c>
      <c r="K40" s="480">
        <f t="shared" si="50"/>
        <v>1044.6999999999998</v>
      </c>
      <c r="L40" s="480">
        <f t="shared" si="51"/>
        <v>0</v>
      </c>
      <c r="N40" s="477">
        <f>skemA3!B7</f>
        <v>44711</v>
      </c>
      <c r="O40" s="66">
        <f t="shared" si="52"/>
        <v>1</v>
      </c>
      <c r="P40" s="481">
        <f t="shared" si="53"/>
        <v>-95.099999999999454</v>
      </c>
      <c r="Q40" s="480">
        <f t="shared" si="54"/>
        <v>-95.099999999999454</v>
      </c>
      <c r="R40" s="480">
        <f t="shared" si="55"/>
        <v>0</v>
      </c>
      <c r="T40" s="477">
        <f>skemA3!B7</f>
        <v>44711</v>
      </c>
      <c r="U40" s="66">
        <f t="shared" si="56"/>
        <v>1</v>
      </c>
      <c r="V40" s="481">
        <f t="shared" si="57"/>
        <v>1044.6999999999998</v>
      </c>
      <c r="W40" s="480">
        <f t="shared" si="58"/>
        <v>1044.6999999999998</v>
      </c>
      <c r="X40" s="480">
        <f t="shared" si="59"/>
        <v>0</v>
      </c>
      <c r="Y40" s="483"/>
      <c r="Z40" s="477">
        <f>skemA3!B7</f>
        <v>44711</v>
      </c>
      <c r="AA40" s="66">
        <f t="shared" si="60"/>
        <v>-1</v>
      </c>
      <c r="AB40" s="481">
        <f t="shared" si="61"/>
        <v>-95.099999999999454</v>
      </c>
      <c r="AC40" s="480">
        <f t="shared" si="62"/>
        <v>0</v>
      </c>
      <c r="AD40" s="480">
        <f t="shared" si="63"/>
        <v>95.099999999999454</v>
      </c>
      <c r="AE40" s="483"/>
      <c r="AF40" s="477">
        <f>skemA3!B7</f>
        <v>44711</v>
      </c>
      <c r="AG40" s="66">
        <f t="shared" si="64"/>
        <v>-1</v>
      </c>
      <c r="AH40" s="481">
        <f t="shared" si="65"/>
        <v>1044.6999999999998</v>
      </c>
      <c r="AI40" s="480">
        <f t="shared" si="66"/>
        <v>0</v>
      </c>
      <c r="AJ40" s="480">
        <f t="shared" si="67"/>
        <v>1044.6999999999998</v>
      </c>
      <c r="AL40" s="477">
        <f>skemA3!B7</f>
        <v>44711</v>
      </c>
      <c r="AM40" s="66">
        <f t="shared" si="68"/>
        <v>1</v>
      </c>
      <c r="AN40" s="481">
        <f t="shared" si="69"/>
        <v>-95.099999999999454</v>
      </c>
      <c r="AO40" s="480">
        <f t="shared" si="70"/>
        <v>-95.099999999999454</v>
      </c>
      <c r="AP40" s="480">
        <f t="shared" si="71"/>
        <v>0</v>
      </c>
      <c r="AR40" s="477">
        <f>skemA3!B7</f>
        <v>44711</v>
      </c>
      <c r="AS40" s="66">
        <f t="shared" si="72"/>
        <v>1</v>
      </c>
      <c r="AT40" s="481">
        <f t="shared" si="73"/>
        <v>1044.6999999999998</v>
      </c>
      <c r="AU40" s="480">
        <f t="shared" si="74"/>
        <v>1044.6999999999998</v>
      </c>
      <c r="AV40" s="480">
        <f t="shared" si="75"/>
        <v>0</v>
      </c>
      <c r="AX40" s="477">
        <f t="shared" si="76"/>
        <v>44711</v>
      </c>
      <c r="AY40" s="66">
        <f t="shared" si="76"/>
        <v>1</v>
      </c>
      <c r="AZ40" s="481">
        <f t="shared" si="77"/>
        <v>-95.099999999999454</v>
      </c>
      <c r="BA40" s="480">
        <f t="shared" si="78"/>
        <v>-95.099999999999454</v>
      </c>
      <c r="BB40" s="480">
        <f t="shared" si="79"/>
        <v>0</v>
      </c>
      <c r="BD40" s="477">
        <f>skemA3!B7</f>
        <v>44711</v>
      </c>
      <c r="BE40" s="66">
        <f t="shared" si="80"/>
        <v>1</v>
      </c>
      <c r="BF40" s="481">
        <f t="shared" si="81"/>
        <v>1044.6999999999998</v>
      </c>
      <c r="BG40" s="480">
        <f t="shared" si="82"/>
        <v>1044.6999999999998</v>
      </c>
      <c r="BH40" s="480">
        <f t="shared" si="83"/>
        <v>0</v>
      </c>
      <c r="BJ40" s="477">
        <f>skemA3!B7</f>
        <v>44711</v>
      </c>
      <c r="BK40" s="66">
        <f t="shared" si="84"/>
        <v>-1</v>
      </c>
      <c r="BL40" s="481">
        <f t="shared" si="85"/>
        <v>-95.099999999999454</v>
      </c>
      <c r="BM40" s="480">
        <f t="shared" si="86"/>
        <v>0</v>
      </c>
      <c r="BN40" s="480">
        <f t="shared" si="87"/>
        <v>95.099999999999454</v>
      </c>
      <c r="BP40" s="477">
        <f>skemA3!B7</f>
        <v>44711</v>
      </c>
      <c r="BQ40" s="66">
        <f t="shared" si="88"/>
        <v>-1</v>
      </c>
      <c r="BR40" s="481">
        <f t="shared" si="89"/>
        <v>1044.6999999999998</v>
      </c>
      <c r="BS40" s="480">
        <f t="shared" si="90"/>
        <v>0</v>
      </c>
      <c r="BT40" s="480">
        <f t="shared" si="91"/>
        <v>1044.6999999999998</v>
      </c>
      <c r="BU40" s="486"/>
      <c r="BV40" s="477">
        <f>skemA3!B40</f>
        <v>0</v>
      </c>
      <c r="BW40" s="66">
        <f t="shared" si="92"/>
        <v>-1</v>
      </c>
      <c r="BX40" s="481">
        <f t="shared" si="93"/>
        <v>-95.099999999999454</v>
      </c>
      <c r="BY40" s="480">
        <f t="shared" si="94"/>
        <v>0</v>
      </c>
      <c r="BZ40" s="480">
        <f t="shared" si="95"/>
        <v>95.099999999999454</v>
      </c>
      <c r="CB40" s="477">
        <f>skemA3!B7</f>
        <v>44711</v>
      </c>
      <c r="CC40" s="66">
        <f t="shared" si="96"/>
        <v>-1</v>
      </c>
      <c r="CD40" s="481">
        <f t="shared" si="97"/>
        <v>1044.6999999999998</v>
      </c>
      <c r="CE40" s="480">
        <f t="shared" si="98"/>
        <v>0</v>
      </c>
      <c r="CF40" s="480">
        <f t="shared" si="99"/>
        <v>1044.6999999999998</v>
      </c>
    </row>
    <row r="41" spans="2:93">
      <c r="B41" s="477">
        <f>skemA3!B8</f>
        <v>44712</v>
      </c>
      <c r="C41" s="66">
        <f t="shared" si="46"/>
        <v>1</v>
      </c>
      <c r="D41" s="481">
        <f>skemA3!F46</f>
        <v>-103.00000000000023</v>
      </c>
      <c r="E41" s="480">
        <f t="shared" si="47"/>
        <v>-103.00000000000023</v>
      </c>
      <c r="F41" s="480">
        <f t="shared" si="48"/>
        <v>0</v>
      </c>
      <c r="H41" s="477">
        <f>skemA3!B8</f>
        <v>44712</v>
      </c>
      <c r="I41" s="66">
        <f t="shared" si="49"/>
        <v>1</v>
      </c>
      <c r="J41" s="481">
        <f>skemA3!G46</f>
        <v>776</v>
      </c>
      <c r="K41" s="480">
        <f t="shared" si="50"/>
        <v>776</v>
      </c>
      <c r="L41" s="480">
        <f t="shared" si="51"/>
        <v>0</v>
      </c>
      <c r="N41" s="477">
        <f>skemA3!B8</f>
        <v>44712</v>
      </c>
      <c r="O41" s="66">
        <f t="shared" si="52"/>
        <v>1</v>
      </c>
      <c r="P41" s="481">
        <f t="shared" si="53"/>
        <v>-103.00000000000023</v>
      </c>
      <c r="Q41" s="480">
        <f t="shared" si="54"/>
        <v>-103.00000000000023</v>
      </c>
      <c r="R41" s="480">
        <f t="shared" si="55"/>
        <v>0</v>
      </c>
      <c r="T41" s="477">
        <f>skemA3!B8</f>
        <v>44712</v>
      </c>
      <c r="U41" s="66">
        <f t="shared" si="56"/>
        <v>1</v>
      </c>
      <c r="V41" s="481">
        <f t="shared" si="57"/>
        <v>776</v>
      </c>
      <c r="W41" s="480">
        <f t="shared" si="58"/>
        <v>776</v>
      </c>
      <c r="X41" s="480">
        <f t="shared" si="59"/>
        <v>0</v>
      </c>
      <c r="Y41" s="483"/>
      <c r="Z41" s="477">
        <f>skemA3!B8</f>
        <v>44712</v>
      </c>
      <c r="AA41" s="66">
        <f t="shared" si="60"/>
        <v>-1</v>
      </c>
      <c r="AB41" s="481">
        <f t="shared" si="61"/>
        <v>-103.00000000000023</v>
      </c>
      <c r="AC41" s="480">
        <f t="shared" si="62"/>
        <v>0</v>
      </c>
      <c r="AD41" s="480">
        <f t="shared" si="63"/>
        <v>103.00000000000023</v>
      </c>
      <c r="AE41" s="483"/>
      <c r="AF41" s="477">
        <f>skemA3!B8</f>
        <v>44712</v>
      </c>
      <c r="AG41" s="66">
        <f t="shared" si="64"/>
        <v>-1</v>
      </c>
      <c r="AH41" s="481">
        <f t="shared" si="65"/>
        <v>776</v>
      </c>
      <c r="AI41" s="480">
        <f t="shared" si="66"/>
        <v>0</v>
      </c>
      <c r="AJ41" s="480">
        <f t="shared" si="67"/>
        <v>776</v>
      </c>
      <c r="AL41" s="477">
        <f>skemA3!B8</f>
        <v>44712</v>
      </c>
      <c r="AM41" s="66">
        <f t="shared" si="68"/>
        <v>1</v>
      </c>
      <c r="AN41" s="481">
        <f t="shared" si="69"/>
        <v>-103.00000000000023</v>
      </c>
      <c r="AO41" s="480">
        <f t="shared" si="70"/>
        <v>-103.00000000000023</v>
      </c>
      <c r="AP41" s="480">
        <f t="shared" si="71"/>
        <v>0</v>
      </c>
      <c r="AR41" s="477">
        <f>skemA3!B8</f>
        <v>44712</v>
      </c>
      <c r="AS41" s="66">
        <f t="shared" si="72"/>
        <v>1</v>
      </c>
      <c r="AT41" s="481">
        <f t="shared" si="73"/>
        <v>776</v>
      </c>
      <c r="AU41" s="480">
        <f t="shared" si="74"/>
        <v>776</v>
      </c>
      <c r="AV41" s="480">
        <f t="shared" si="75"/>
        <v>0</v>
      </c>
      <c r="AX41" s="477">
        <f t="shared" si="76"/>
        <v>44712</v>
      </c>
      <c r="AY41" s="66">
        <f t="shared" si="76"/>
        <v>1</v>
      </c>
      <c r="AZ41" s="481">
        <f t="shared" si="77"/>
        <v>-103.00000000000023</v>
      </c>
      <c r="BA41" s="480">
        <f t="shared" si="78"/>
        <v>-103.00000000000023</v>
      </c>
      <c r="BB41" s="480">
        <f t="shared" si="79"/>
        <v>0</v>
      </c>
      <c r="BD41" s="477">
        <f>skemA3!B8</f>
        <v>44712</v>
      </c>
      <c r="BE41" s="66">
        <f t="shared" si="80"/>
        <v>1</v>
      </c>
      <c r="BF41" s="481">
        <f t="shared" si="81"/>
        <v>776</v>
      </c>
      <c r="BG41" s="480">
        <f t="shared" si="82"/>
        <v>776</v>
      </c>
      <c r="BH41" s="480">
        <f t="shared" si="83"/>
        <v>0</v>
      </c>
      <c r="BJ41" s="477">
        <f>skemA3!B8</f>
        <v>44712</v>
      </c>
      <c r="BK41" s="66">
        <f t="shared" si="84"/>
        <v>-1</v>
      </c>
      <c r="BL41" s="481">
        <f t="shared" si="85"/>
        <v>-103.00000000000023</v>
      </c>
      <c r="BM41" s="480">
        <f t="shared" si="86"/>
        <v>0</v>
      </c>
      <c r="BN41" s="480">
        <f t="shared" si="87"/>
        <v>103.00000000000023</v>
      </c>
      <c r="BP41" s="477">
        <f>skemA3!B8</f>
        <v>44712</v>
      </c>
      <c r="BQ41" s="66">
        <f t="shared" si="88"/>
        <v>-1</v>
      </c>
      <c r="BR41" s="481">
        <f t="shared" si="89"/>
        <v>776</v>
      </c>
      <c r="BS41" s="480">
        <f t="shared" si="90"/>
        <v>0</v>
      </c>
      <c r="BT41" s="480">
        <f t="shared" si="91"/>
        <v>776</v>
      </c>
      <c r="BU41" s="486"/>
      <c r="BV41" s="477" t="str">
        <f>skemA3!B41</f>
        <v>Waktu</v>
      </c>
      <c r="BW41" s="66">
        <f t="shared" si="92"/>
        <v>-1</v>
      </c>
      <c r="BX41" s="481">
        <f t="shared" si="93"/>
        <v>-103.00000000000023</v>
      </c>
      <c r="BY41" s="480">
        <f t="shared" si="94"/>
        <v>0</v>
      </c>
      <c r="BZ41" s="480">
        <f t="shared" si="95"/>
        <v>103.00000000000023</v>
      </c>
      <c r="CB41" s="477">
        <f>skemA3!B8</f>
        <v>44712</v>
      </c>
      <c r="CC41" s="66">
        <f t="shared" si="96"/>
        <v>-1</v>
      </c>
      <c r="CD41" s="481">
        <f t="shared" si="97"/>
        <v>776</v>
      </c>
      <c r="CE41" s="480">
        <f t="shared" si="98"/>
        <v>0</v>
      </c>
      <c r="CF41" s="480">
        <f t="shared" si="99"/>
        <v>776</v>
      </c>
    </row>
    <row r="42" spans="2:93">
      <c r="B42" s="477">
        <f>skemA3!B9</f>
        <v>44713</v>
      </c>
      <c r="C42" s="66">
        <f t="shared" si="46"/>
        <v>1</v>
      </c>
      <c r="D42" s="481">
        <f>skemA3!F47</f>
        <v>-52.900000000000318</v>
      </c>
      <c r="E42" s="480">
        <f t="shared" si="47"/>
        <v>-52.900000000000318</v>
      </c>
      <c r="F42" s="480">
        <f t="shared" si="48"/>
        <v>0</v>
      </c>
      <c r="H42" s="477">
        <f>skemA3!B9</f>
        <v>44713</v>
      </c>
      <c r="I42" s="66">
        <f t="shared" si="49"/>
        <v>1</v>
      </c>
      <c r="J42" s="481">
        <f>skemA3!G47</f>
        <v>554.50000000000023</v>
      </c>
      <c r="K42" s="480">
        <f t="shared" si="50"/>
        <v>554.50000000000023</v>
      </c>
      <c r="L42" s="480">
        <f t="shared" si="51"/>
        <v>0</v>
      </c>
      <c r="N42" s="477">
        <f>skemA3!B9</f>
        <v>44713</v>
      </c>
      <c r="O42" s="66">
        <f t="shared" si="52"/>
        <v>-1</v>
      </c>
      <c r="P42" s="481">
        <f t="shared" si="53"/>
        <v>-52.900000000000318</v>
      </c>
      <c r="Q42" s="480">
        <f t="shared" si="54"/>
        <v>0</v>
      </c>
      <c r="R42" s="480">
        <f t="shared" si="55"/>
        <v>52.900000000000318</v>
      </c>
      <c r="T42" s="477">
        <f>skemA3!B9</f>
        <v>44713</v>
      </c>
      <c r="U42" s="66">
        <f t="shared" si="56"/>
        <v>-1</v>
      </c>
      <c r="V42" s="481">
        <f t="shared" si="57"/>
        <v>554.50000000000023</v>
      </c>
      <c r="W42" s="480">
        <f t="shared" si="58"/>
        <v>0</v>
      </c>
      <c r="X42" s="480">
        <f t="shared" si="59"/>
        <v>554.50000000000023</v>
      </c>
      <c r="Y42" s="483"/>
      <c r="Z42" s="477">
        <f>skemA3!B9</f>
        <v>44713</v>
      </c>
      <c r="AA42" s="66">
        <f t="shared" si="60"/>
        <v>-1</v>
      </c>
      <c r="AB42" s="481">
        <f t="shared" si="61"/>
        <v>-52.900000000000318</v>
      </c>
      <c r="AC42" s="480">
        <f t="shared" si="62"/>
        <v>0</v>
      </c>
      <c r="AD42" s="480">
        <f t="shared" si="63"/>
        <v>52.900000000000318</v>
      </c>
      <c r="AE42" s="483"/>
      <c r="AF42" s="477">
        <f>skemA3!B9</f>
        <v>44713</v>
      </c>
      <c r="AG42" s="66">
        <f t="shared" si="64"/>
        <v>-1</v>
      </c>
      <c r="AH42" s="481">
        <f t="shared" si="65"/>
        <v>554.50000000000023</v>
      </c>
      <c r="AI42" s="480">
        <f t="shared" si="66"/>
        <v>0</v>
      </c>
      <c r="AJ42" s="480">
        <f t="shared" si="67"/>
        <v>554.50000000000023</v>
      </c>
      <c r="AL42" s="477">
        <f>skemA3!B9</f>
        <v>44713</v>
      </c>
      <c r="AM42" s="66">
        <f t="shared" si="68"/>
        <v>1</v>
      </c>
      <c r="AN42" s="481">
        <f t="shared" si="69"/>
        <v>-52.900000000000318</v>
      </c>
      <c r="AO42" s="480">
        <f t="shared" si="70"/>
        <v>-52.900000000000318</v>
      </c>
      <c r="AP42" s="480">
        <f t="shared" si="71"/>
        <v>0</v>
      </c>
      <c r="AR42" s="477">
        <f>skemA3!B9</f>
        <v>44713</v>
      </c>
      <c r="AS42" s="66">
        <f t="shared" si="72"/>
        <v>1</v>
      </c>
      <c r="AT42" s="481">
        <f t="shared" si="73"/>
        <v>554.50000000000023</v>
      </c>
      <c r="AU42" s="480">
        <f t="shared" si="74"/>
        <v>554.50000000000023</v>
      </c>
      <c r="AV42" s="480">
        <f t="shared" si="75"/>
        <v>0</v>
      </c>
      <c r="AX42" s="477">
        <f t="shared" si="76"/>
        <v>44713</v>
      </c>
      <c r="AY42" s="66">
        <f t="shared" si="76"/>
        <v>1</v>
      </c>
      <c r="AZ42" s="481">
        <f t="shared" si="77"/>
        <v>-52.900000000000318</v>
      </c>
      <c r="BA42" s="480">
        <f t="shared" si="78"/>
        <v>-52.900000000000318</v>
      </c>
      <c r="BB42" s="480">
        <f t="shared" si="79"/>
        <v>0</v>
      </c>
      <c r="BD42" s="477">
        <f>skemA3!B9</f>
        <v>44713</v>
      </c>
      <c r="BE42" s="66">
        <f t="shared" si="80"/>
        <v>1</v>
      </c>
      <c r="BF42" s="481">
        <f t="shared" si="81"/>
        <v>554.50000000000023</v>
      </c>
      <c r="BG42" s="480">
        <f t="shared" si="82"/>
        <v>554.50000000000023</v>
      </c>
      <c r="BH42" s="480">
        <f t="shared" si="83"/>
        <v>0</v>
      </c>
      <c r="BJ42" s="477">
        <f>skemA3!B9</f>
        <v>44713</v>
      </c>
      <c r="BK42" s="66">
        <f t="shared" si="84"/>
        <v>-1</v>
      </c>
      <c r="BL42" s="481">
        <f t="shared" si="85"/>
        <v>-52.900000000000318</v>
      </c>
      <c r="BM42" s="480">
        <f t="shared" si="86"/>
        <v>0</v>
      </c>
      <c r="BN42" s="480">
        <f t="shared" si="87"/>
        <v>52.900000000000318</v>
      </c>
      <c r="BP42" s="477">
        <f>skemA3!B9</f>
        <v>44713</v>
      </c>
      <c r="BQ42" s="66">
        <f t="shared" si="88"/>
        <v>-1</v>
      </c>
      <c r="BR42" s="481">
        <f t="shared" si="89"/>
        <v>554.50000000000023</v>
      </c>
      <c r="BS42" s="480">
        <f t="shared" si="90"/>
        <v>0</v>
      </c>
      <c r="BT42" s="480">
        <f t="shared" si="91"/>
        <v>554.50000000000023</v>
      </c>
      <c r="BU42" s="486"/>
      <c r="BV42" s="477" t="str">
        <f>skemA3!B42</f>
        <v>Tgl</v>
      </c>
      <c r="BW42" s="66">
        <f t="shared" si="92"/>
        <v>1</v>
      </c>
      <c r="BX42" s="481">
        <f t="shared" si="93"/>
        <v>-52.900000000000318</v>
      </c>
      <c r="BY42" s="480">
        <f t="shared" si="94"/>
        <v>-52.900000000000318</v>
      </c>
      <c r="BZ42" s="480">
        <f t="shared" si="95"/>
        <v>0</v>
      </c>
      <c r="CB42" s="477">
        <f>skemA3!B9</f>
        <v>44713</v>
      </c>
      <c r="CC42" s="66">
        <f t="shared" si="96"/>
        <v>1</v>
      </c>
      <c r="CD42" s="481">
        <f t="shared" si="97"/>
        <v>554.50000000000023</v>
      </c>
      <c r="CE42" s="480">
        <f t="shared" si="98"/>
        <v>554.50000000000023</v>
      </c>
      <c r="CF42" s="480">
        <f t="shared" si="99"/>
        <v>0</v>
      </c>
    </row>
    <row r="43" spans="2:93">
      <c r="B43" s="477">
        <f>skemA3!B10</f>
        <v>44714</v>
      </c>
      <c r="C43" s="66">
        <f t="shared" si="46"/>
        <v>1</v>
      </c>
      <c r="D43" s="481">
        <f>skemA3!F48</f>
        <v>99.499999999999773</v>
      </c>
      <c r="E43" s="480">
        <f t="shared" si="47"/>
        <v>99.499999999999773</v>
      </c>
      <c r="F43" s="480">
        <f t="shared" si="48"/>
        <v>0</v>
      </c>
      <c r="H43" s="477">
        <f>skemA3!B10</f>
        <v>44714</v>
      </c>
      <c r="I43" s="66">
        <f t="shared" si="49"/>
        <v>1</v>
      </c>
      <c r="J43" s="481">
        <f>skemA3!G48</f>
        <v>362.5</v>
      </c>
      <c r="K43" s="480">
        <f t="shared" si="50"/>
        <v>362.5</v>
      </c>
      <c r="L43" s="480">
        <f t="shared" si="51"/>
        <v>0</v>
      </c>
      <c r="N43" s="477">
        <f>skemA3!B10</f>
        <v>44714</v>
      </c>
      <c r="O43" s="66">
        <f t="shared" si="52"/>
        <v>-1</v>
      </c>
      <c r="P43" s="481">
        <f t="shared" si="53"/>
        <v>99.499999999999773</v>
      </c>
      <c r="Q43" s="480">
        <f t="shared" si="54"/>
        <v>0</v>
      </c>
      <c r="R43" s="480">
        <f t="shared" si="55"/>
        <v>99.499999999999773</v>
      </c>
      <c r="T43" s="477">
        <f>skemA3!B10</f>
        <v>44714</v>
      </c>
      <c r="U43" s="66">
        <f t="shared" si="56"/>
        <v>-1</v>
      </c>
      <c r="V43" s="481">
        <f t="shared" si="57"/>
        <v>362.5</v>
      </c>
      <c r="W43" s="480">
        <f t="shared" si="58"/>
        <v>0</v>
      </c>
      <c r="X43" s="480">
        <f t="shared" si="59"/>
        <v>362.5</v>
      </c>
      <c r="Y43" s="483"/>
      <c r="Z43" s="477">
        <f>skemA3!B10</f>
        <v>44714</v>
      </c>
      <c r="AA43" s="66">
        <f t="shared" si="60"/>
        <v>-1</v>
      </c>
      <c r="AB43" s="481">
        <f t="shared" si="61"/>
        <v>99.499999999999773</v>
      </c>
      <c r="AC43" s="480">
        <f t="shared" si="62"/>
        <v>0</v>
      </c>
      <c r="AD43" s="480">
        <f t="shared" si="63"/>
        <v>99.499999999999773</v>
      </c>
      <c r="AE43" s="483"/>
      <c r="AF43" s="477">
        <f>skemA3!B10</f>
        <v>44714</v>
      </c>
      <c r="AG43" s="66">
        <f t="shared" si="64"/>
        <v>-1</v>
      </c>
      <c r="AH43" s="481">
        <f t="shared" si="65"/>
        <v>362.5</v>
      </c>
      <c r="AI43" s="480">
        <f t="shared" si="66"/>
        <v>0</v>
      </c>
      <c r="AJ43" s="480">
        <f t="shared" si="67"/>
        <v>362.5</v>
      </c>
      <c r="AL43" s="477">
        <f>skemA3!B10</f>
        <v>44714</v>
      </c>
      <c r="AM43" s="66">
        <f t="shared" si="68"/>
        <v>1</v>
      </c>
      <c r="AN43" s="481">
        <f t="shared" si="69"/>
        <v>99.499999999999773</v>
      </c>
      <c r="AO43" s="480">
        <f t="shared" si="70"/>
        <v>99.499999999999773</v>
      </c>
      <c r="AP43" s="480">
        <f t="shared" si="71"/>
        <v>0</v>
      </c>
      <c r="AR43" s="477">
        <f>skemA3!B10</f>
        <v>44714</v>
      </c>
      <c r="AS43" s="66">
        <f t="shared" si="72"/>
        <v>1</v>
      </c>
      <c r="AT43" s="481">
        <f t="shared" si="73"/>
        <v>362.5</v>
      </c>
      <c r="AU43" s="480">
        <f t="shared" si="74"/>
        <v>362.5</v>
      </c>
      <c r="AV43" s="480">
        <f t="shared" si="75"/>
        <v>0</v>
      </c>
      <c r="AX43" s="477">
        <f t="shared" si="76"/>
        <v>44714</v>
      </c>
      <c r="AY43" s="66">
        <f t="shared" si="76"/>
        <v>-1</v>
      </c>
      <c r="AZ43" s="481">
        <f t="shared" si="77"/>
        <v>99.499999999999773</v>
      </c>
      <c r="BA43" s="480">
        <f t="shared" si="78"/>
        <v>0</v>
      </c>
      <c r="BB43" s="480">
        <f t="shared" si="79"/>
        <v>99.499999999999773</v>
      </c>
      <c r="BD43" s="477">
        <f>skemA3!B10</f>
        <v>44714</v>
      </c>
      <c r="BE43" s="66">
        <f t="shared" si="80"/>
        <v>-1</v>
      </c>
      <c r="BF43" s="481">
        <f t="shared" si="81"/>
        <v>362.5</v>
      </c>
      <c r="BG43" s="480">
        <f t="shared" si="82"/>
        <v>0</v>
      </c>
      <c r="BH43" s="480">
        <f t="shared" si="83"/>
        <v>362.5</v>
      </c>
      <c r="BJ43" s="477">
        <f>skemA3!B10</f>
        <v>44714</v>
      </c>
      <c r="BK43" s="66">
        <f t="shared" si="84"/>
        <v>1</v>
      </c>
      <c r="BL43" s="481">
        <f t="shared" si="85"/>
        <v>99.499999999999773</v>
      </c>
      <c r="BM43" s="480">
        <f t="shared" si="86"/>
        <v>99.499999999999773</v>
      </c>
      <c r="BN43" s="480">
        <f t="shared" si="87"/>
        <v>0</v>
      </c>
      <c r="BP43" s="477">
        <f>skemA3!B10</f>
        <v>44714</v>
      </c>
      <c r="BQ43" s="66">
        <f t="shared" si="88"/>
        <v>1</v>
      </c>
      <c r="BR43" s="481">
        <f t="shared" si="89"/>
        <v>362.5</v>
      </c>
      <c r="BS43" s="480">
        <f t="shared" si="90"/>
        <v>362.5</v>
      </c>
      <c r="BT43" s="480">
        <f t="shared" si="91"/>
        <v>0</v>
      </c>
      <c r="BU43" s="486"/>
      <c r="BV43" s="477">
        <f>skemA3!B43</f>
        <v>44709</v>
      </c>
      <c r="BW43" s="66">
        <f t="shared" si="92"/>
        <v>1</v>
      </c>
      <c r="BX43" s="481">
        <f t="shared" si="93"/>
        <v>99.499999999999773</v>
      </c>
      <c r="BY43" s="480">
        <f t="shared" si="94"/>
        <v>99.499999999999773</v>
      </c>
      <c r="BZ43" s="480">
        <f t="shared" si="95"/>
        <v>0</v>
      </c>
      <c r="CB43" s="477">
        <f>skemA3!B10</f>
        <v>44714</v>
      </c>
      <c r="CC43" s="66">
        <f t="shared" si="96"/>
        <v>1</v>
      </c>
      <c r="CD43" s="481">
        <f t="shared" si="97"/>
        <v>362.5</v>
      </c>
      <c r="CE43" s="480">
        <f t="shared" si="98"/>
        <v>362.5</v>
      </c>
      <c r="CF43" s="480">
        <f t="shared" si="99"/>
        <v>0</v>
      </c>
    </row>
    <row r="44" spans="2:93">
      <c r="B44" s="477">
        <f>skemA3!B11</f>
        <v>44715</v>
      </c>
      <c r="C44" s="66">
        <f t="shared" si="46"/>
        <v>1</v>
      </c>
      <c r="D44" s="481">
        <f>skemA3!F49</f>
        <v>304.89999999999986</v>
      </c>
      <c r="E44" s="480">
        <f t="shared" si="47"/>
        <v>304.89999999999986</v>
      </c>
      <c r="F44" s="480">
        <f t="shared" si="48"/>
        <v>0</v>
      </c>
      <c r="H44" s="477">
        <f>skemA3!B11</f>
        <v>44715</v>
      </c>
      <c r="I44" s="66">
        <f t="shared" si="49"/>
        <v>1</v>
      </c>
      <c r="J44" s="481">
        <f>skemA3!G49</f>
        <v>260.30000000000018</v>
      </c>
      <c r="K44" s="480">
        <f t="shared" si="50"/>
        <v>260.30000000000018</v>
      </c>
      <c r="L44" s="480">
        <f t="shared" si="51"/>
        <v>0</v>
      </c>
      <c r="N44" s="477">
        <f>skemA3!B11</f>
        <v>44715</v>
      </c>
      <c r="O44" s="66">
        <f t="shared" si="52"/>
        <v>-1</v>
      </c>
      <c r="P44" s="481">
        <f t="shared" si="53"/>
        <v>304.89999999999986</v>
      </c>
      <c r="Q44" s="480">
        <f t="shared" si="54"/>
        <v>0</v>
      </c>
      <c r="R44" s="480">
        <f t="shared" si="55"/>
        <v>304.89999999999986</v>
      </c>
      <c r="T44" s="477">
        <f>skemA3!B11</f>
        <v>44715</v>
      </c>
      <c r="U44" s="66">
        <f t="shared" si="56"/>
        <v>-1</v>
      </c>
      <c r="V44" s="481">
        <f t="shared" si="57"/>
        <v>260.30000000000018</v>
      </c>
      <c r="W44" s="480">
        <f t="shared" si="58"/>
        <v>0</v>
      </c>
      <c r="X44" s="480">
        <f t="shared" si="59"/>
        <v>260.30000000000018</v>
      </c>
      <c r="Y44" s="483"/>
      <c r="Z44" s="477">
        <f>skemA3!B11</f>
        <v>44715</v>
      </c>
      <c r="AA44" s="66">
        <f t="shared" si="60"/>
        <v>-1</v>
      </c>
      <c r="AB44" s="481">
        <f t="shared" si="61"/>
        <v>304.89999999999986</v>
      </c>
      <c r="AC44" s="480">
        <f t="shared" si="62"/>
        <v>0</v>
      </c>
      <c r="AD44" s="480">
        <f t="shared" si="63"/>
        <v>304.89999999999986</v>
      </c>
      <c r="AE44" s="483"/>
      <c r="AF44" s="477">
        <f>skemA3!B11</f>
        <v>44715</v>
      </c>
      <c r="AG44" s="66">
        <f t="shared" si="64"/>
        <v>-1</v>
      </c>
      <c r="AH44" s="481">
        <f t="shared" si="65"/>
        <v>260.30000000000018</v>
      </c>
      <c r="AI44" s="480">
        <f t="shared" si="66"/>
        <v>0</v>
      </c>
      <c r="AJ44" s="480">
        <f t="shared" si="67"/>
        <v>260.30000000000018</v>
      </c>
      <c r="AL44" s="477">
        <f>skemA3!B11</f>
        <v>44715</v>
      </c>
      <c r="AM44" s="66">
        <f t="shared" si="68"/>
        <v>1</v>
      </c>
      <c r="AN44" s="481">
        <f t="shared" si="69"/>
        <v>304.89999999999986</v>
      </c>
      <c r="AO44" s="480">
        <f t="shared" si="70"/>
        <v>304.89999999999986</v>
      </c>
      <c r="AP44" s="480">
        <f t="shared" si="71"/>
        <v>0</v>
      </c>
      <c r="AR44" s="477">
        <f>skemA3!B11</f>
        <v>44715</v>
      </c>
      <c r="AS44" s="66">
        <f t="shared" si="72"/>
        <v>1</v>
      </c>
      <c r="AT44" s="481">
        <f t="shared" si="73"/>
        <v>260.30000000000018</v>
      </c>
      <c r="AU44" s="480">
        <f t="shared" si="74"/>
        <v>260.30000000000018</v>
      </c>
      <c r="AV44" s="480">
        <f t="shared" si="75"/>
        <v>0</v>
      </c>
      <c r="AX44" s="477">
        <f t="shared" si="76"/>
        <v>44715</v>
      </c>
      <c r="AY44" s="66">
        <f t="shared" si="76"/>
        <v>-1</v>
      </c>
      <c r="AZ44" s="481">
        <f t="shared" si="77"/>
        <v>304.89999999999986</v>
      </c>
      <c r="BA44" s="480">
        <f t="shared" si="78"/>
        <v>0</v>
      </c>
      <c r="BB44" s="480">
        <f t="shared" si="79"/>
        <v>304.89999999999986</v>
      </c>
      <c r="BD44" s="477">
        <f>skemA3!B11</f>
        <v>44715</v>
      </c>
      <c r="BE44" s="66">
        <f t="shared" si="80"/>
        <v>-1</v>
      </c>
      <c r="BF44" s="481">
        <f t="shared" si="81"/>
        <v>260.30000000000018</v>
      </c>
      <c r="BG44" s="480">
        <f t="shared" si="82"/>
        <v>0</v>
      </c>
      <c r="BH44" s="480">
        <f t="shared" si="83"/>
        <v>260.30000000000018</v>
      </c>
      <c r="BJ44" s="477">
        <f>skemA3!B11</f>
        <v>44715</v>
      </c>
      <c r="BK44" s="66">
        <f t="shared" si="84"/>
        <v>1</v>
      </c>
      <c r="BL44" s="481">
        <f t="shared" si="85"/>
        <v>304.89999999999986</v>
      </c>
      <c r="BM44" s="480">
        <f t="shared" si="86"/>
        <v>304.89999999999986</v>
      </c>
      <c r="BN44" s="480">
        <f t="shared" si="87"/>
        <v>0</v>
      </c>
      <c r="BP44" s="477">
        <f>skemA3!B11</f>
        <v>44715</v>
      </c>
      <c r="BQ44" s="66">
        <f t="shared" si="88"/>
        <v>1</v>
      </c>
      <c r="BR44" s="481">
        <f t="shared" si="89"/>
        <v>260.30000000000018</v>
      </c>
      <c r="BS44" s="480">
        <f t="shared" si="90"/>
        <v>260.30000000000018</v>
      </c>
      <c r="BT44" s="480">
        <f t="shared" si="91"/>
        <v>0</v>
      </c>
      <c r="BU44" s="486"/>
      <c r="BV44" s="477">
        <f>skemA3!B44</f>
        <v>44710</v>
      </c>
      <c r="BW44" s="66">
        <f t="shared" si="92"/>
        <v>1</v>
      </c>
      <c r="BX44" s="481">
        <f t="shared" si="93"/>
        <v>304.89999999999986</v>
      </c>
      <c r="BY44" s="480">
        <f t="shared" si="94"/>
        <v>304.89999999999986</v>
      </c>
      <c r="BZ44" s="480">
        <f t="shared" si="95"/>
        <v>0</v>
      </c>
      <c r="CB44" s="477">
        <f>skemA3!B11</f>
        <v>44715</v>
      </c>
      <c r="CC44" s="66">
        <f t="shared" si="96"/>
        <v>1</v>
      </c>
      <c r="CD44" s="481">
        <f t="shared" si="97"/>
        <v>260.30000000000018</v>
      </c>
      <c r="CE44" s="480">
        <f t="shared" si="98"/>
        <v>260.30000000000018</v>
      </c>
      <c r="CF44" s="480">
        <f t="shared" si="99"/>
        <v>0</v>
      </c>
    </row>
    <row r="45" spans="2:93">
      <c r="B45" s="477">
        <f>skemA3!B12</f>
        <v>44716</v>
      </c>
      <c r="C45" s="66">
        <f t="shared" si="46"/>
        <v>1</v>
      </c>
      <c r="D45" s="481">
        <f>skemA3!F50</f>
        <v>484.14999999999986</v>
      </c>
      <c r="E45" s="480">
        <f t="shared" si="47"/>
        <v>484.14999999999986</v>
      </c>
      <c r="F45" s="480">
        <f t="shared" si="48"/>
        <v>0</v>
      </c>
      <c r="H45" s="477">
        <f>skemA3!B12</f>
        <v>44716</v>
      </c>
      <c r="I45" s="66">
        <f t="shared" si="49"/>
        <v>1</v>
      </c>
      <c r="J45" s="481">
        <f>skemA3!G50</f>
        <v>188.15000000000032</v>
      </c>
      <c r="K45" s="480">
        <f t="shared" si="50"/>
        <v>188.15000000000032</v>
      </c>
      <c r="L45" s="480">
        <f t="shared" si="51"/>
        <v>0</v>
      </c>
      <c r="N45" s="477">
        <f>skemA3!B12</f>
        <v>44716</v>
      </c>
      <c r="O45" s="66">
        <f t="shared" si="52"/>
        <v>-1</v>
      </c>
      <c r="P45" s="481">
        <f t="shared" si="53"/>
        <v>484.14999999999986</v>
      </c>
      <c r="Q45" s="480">
        <f t="shared" si="54"/>
        <v>0</v>
      </c>
      <c r="R45" s="480">
        <f t="shared" si="55"/>
        <v>484.14999999999986</v>
      </c>
      <c r="T45" s="477">
        <f>skemA3!B12</f>
        <v>44716</v>
      </c>
      <c r="U45" s="66">
        <f t="shared" si="56"/>
        <v>-1</v>
      </c>
      <c r="V45" s="481">
        <f t="shared" si="57"/>
        <v>188.15000000000032</v>
      </c>
      <c r="W45" s="480">
        <f t="shared" si="58"/>
        <v>0</v>
      </c>
      <c r="X45" s="480">
        <f t="shared" si="59"/>
        <v>188.15000000000032</v>
      </c>
      <c r="Y45" s="483"/>
      <c r="Z45" s="477">
        <f>skemA3!B12</f>
        <v>44716</v>
      </c>
      <c r="AA45" s="66">
        <f t="shared" si="60"/>
        <v>0</v>
      </c>
      <c r="AB45" s="481">
        <f t="shared" si="61"/>
        <v>484.14999999999986</v>
      </c>
      <c r="AC45" s="480">
        <f t="shared" si="62"/>
        <v>0</v>
      </c>
      <c r="AD45" s="480">
        <f t="shared" si="63"/>
        <v>0</v>
      </c>
      <c r="AE45" s="483"/>
      <c r="AF45" s="477">
        <f>skemA3!B12</f>
        <v>44716</v>
      </c>
      <c r="AG45" s="66">
        <f t="shared" si="64"/>
        <v>0</v>
      </c>
      <c r="AH45" s="481">
        <f t="shared" si="65"/>
        <v>188.15000000000032</v>
      </c>
      <c r="AI45" s="480">
        <f t="shared" si="66"/>
        <v>0</v>
      </c>
      <c r="AJ45" s="480">
        <f t="shared" si="67"/>
        <v>0</v>
      </c>
      <c r="AL45" s="477">
        <f>skemA3!B12</f>
        <v>44716</v>
      </c>
      <c r="AM45" s="66">
        <f t="shared" si="68"/>
        <v>-1</v>
      </c>
      <c r="AN45" s="481">
        <f t="shared" si="69"/>
        <v>484.14999999999986</v>
      </c>
      <c r="AO45" s="480">
        <f t="shared" si="70"/>
        <v>0</v>
      </c>
      <c r="AP45" s="480">
        <f t="shared" si="71"/>
        <v>484.14999999999986</v>
      </c>
      <c r="AR45" s="477">
        <f>skemA3!B12</f>
        <v>44716</v>
      </c>
      <c r="AS45" s="66">
        <f t="shared" si="72"/>
        <v>-1</v>
      </c>
      <c r="AT45" s="481">
        <f t="shared" si="73"/>
        <v>188.15000000000032</v>
      </c>
      <c r="AU45" s="480">
        <f t="shared" si="74"/>
        <v>0</v>
      </c>
      <c r="AV45" s="480">
        <f t="shared" si="75"/>
        <v>188.15000000000032</v>
      </c>
      <c r="AX45" s="477">
        <f t="shared" si="76"/>
        <v>44716</v>
      </c>
      <c r="AY45" s="66">
        <f t="shared" si="76"/>
        <v>-1</v>
      </c>
      <c r="AZ45" s="481">
        <f t="shared" si="77"/>
        <v>484.14999999999986</v>
      </c>
      <c r="BA45" s="480">
        <f t="shared" si="78"/>
        <v>0</v>
      </c>
      <c r="BB45" s="480">
        <f t="shared" si="79"/>
        <v>484.14999999999986</v>
      </c>
      <c r="BD45" s="477">
        <f>skemA3!B12</f>
        <v>44716</v>
      </c>
      <c r="BE45" s="66">
        <f t="shared" si="80"/>
        <v>-1</v>
      </c>
      <c r="BF45" s="481">
        <f t="shared" si="81"/>
        <v>188.15000000000032</v>
      </c>
      <c r="BG45" s="480">
        <f t="shared" si="82"/>
        <v>0</v>
      </c>
      <c r="BH45" s="480">
        <f t="shared" si="83"/>
        <v>188.15000000000032</v>
      </c>
      <c r="BJ45" s="477">
        <f>skemA3!B12</f>
        <v>44716</v>
      </c>
      <c r="BK45" s="66">
        <f t="shared" si="84"/>
        <v>1</v>
      </c>
      <c r="BL45" s="481">
        <f t="shared" si="85"/>
        <v>484.14999999999986</v>
      </c>
      <c r="BM45" s="480">
        <f t="shared" si="86"/>
        <v>484.14999999999986</v>
      </c>
      <c r="BN45" s="480">
        <f t="shared" si="87"/>
        <v>0</v>
      </c>
      <c r="BP45" s="477">
        <f>skemA3!B12</f>
        <v>44716</v>
      </c>
      <c r="BQ45" s="66">
        <f t="shared" si="88"/>
        <v>1</v>
      </c>
      <c r="BR45" s="481">
        <f t="shared" si="89"/>
        <v>188.15000000000032</v>
      </c>
      <c r="BS45" s="480">
        <f t="shared" si="90"/>
        <v>188.15000000000032</v>
      </c>
      <c r="BT45" s="480">
        <f t="shared" si="91"/>
        <v>0</v>
      </c>
      <c r="BU45" s="486"/>
      <c r="BV45" s="477">
        <f>skemA3!B45</f>
        <v>44711</v>
      </c>
      <c r="BW45" s="66">
        <f t="shared" si="92"/>
        <v>0</v>
      </c>
      <c r="BX45" s="481">
        <f t="shared" si="93"/>
        <v>484.14999999999986</v>
      </c>
      <c r="BY45" s="480">
        <f t="shared" si="94"/>
        <v>0</v>
      </c>
      <c r="BZ45" s="480">
        <f t="shared" si="95"/>
        <v>0</v>
      </c>
      <c r="CB45" s="477">
        <f>skemA3!B12</f>
        <v>44716</v>
      </c>
      <c r="CC45" s="66">
        <f t="shared" si="96"/>
        <v>0</v>
      </c>
      <c r="CD45" s="481">
        <f t="shared" si="97"/>
        <v>188.15000000000032</v>
      </c>
      <c r="CE45" s="480">
        <f t="shared" si="98"/>
        <v>0</v>
      </c>
      <c r="CF45" s="480">
        <f t="shared" si="99"/>
        <v>0</v>
      </c>
    </row>
    <row r="46" spans="2:93">
      <c r="B46" s="477">
        <f>skemA3!B13</f>
        <v>44717</v>
      </c>
      <c r="C46" s="66">
        <f t="shared" si="46"/>
        <v>1</v>
      </c>
      <c r="D46" s="481">
        <f>skemA3!F51</f>
        <v>652.50000000000023</v>
      </c>
      <c r="E46" s="480">
        <f t="shared" si="47"/>
        <v>652.50000000000023</v>
      </c>
      <c r="F46" s="480">
        <f t="shared" si="48"/>
        <v>0</v>
      </c>
      <c r="H46" s="477">
        <f>skemA3!B13</f>
        <v>44717</v>
      </c>
      <c r="I46" s="66">
        <f t="shared" si="49"/>
        <v>1</v>
      </c>
      <c r="J46" s="481">
        <f>skemA3!G51</f>
        <v>212.69999999999982</v>
      </c>
      <c r="K46" s="480">
        <f t="shared" si="50"/>
        <v>212.69999999999982</v>
      </c>
      <c r="L46" s="480">
        <f t="shared" si="51"/>
        <v>0</v>
      </c>
      <c r="N46" s="477">
        <f>skemA3!B13</f>
        <v>44717</v>
      </c>
      <c r="O46" s="66">
        <f t="shared" si="52"/>
        <v>-1</v>
      </c>
      <c r="P46" s="481">
        <f t="shared" si="53"/>
        <v>652.50000000000023</v>
      </c>
      <c r="Q46" s="480">
        <f t="shared" si="54"/>
        <v>0</v>
      </c>
      <c r="R46" s="480">
        <f t="shared" si="55"/>
        <v>652.50000000000023</v>
      </c>
      <c r="T46" s="477">
        <f>skemA3!B13</f>
        <v>44717</v>
      </c>
      <c r="U46" s="66">
        <f t="shared" si="56"/>
        <v>-1</v>
      </c>
      <c r="V46" s="481">
        <f t="shared" si="57"/>
        <v>212.69999999999982</v>
      </c>
      <c r="W46" s="480">
        <f t="shared" si="58"/>
        <v>0</v>
      </c>
      <c r="X46" s="480">
        <f t="shared" si="59"/>
        <v>212.69999999999982</v>
      </c>
      <c r="Y46" s="483"/>
      <c r="Z46" s="477">
        <f>skemA3!B13</f>
        <v>44717</v>
      </c>
      <c r="AA46" s="66">
        <f t="shared" si="60"/>
        <v>1</v>
      </c>
      <c r="AB46" s="481">
        <f t="shared" si="61"/>
        <v>652.50000000000023</v>
      </c>
      <c r="AC46" s="480">
        <f t="shared" si="62"/>
        <v>652.50000000000023</v>
      </c>
      <c r="AD46" s="480">
        <f t="shared" si="63"/>
        <v>0</v>
      </c>
      <c r="AE46" s="483"/>
      <c r="AF46" s="477">
        <f>skemA3!B13</f>
        <v>44717</v>
      </c>
      <c r="AG46" s="66">
        <f t="shared" si="64"/>
        <v>1</v>
      </c>
      <c r="AH46" s="481">
        <f t="shared" si="65"/>
        <v>212.69999999999982</v>
      </c>
      <c r="AI46" s="480">
        <f t="shared" si="66"/>
        <v>212.69999999999982</v>
      </c>
      <c r="AJ46" s="480">
        <f t="shared" si="67"/>
        <v>0</v>
      </c>
      <c r="AL46" s="477">
        <f>skemA3!B13</f>
        <v>44717</v>
      </c>
      <c r="AM46" s="66">
        <f t="shared" si="68"/>
        <v>-1</v>
      </c>
      <c r="AN46" s="481">
        <f t="shared" si="69"/>
        <v>652.50000000000023</v>
      </c>
      <c r="AO46" s="480">
        <f t="shared" si="70"/>
        <v>0</v>
      </c>
      <c r="AP46" s="480">
        <f t="shared" si="71"/>
        <v>652.50000000000023</v>
      </c>
      <c r="AR46" s="477">
        <f>skemA3!B13</f>
        <v>44717</v>
      </c>
      <c r="AS46" s="66">
        <f t="shared" si="72"/>
        <v>-1</v>
      </c>
      <c r="AT46" s="481">
        <f t="shared" si="73"/>
        <v>212.69999999999982</v>
      </c>
      <c r="AU46" s="480">
        <f t="shared" si="74"/>
        <v>0</v>
      </c>
      <c r="AV46" s="480">
        <f t="shared" si="75"/>
        <v>212.69999999999982</v>
      </c>
      <c r="AX46" s="477">
        <f t="shared" si="76"/>
        <v>44717</v>
      </c>
      <c r="AY46" s="66">
        <f t="shared" si="76"/>
        <v>-1</v>
      </c>
      <c r="AZ46" s="481">
        <f t="shared" si="77"/>
        <v>652.50000000000023</v>
      </c>
      <c r="BA46" s="480">
        <f t="shared" si="78"/>
        <v>0</v>
      </c>
      <c r="BB46" s="480">
        <f t="shared" si="79"/>
        <v>652.50000000000023</v>
      </c>
      <c r="BD46" s="477">
        <f>skemA3!B13</f>
        <v>44717</v>
      </c>
      <c r="BE46" s="66">
        <f t="shared" si="80"/>
        <v>-1</v>
      </c>
      <c r="BF46" s="481">
        <f t="shared" si="81"/>
        <v>212.69999999999982</v>
      </c>
      <c r="BG46" s="480">
        <f t="shared" si="82"/>
        <v>0</v>
      </c>
      <c r="BH46" s="480">
        <f t="shared" si="83"/>
        <v>212.69999999999982</v>
      </c>
      <c r="BJ46" s="477">
        <f>skemA3!B13</f>
        <v>44717</v>
      </c>
      <c r="BK46" s="66">
        <f t="shared" si="84"/>
        <v>1</v>
      </c>
      <c r="BL46" s="481">
        <f t="shared" si="85"/>
        <v>652.50000000000023</v>
      </c>
      <c r="BM46" s="480">
        <f t="shared" si="86"/>
        <v>652.50000000000023</v>
      </c>
      <c r="BN46" s="480">
        <f t="shared" si="87"/>
        <v>0</v>
      </c>
      <c r="BP46" s="477">
        <f>skemA3!B13</f>
        <v>44717</v>
      </c>
      <c r="BQ46" s="66">
        <f t="shared" si="88"/>
        <v>1</v>
      </c>
      <c r="BR46" s="481">
        <f t="shared" si="89"/>
        <v>212.69999999999982</v>
      </c>
      <c r="BS46" s="480">
        <f t="shared" si="90"/>
        <v>212.69999999999982</v>
      </c>
      <c r="BT46" s="480">
        <f t="shared" si="91"/>
        <v>0</v>
      </c>
      <c r="BU46" s="486"/>
      <c r="BV46" s="477">
        <f>skemA3!B46</f>
        <v>44712</v>
      </c>
      <c r="BW46" s="66">
        <f t="shared" si="92"/>
        <v>-1</v>
      </c>
      <c r="BX46" s="481">
        <f t="shared" si="93"/>
        <v>652.50000000000023</v>
      </c>
      <c r="BY46" s="480">
        <f t="shared" si="94"/>
        <v>0</v>
      </c>
      <c r="BZ46" s="480">
        <f t="shared" si="95"/>
        <v>652.50000000000023</v>
      </c>
      <c r="CB46" s="477">
        <f>skemA3!B13</f>
        <v>44717</v>
      </c>
      <c r="CC46" s="66">
        <f t="shared" si="96"/>
        <v>-1</v>
      </c>
      <c r="CD46" s="481">
        <f t="shared" si="97"/>
        <v>212.69999999999982</v>
      </c>
      <c r="CE46" s="480">
        <f t="shared" si="98"/>
        <v>0</v>
      </c>
      <c r="CF46" s="480">
        <f t="shared" si="99"/>
        <v>212.69999999999982</v>
      </c>
    </row>
    <row r="47" spans="2:93">
      <c r="B47" s="477">
        <f>skemA3!B14</f>
        <v>44718</v>
      </c>
      <c r="C47" s="66">
        <f t="shared" si="46"/>
        <v>1</v>
      </c>
      <c r="D47" s="481">
        <f>skemA3!F52</f>
        <v>818.59999999999968</v>
      </c>
      <c r="E47" s="480">
        <f t="shared" si="47"/>
        <v>818.59999999999968</v>
      </c>
      <c r="F47" s="480">
        <f t="shared" si="48"/>
        <v>0</v>
      </c>
      <c r="H47" s="477">
        <f>skemA3!B14</f>
        <v>44718</v>
      </c>
      <c r="I47" s="66">
        <f t="shared" si="49"/>
        <v>1</v>
      </c>
      <c r="J47" s="481">
        <f>skemA3!G52</f>
        <v>295.19999999999959</v>
      </c>
      <c r="K47" s="480">
        <f t="shared" si="50"/>
        <v>295.19999999999959</v>
      </c>
      <c r="L47" s="480">
        <f t="shared" si="51"/>
        <v>0</v>
      </c>
      <c r="N47" s="477">
        <f>skemA3!B14</f>
        <v>44718</v>
      </c>
      <c r="O47" s="66">
        <f t="shared" si="52"/>
        <v>-1</v>
      </c>
      <c r="P47" s="481">
        <f t="shared" si="53"/>
        <v>818.59999999999968</v>
      </c>
      <c r="Q47" s="480">
        <f t="shared" si="54"/>
        <v>0</v>
      </c>
      <c r="R47" s="480">
        <f t="shared" si="55"/>
        <v>818.59999999999968</v>
      </c>
      <c r="T47" s="477">
        <f>skemA3!B14</f>
        <v>44718</v>
      </c>
      <c r="U47" s="66">
        <f t="shared" si="56"/>
        <v>-1</v>
      </c>
      <c r="V47" s="481">
        <f t="shared" si="57"/>
        <v>295.19999999999959</v>
      </c>
      <c r="W47" s="480">
        <f t="shared" si="58"/>
        <v>0</v>
      </c>
      <c r="X47" s="480">
        <f t="shared" si="59"/>
        <v>295.19999999999959</v>
      </c>
      <c r="Y47" s="483"/>
      <c r="Z47" s="477">
        <f>skemA3!B14</f>
        <v>44718</v>
      </c>
      <c r="AA47" s="66">
        <f t="shared" si="60"/>
        <v>1</v>
      </c>
      <c r="AB47" s="481">
        <f t="shared" si="61"/>
        <v>818.59999999999968</v>
      </c>
      <c r="AC47" s="480">
        <f t="shared" si="62"/>
        <v>818.59999999999968</v>
      </c>
      <c r="AD47" s="480">
        <f t="shared" si="63"/>
        <v>0</v>
      </c>
      <c r="AE47" s="483"/>
      <c r="AF47" s="477">
        <f>skemA3!B14</f>
        <v>44718</v>
      </c>
      <c r="AG47" s="66">
        <f t="shared" si="64"/>
        <v>1</v>
      </c>
      <c r="AH47" s="481">
        <f t="shared" si="65"/>
        <v>295.19999999999959</v>
      </c>
      <c r="AI47" s="480">
        <f t="shared" si="66"/>
        <v>295.19999999999959</v>
      </c>
      <c r="AJ47" s="480">
        <f t="shared" si="67"/>
        <v>0</v>
      </c>
      <c r="AL47" s="477">
        <f>skemA3!B14</f>
        <v>44718</v>
      </c>
      <c r="AM47" s="66">
        <f t="shared" si="68"/>
        <v>-1</v>
      </c>
      <c r="AN47" s="481">
        <f t="shared" si="69"/>
        <v>818.59999999999968</v>
      </c>
      <c r="AO47" s="480">
        <f t="shared" si="70"/>
        <v>0</v>
      </c>
      <c r="AP47" s="480">
        <f t="shared" si="71"/>
        <v>818.59999999999968</v>
      </c>
      <c r="AR47" s="477">
        <f>skemA3!B14</f>
        <v>44718</v>
      </c>
      <c r="AS47" s="66">
        <f t="shared" si="72"/>
        <v>-1</v>
      </c>
      <c r="AT47" s="481">
        <f t="shared" si="73"/>
        <v>295.19999999999959</v>
      </c>
      <c r="AU47" s="480">
        <f t="shared" si="74"/>
        <v>0</v>
      </c>
      <c r="AV47" s="480">
        <f t="shared" si="75"/>
        <v>295.19999999999959</v>
      </c>
      <c r="AX47" s="477">
        <f t="shared" si="76"/>
        <v>44718</v>
      </c>
      <c r="AY47" s="66">
        <f t="shared" si="76"/>
        <v>-1</v>
      </c>
      <c r="AZ47" s="481">
        <f t="shared" si="77"/>
        <v>818.59999999999968</v>
      </c>
      <c r="BA47" s="480">
        <f t="shared" si="78"/>
        <v>0</v>
      </c>
      <c r="BB47" s="480">
        <f t="shared" si="79"/>
        <v>818.59999999999968</v>
      </c>
      <c r="BD47" s="477">
        <f>skemA3!B14</f>
        <v>44718</v>
      </c>
      <c r="BE47" s="66">
        <f t="shared" si="80"/>
        <v>-1</v>
      </c>
      <c r="BF47" s="481">
        <f t="shared" si="81"/>
        <v>295.19999999999959</v>
      </c>
      <c r="BG47" s="480">
        <f t="shared" si="82"/>
        <v>0</v>
      </c>
      <c r="BH47" s="480">
        <f t="shared" si="83"/>
        <v>295.19999999999959</v>
      </c>
      <c r="BJ47" s="477">
        <f>skemA3!B14</f>
        <v>44718</v>
      </c>
      <c r="BK47" s="66">
        <f t="shared" si="84"/>
        <v>-1</v>
      </c>
      <c r="BL47" s="481">
        <f t="shared" si="85"/>
        <v>818.59999999999968</v>
      </c>
      <c r="BM47" s="480">
        <f t="shared" si="86"/>
        <v>0</v>
      </c>
      <c r="BN47" s="480">
        <f t="shared" si="87"/>
        <v>818.59999999999968</v>
      </c>
      <c r="BP47" s="477">
        <f>skemA3!B14</f>
        <v>44718</v>
      </c>
      <c r="BQ47" s="66">
        <f t="shared" si="88"/>
        <v>-1</v>
      </c>
      <c r="BR47" s="481">
        <f t="shared" si="89"/>
        <v>295.19999999999959</v>
      </c>
      <c r="BS47" s="480">
        <f t="shared" si="90"/>
        <v>0</v>
      </c>
      <c r="BT47" s="480">
        <f t="shared" si="91"/>
        <v>295.19999999999959</v>
      </c>
      <c r="BU47" s="486"/>
      <c r="BV47" s="477">
        <f>skemA3!B47</f>
        <v>44713</v>
      </c>
      <c r="BW47" s="66">
        <f t="shared" si="92"/>
        <v>-1</v>
      </c>
      <c r="BX47" s="481">
        <f t="shared" si="93"/>
        <v>818.59999999999968</v>
      </c>
      <c r="BY47" s="480">
        <f t="shared" si="94"/>
        <v>0</v>
      </c>
      <c r="BZ47" s="480">
        <f t="shared" si="95"/>
        <v>818.59999999999968</v>
      </c>
      <c r="CB47" s="477">
        <f>skemA3!B14</f>
        <v>44718</v>
      </c>
      <c r="CC47" s="66">
        <f t="shared" si="96"/>
        <v>-1</v>
      </c>
      <c r="CD47" s="481">
        <f t="shared" si="97"/>
        <v>295.19999999999959</v>
      </c>
      <c r="CE47" s="480">
        <f t="shared" si="98"/>
        <v>0</v>
      </c>
      <c r="CF47" s="480">
        <f t="shared" si="99"/>
        <v>295.19999999999959</v>
      </c>
    </row>
    <row r="48" spans="2:93">
      <c r="B48" s="477">
        <f>skemA3!B15</f>
        <v>44719</v>
      </c>
      <c r="C48" s="66">
        <f t="shared" si="46"/>
        <v>1</v>
      </c>
      <c r="D48" s="481">
        <f>skemA3!F53</f>
        <v>939.49999999999955</v>
      </c>
      <c r="E48" s="480">
        <f t="shared" si="47"/>
        <v>939.49999999999955</v>
      </c>
      <c r="F48" s="480">
        <f t="shared" si="48"/>
        <v>0</v>
      </c>
      <c r="H48" s="477">
        <f>skemA3!B15</f>
        <v>44719</v>
      </c>
      <c r="I48" s="66">
        <f t="shared" si="49"/>
        <v>1</v>
      </c>
      <c r="J48" s="481">
        <f>skemA3!G53</f>
        <v>434.09999999999991</v>
      </c>
      <c r="K48" s="480">
        <f t="shared" si="50"/>
        <v>434.09999999999991</v>
      </c>
      <c r="L48" s="480">
        <f t="shared" si="51"/>
        <v>0</v>
      </c>
      <c r="N48" s="477">
        <f>skemA3!B15</f>
        <v>44719</v>
      </c>
      <c r="O48" s="66">
        <f t="shared" si="52"/>
        <v>-1</v>
      </c>
      <c r="P48" s="481">
        <f t="shared" si="53"/>
        <v>939.49999999999955</v>
      </c>
      <c r="Q48" s="480">
        <f t="shared" si="54"/>
        <v>0</v>
      </c>
      <c r="R48" s="480">
        <f t="shared" si="55"/>
        <v>939.49999999999955</v>
      </c>
      <c r="T48" s="477">
        <f>skemA3!B15</f>
        <v>44719</v>
      </c>
      <c r="U48" s="66">
        <f t="shared" si="56"/>
        <v>-1</v>
      </c>
      <c r="V48" s="481">
        <f t="shared" si="57"/>
        <v>434.09999999999991</v>
      </c>
      <c r="W48" s="480">
        <f t="shared" si="58"/>
        <v>0</v>
      </c>
      <c r="X48" s="480">
        <f t="shared" si="59"/>
        <v>434.09999999999991</v>
      </c>
      <c r="Y48" s="483"/>
      <c r="Z48" s="477">
        <f>skemA3!B15</f>
        <v>44719</v>
      </c>
      <c r="AA48" s="66">
        <f t="shared" si="60"/>
        <v>1</v>
      </c>
      <c r="AB48" s="481">
        <f t="shared" si="61"/>
        <v>939.49999999999955</v>
      </c>
      <c r="AC48" s="480">
        <f t="shared" si="62"/>
        <v>939.49999999999955</v>
      </c>
      <c r="AD48" s="480">
        <f t="shared" si="63"/>
        <v>0</v>
      </c>
      <c r="AE48" s="483"/>
      <c r="AF48" s="477">
        <f>skemA3!B15</f>
        <v>44719</v>
      </c>
      <c r="AG48" s="66">
        <f t="shared" si="64"/>
        <v>1</v>
      </c>
      <c r="AH48" s="481">
        <f t="shared" si="65"/>
        <v>434.09999999999991</v>
      </c>
      <c r="AI48" s="480">
        <f t="shared" si="66"/>
        <v>434.09999999999991</v>
      </c>
      <c r="AJ48" s="480">
        <f t="shared" si="67"/>
        <v>0</v>
      </c>
      <c r="AL48" s="477">
        <f>skemA3!B15</f>
        <v>44719</v>
      </c>
      <c r="AM48" s="66">
        <f t="shared" si="68"/>
        <v>-1</v>
      </c>
      <c r="AN48" s="481">
        <f t="shared" si="69"/>
        <v>939.49999999999955</v>
      </c>
      <c r="AO48" s="480">
        <f t="shared" si="70"/>
        <v>0</v>
      </c>
      <c r="AP48" s="480">
        <f t="shared" si="71"/>
        <v>939.49999999999955</v>
      </c>
      <c r="AR48" s="477">
        <f>skemA3!B15</f>
        <v>44719</v>
      </c>
      <c r="AS48" s="66">
        <f t="shared" si="72"/>
        <v>-1</v>
      </c>
      <c r="AT48" s="481">
        <f t="shared" si="73"/>
        <v>434.09999999999991</v>
      </c>
      <c r="AU48" s="480">
        <f t="shared" si="74"/>
        <v>0</v>
      </c>
      <c r="AV48" s="480">
        <f t="shared" si="75"/>
        <v>434.09999999999991</v>
      </c>
      <c r="AX48" s="477">
        <f t="shared" si="76"/>
        <v>44719</v>
      </c>
      <c r="AY48" s="66">
        <f t="shared" si="76"/>
        <v>1</v>
      </c>
      <c r="AZ48" s="481">
        <f t="shared" si="77"/>
        <v>939.49999999999955</v>
      </c>
      <c r="BA48" s="480">
        <f t="shared" si="78"/>
        <v>939.49999999999955</v>
      </c>
      <c r="BB48" s="480">
        <f t="shared" si="79"/>
        <v>0</v>
      </c>
      <c r="BD48" s="477">
        <f>skemA3!B15</f>
        <v>44719</v>
      </c>
      <c r="BE48" s="66">
        <f t="shared" si="80"/>
        <v>1</v>
      </c>
      <c r="BF48" s="481">
        <f t="shared" si="81"/>
        <v>434.09999999999991</v>
      </c>
      <c r="BG48" s="480">
        <f t="shared" si="82"/>
        <v>434.09999999999991</v>
      </c>
      <c r="BH48" s="480">
        <f t="shared" si="83"/>
        <v>0</v>
      </c>
      <c r="BJ48" s="477">
        <f>skemA3!B15</f>
        <v>44719</v>
      </c>
      <c r="BK48" s="66">
        <f t="shared" si="84"/>
        <v>-1</v>
      </c>
      <c r="BL48" s="481">
        <f t="shared" si="85"/>
        <v>939.49999999999955</v>
      </c>
      <c r="BM48" s="480">
        <f t="shared" si="86"/>
        <v>0</v>
      </c>
      <c r="BN48" s="480">
        <f t="shared" si="87"/>
        <v>939.49999999999955</v>
      </c>
      <c r="BP48" s="477">
        <f>skemA3!B15</f>
        <v>44719</v>
      </c>
      <c r="BQ48" s="66">
        <f t="shared" si="88"/>
        <v>-1</v>
      </c>
      <c r="BR48" s="481">
        <f t="shared" si="89"/>
        <v>434.09999999999991</v>
      </c>
      <c r="BS48" s="480">
        <f t="shared" si="90"/>
        <v>0</v>
      </c>
      <c r="BT48" s="480">
        <f t="shared" si="91"/>
        <v>434.09999999999991</v>
      </c>
      <c r="BU48" s="486"/>
      <c r="BV48" s="477">
        <f>skemA3!B48</f>
        <v>44714</v>
      </c>
      <c r="BW48" s="66">
        <f t="shared" si="92"/>
        <v>-1</v>
      </c>
      <c r="BX48" s="481">
        <f t="shared" si="93"/>
        <v>939.49999999999955</v>
      </c>
      <c r="BY48" s="480">
        <f t="shared" si="94"/>
        <v>0</v>
      </c>
      <c r="BZ48" s="480">
        <f t="shared" si="95"/>
        <v>939.49999999999955</v>
      </c>
      <c r="CB48" s="477">
        <f>skemA3!B15</f>
        <v>44719</v>
      </c>
      <c r="CC48" s="66">
        <f t="shared" si="96"/>
        <v>-1</v>
      </c>
      <c r="CD48" s="481">
        <f t="shared" si="97"/>
        <v>434.09999999999991</v>
      </c>
      <c r="CE48" s="480">
        <f t="shared" si="98"/>
        <v>0</v>
      </c>
      <c r="CF48" s="480">
        <f t="shared" si="99"/>
        <v>434.09999999999991</v>
      </c>
    </row>
    <row r="49" spans="2:84">
      <c r="B49" s="477">
        <f>skemA3!B16</f>
        <v>44720</v>
      </c>
      <c r="C49" s="66">
        <f t="shared" si="46"/>
        <v>1</v>
      </c>
      <c r="D49" s="481">
        <f>skemA3!F54</f>
        <v>1026.5000000000005</v>
      </c>
      <c r="E49" s="480">
        <f t="shared" si="47"/>
        <v>1026.5000000000005</v>
      </c>
      <c r="F49" s="480">
        <f t="shared" si="48"/>
        <v>0</v>
      </c>
      <c r="H49" s="477">
        <f>skemA3!B16</f>
        <v>44720</v>
      </c>
      <c r="I49" s="66">
        <f t="shared" si="49"/>
        <v>1</v>
      </c>
      <c r="J49" s="481">
        <f>skemA3!G54</f>
        <v>661.49999999999955</v>
      </c>
      <c r="K49" s="480">
        <f t="shared" si="50"/>
        <v>661.49999999999955</v>
      </c>
      <c r="L49" s="480">
        <f t="shared" si="51"/>
        <v>0</v>
      </c>
      <c r="N49" s="477">
        <f>skemA3!B16</f>
        <v>44720</v>
      </c>
      <c r="O49" s="66">
        <f t="shared" si="52"/>
        <v>1</v>
      </c>
      <c r="P49" s="481">
        <f t="shared" si="53"/>
        <v>1026.5000000000005</v>
      </c>
      <c r="Q49" s="480">
        <f t="shared" si="54"/>
        <v>1026.5000000000005</v>
      </c>
      <c r="R49" s="480">
        <f t="shared" si="55"/>
        <v>0</v>
      </c>
      <c r="T49" s="477">
        <f>skemA3!B16</f>
        <v>44720</v>
      </c>
      <c r="U49" s="66">
        <f t="shared" si="56"/>
        <v>1</v>
      </c>
      <c r="V49" s="481">
        <f t="shared" si="57"/>
        <v>661.49999999999955</v>
      </c>
      <c r="W49" s="480">
        <f t="shared" si="58"/>
        <v>661.49999999999955</v>
      </c>
      <c r="X49" s="480">
        <f t="shared" si="59"/>
        <v>0</v>
      </c>
      <c r="Y49" s="483"/>
      <c r="Z49" s="477">
        <f>skemA3!B16</f>
        <v>44720</v>
      </c>
      <c r="AA49" s="66">
        <f t="shared" si="60"/>
        <v>1</v>
      </c>
      <c r="AB49" s="481">
        <f t="shared" si="61"/>
        <v>1026.5000000000005</v>
      </c>
      <c r="AC49" s="480">
        <f t="shared" si="62"/>
        <v>1026.5000000000005</v>
      </c>
      <c r="AD49" s="480">
        <f t="shared" si="63"/>
        <v>0</v>
      </c>
      <c r="AE49" s="483"/>
      <c r="AF49" s="477">
        <f>skemA3!B16</f>
        <v>44720</v>
      </c>
      <c r="AG49" s="66">
        <f t="shared" si="64"/>
        <v>1</v>
      </c>
      <c r="AH49" s="481">
        <f t="shared" si="65"/>
        <v>661.49999999999955</v>
      </c>
      <c r="AI49" s="480">
        <f t="shared" si="66"/>
        <v>661.49999999999955</v>
      </c>
      <c r="AJ49" s="480">
        <f t="shared" si="67"/>
        <v>0</v>
      </c>
      <c r="AL49" s="477">
        <f>skemA3!B16</f>
        <v>44720</v>
      </c>
      <c r="AM49" s="66">
        <f t="shared" si="68"/>
        <v>-1</v>
      </c>
      <c r="AN49" s="481">
        <f t="shared" si="69"/>
        <v>1026.5000000000005</v>
      </c>
      <c r="AO49" s="480">
        <f t="shared" si="70"/>
        <v>0</v>
      </c>
      <c r="AP49" s="480">
        <f t="shared" si="71"/>
        <v>1026.5000000000005</v>
      </c>
      <c r="AR49" s="477">
        <f>skemA3!B16</f>
        <v>44720</v>
      </c>
      <c r="AS49" s="66">
        <f t="shared" si="72"/>
        <v>-1</v>
      </c>
      <c r="AT49" s="481">
        <f t="shared" si="73"/>
        <v>661.49999999999955</v>
      </c>
      <c r="AU49" s="480">
        <f t="shared" si="74"/>
        <v>0</v>
      </c>
      <c r="AV49" s="480">
        <f t="shared" si="75"/>
        <v>661.49999999999955</v>
      </c>
      <c r="AX49" s="477">
        <f t="shared" si="76"/>
        <v>44720</v>
      </c>
      <c r="AY49" s="66">
        <f t="shared" si="76"/>
        <v>1</v>
      </c>
      <c r="AZ49" s="481">
        <f t="shared" si="77"/>
        <v>1026.5000000000005</v>
      </c>
      <c r="BA49" s="480">
        <f t="shared" si="78"/>
        <v>1026.5000000000005</v>
      </c>
      <c r="BB49" s="480">
        <f t="shared" si="79"/>
        <v>0</v>
      </c>
      <c r="BD49" s="477">
        <f>skemA3!B16</f>
        <v>44720</v>
      </c>
      <c r="BE49" s="66">
        <f t="shared" si="80"/>
        <v>1</v>
      </c>
      <c r="BF49" s="481">
        <f t="shared" si="81"/>
        <v>661.49999999999955</v>
      </c>
      <c r="BG49" s="480">
        <f t="shared" si="82"/>
        <v>661.49999999999955</v>
      </c>
      <c r="BH49" s="480">
        <f t="shared" si="83"/>
        <v>0</v>
      </c>
      <c r="BJ49" s="477">
        <f>skemA3!B16</f>
        <v>44720</v>
      </c>
      <c r="BK49" s="66">
        <f t="shared" si="84"/>
        <v>-1</v>
      </c>
      <c r="BL49" s="481">
        <f t="shared" si="85"/>
        <v>1026.5000000000005</v>
      </c>
      <c r="BM49" s="480">
        <f t="shared" si="86"/>
        <v>0</v>
      </c>
      <c r="BN49" s="480">
        <f t="shared" si="87"/>
        <v>1026.5000000000005</v>
      </c>
      <c r="BP49" s="477">
        <f>skemA3!B16</f>
        <v>44720</v>
      </c>
      <c r="BQ49" s="66">
        <f t="shared" si="88"/>
        <v>-1</v>
      </c>
      <c r="BR49" s="481">
        <f t="shared" si="89"/>
        <v>661.49999999999955</v>
      </c>
      <c r="BS49" s="480">
        <f t="shared" si="90"/>
        <v>0</v>
      </c>
      <c r="BT49" s="480">
        <f t="shared" si="91"/>
        <v>661.49999999999955</v>
      </c>
      <c r="BU49" s="486"/>
      <c r="BV49" s="477">
        <f>skemA3!B49</f>
        <v>44715</v>
      </c>
      <c r="BW49" s="66">
        <f t="shared" si="92"/>
        <v>1</v>
      </c>
      <c r="BX49" s="481">
        <f t="shared" si="93"/>
        <v>1026.5000000000005</v>
      </c>
      <c r="BY49" s="480">
        <f t="shared" si="94"/>
        <v>1026.5000000000005</v>
      </c>
      <c r="BZ49" s="480">
        <f t="shared" si="95"/>
        <v>0</v>
      </c>
      <c r="CB49" s="477">
        <f>skemA3!B16</f>
        <v>44720</v>
      </c>
      <c r="CC49" s="66">
        <f t="shared" si="96"/>
        <v>1</v>
      </c>
      <c r="CD49" s="481">
        <f t="shared" si="97"/>
        <v>661.49999999999955</v>
      </c>
      <c r="CE49" s="480">
        <f t="shared" si="98"/>
        <v>661.49999999999955</v>
      </c>
      <c r="CF49" s="480">
        <f t="shared" si="99"/>
        <v>0</v>
      </c>
    </row>
    <row r="50" spans="2:84">
      <c r="B50" s="477">
        <f>skemA3!B17</f>
        <v>44721</v>
      </c>
      <c r="C50" s="66">
        <f t="shared" si="46"/>
        <v>1</v>
      </c>
      <c r="D50" s="481">
        <f>skemA3!F55</f>
        <v>1005.0000000000005</v>
      </c>
      <c r="E50" s="480">
        <f t="shared" si="47"/>
        <v>1005.0000000000005</v>
      </c>
      <c r="F50" s="480">
        <f t="shared" si="48"/>
        <v>0</v>
      </c>
      <c r="H50" s="477">
        <f>skemA3!B17</f>
        <v>44721</v>
      </c>
      <c r="I50" s="66">
        <f t="shared" si="49"/>
        <v>1</v>
      </c>
      <c r="J50" s="481">
        <f>skemA3!G55</f>
        <v>906.19999999999982</v>
      </c>
      <c r="K50" s="480">
        <f t="shared" si="50"/>
        <v>906.19999999999982</v>
      </c>
      <c r="L50" s="480">
        <f t="shared" si="51"/>
        <v>0</v>
      </c>
      <c r="N50" s="477">
        <f>skemA3!B17</f>
        <v>44721</v>
      </c>
      <c r="O50" s="66">
        <f t="shared" si="52"/>
        <v>1</v>
      </c>
      <c r="P50" s="481">
        <f t="shared" si="53"/>
        <v>1005.0000000000005</v>
      </c>
      <c r="Q50" s="480">
        <f t="shared" si="54"/>
        <v>1005.0000000000005</v>
      </c>
      <c r="R50" s="480">
        <f t="shared" si="55"/>
        <v>0</v>
      </c>
      <c r="T50" s="477">
        <f>skemA3!B17</f>
        <v>44721</v>
      </c>
      <c r="U50" s="66">
        <f t="shared" si="56"/>
        <v>1</v>
      </c>
      <c r="V50" s="481">
        <f t="shared" si="57"/>
        <v>906.19999999999982</v>
      </c>
      <c r="W50" s="480">
        <f t="shared" si="58"/>
        <v>906.19999999999982</v>
      </c>
      <c r="X50" s="480">
        <f t="shared" si="59"/>
        <v>0</v>
      </c>
      <c r="Y50" s="483"/>
      <c r="Z50" s="477">
        <f>skemA3!B17</f>
        <v>44721</v>
      </c>
      <c r="AA50" s="66">
        <f t="shared" si="60"/>
        <v>1</v>
      </c>
      <c r="AB50" s="481">
        <f t="shared" si="61"/>
        <v>1005.0000000000005</v>
      </c>
      <c r="AC50" s="480">
        <f t="shared" si="62"/>
        <v>1005.0000000000005</v>
      </c>
      <c r="AD50" s="480">
        <f t="shared" si="63"/>
        <v>0</v>
      </c>
      <c r="AE50" s="483"/>
      <c r="AF50" s="477">
        <f>skemA3!B17</f>
        <v>44721</v>
      </c>
      <c r="AG50" s="66">
        <f t="shared" si="64"/>
        <v>1</v>
      </c>
      <c r="AH50" s="481">
        <f t="shared" si="65"/>
        <v>906.19999999999982</v>
      </c>
      <c r="AI50" s="480">
        <f t="shared" si="66"/>
        <v>906.19999999999982</v>
      </c>
      <c r="AJ50" s="480">
        <f t="shared" si="67"/>
        <v>0</v>
      </c>
      <c r="AL50" s="477">
        <f>skemA3!B17</f>
        <v>44721</v>
      </c>
      <c r="AM50" s="66">
        <f t="shared" si="68"/>
        <v>1</v>
      </c>
      <c r="AN50" s="481">
        <f t="shared" si="69"/>
        <v>1005.0000000000005</v>
      </c>
      <c r="AO50" s="480">
        <f t="shared" si="70"/>
        <v>1005.0000000000005</v>
      </c>
      <c r="AP50" s="480">
        <f t="shared" si="71"/>
        <v>0</v>
      </c>
      <c r="AR50" s="477">
        <f>skemA3!B17</f>
        <v>44721</v>
      </c>
      <c r="AS50" s="66">
        <f t="shared" si="72"/>
        <v>1</v>
      </c>
      <c r="AT50" s="481">
        <f t="shared" si="73"/>
        <v>906.19999999999982</v>
      </c>
      <c r="AU50" s="480">
        <f t="shared" si="74"/>
        <v>906.19999999999982</v>
      </c>
      <c r="AV50" s="480">
        <f t="shared" si="75"/>
        <v>0</v>
      </c>
      <c r="AX50" s="477">
        <f t="shared" si="76"/>
        <v>44721</v>
      </c>
      <c r="AY50" s="66">
        <f t="shared" si="76"/>
        <v>1</v>
      </c>
      <c r="AZ50" s="481">
        <f t="shared" si="77"/>
        <v>1005.0000000000005</v>
      </c>
      <c r="BA50" s="480">
        <f t="shared" si="78"/>
        <v>1005.0000000000005</v>
      </c>
      <c r="BB50" s="480">
        <f t="shared" si="79"/>
        <v>0</v>
      </c>
      <c r="BD50" s="477">
        <f>skemA3!B17</f>
        <v>44721</v>
      </c>
      <c r="BE50" s="66">
        <f t="shared" si="80"/>
        <v>1</v>
      </c>
      <c r="BF50" s="481">
        <f t="shared" si="81"/>
        <v>906.19999999999982</v>
      </c>
      <c r="BG50" s="480">
        <f t="shared" si="82"/>
        <v>906.19999999999982</v>
      </c>
      <c r="BH50" s="480">
        <f t="shared" si="83"/>
        <v>0</v>
      </c>
      <c r="BJ50" s="477">
        <f>skemA3!B17</f>
        <v>44721</v>
      </c>
      <c r="BK50" s="66">
        <f t="shared" si="84"/>
        <v>-1</v>
      </c>
      <c r="BL50" s="481">
        <f t="shared" si="85"/>
        <v>1005.0000000000005</v>
      </c>
      <c r="BM50" s="480">
        <f t="shared" si="86"/>
        <v>0</v>
      </c>
      <c r="BN50" s="480">
        <f t="shared" si="87"/>
        <v>1005.0000000000005</v>
      </c>
      <c r="BP50" s="477">
        <f>skemA3!B17</f>
        <v>44721</v>
      </c>
      <c r="BQ50" s="66">
        <f t="shared" si="88"/>
        <v>-1</v>
      </c>
      <c r="BR50" s="481">
        <f t="shared" si="89"/>
        <v>906.19999999999982</v>
      </c>
      <c r="BS50" s="480">
        <f t="shared" si="90"/>
        <v>0</v>
      </c>
      <c r="BT50" s="480">
        <f t="shared" si="91"/>
        <v>906.19999999999982</v>
      </c>
      <c r="BU50" s="486"/>
      <c r="BV50" s="477">
        <f>skemA3!B50</f>
        <v>44716</v>
      </c>
      <c r="BW50" s="66">
        <f t="shared" si="92"/>
        <v>1</v>
      </c>
      <c r="BX50" s="481">
        <f t="shared" si="93"/>
        <v>1005.0000000000005</v>
      </c>
      <c r="BY50" s="480">
        <f t="shared" si="94"/>
        <v>1005.0000000000005</v>
      </c>
      <c r="BZ50" s="480">
        <f t="shared" si="95"/>
        <v>0</v>
      </c>
      <c r="CB50" s="477">
        <f>skemA3!B17</f>
        <v>44721</v>
      </c>
      <c r="CC50" s="66">
        <f t="shared" si="96"/>
        <v>1</v>
      </c>
      <c r="CD50" s="481">
        <f t="shared" si="97"/>
        <v>906.19999999999982</v>
      </c>
      <c r="CE50" s="480">
        <f t="shared" si="98"/>
        <v>906.19999999999982</v>
      </c>
      <c r="CF50" s="480">
        <f t="shared" si="99"/>
        <v>0</v>
      </c>
    </row>
    <row r="51" spans="2:84">
      <c r="B51" s="477">
        <f>skemA3!B18</f>
        <v>44722</v>
      </c>
      <c r="C51" s="66">
        <f t="shared" si="46"/>
        <v>1</v>
      </c>
      <c r="D51" s="481">
        <f>skemA3!F56</f>
        <v>950.49999999999955</v>
      </c>
      <c r="E51" s="480">
        <f t="shared" si="47"/>
        <v>950.49999999999955</v>
      </c>
      <c r="F51" s="480">
        <f t="shared" si="48"/>
        <v>0</v>
      </c>
      <c r="H51" s="477">
        <f>skemA3!B18</f>
        <v>44722</v>
      </c>
      <c r="I51" s="66">
        <f t="shared" si="49"/>
        <v>1</v>
      </c>
      <c r="J51" s="481">
        <f>skemA3!G56</f>
        <v>1157.7</v>
      </c>
      <c r="K51" s="480">
        <f t="shared" si="50"/>
        <v>1157.7</v>
      </c>
      <c r="L51" s="480">
        <f t="shared" si="51"/>
        <v>0</v>
      </c>
      <c r="N51" s="477">
        <f>skemA3!B18</f>
        <v>44722</v>
      </c>
      <c r="O51" s="66">
        <f t="shared" si="52"/>
        <v>1</v>
      </c>
      <c r="P51" s="481">
        <f t="shared" si="53"/>
        <v>950.49999999999955</v>
      </c>
      <c r="Q51" s="480">
        <f t="shared" si="54"/>
        <v>950.49999999999955</v>
      </c>
      <c r="R51" s="480">
        <f t="shared" si="55"/>
        <v>0</v>
      </c>
      <c r="T51" s="477">
        <f>skemA3!B18</f>
        <v>44722</v>
      </c>
      <c r="U51" s="66">
        <f t="shared" si="56"/>
        <v>1</v>
      </c>
      <c r="V51" s="481">
        <f t="shared" si="57"/>
        <v>1157.7</v>
      </c>
      <c r="W51" s="480">
        <f t="shared" si="58"/>
        <v>1157.7</v>
      </c>
      <c r="X51" s="480">
        <f t="shared" si="59"/>
        <v>0</v>
      </c>
      <c r="Y51" s="483"/>
      <c r="Z51" s="477">
        <f>skemA3!B18</f>
        <v>44722</v>
      </c>
      <c r="AA51" s="66">
        <f t="shared" si="60"/>
        <v>1</v>
      </c>
      <c r="AB51" s="481">
        <f t="shared" si="61"/>
        <v>950.49999999999955</v>
      </c>
      <c r="AC51" s="480">
        <f t="shared" si="62"/>
        <v>950.49999999999955</v>
      </c>
      <c r="AD51" s="480">
        <f t="shared" si="63"/>
        <v>0</v>
      </c>
      <c r="AE51" s="483"/>
      <c r="AF51" s="477">
        <f>skemA3!B18</f>
        <v>44722</v>
      </c>
      <c r="AG51" s="66">
        <f t="shared" si="64"/>
        <v>1</v>
      </c>
      <c r="AH51" s="481">
        <f t="shared" si="65"/>
        <v>1157.7</v>
      </c>
      <c r="AI51" s="480">
        <f t="shared" si="66"/>
        <v>1157.7</v>
      </c>
      <c r="AJ51" s="480">
        <f t="shared" si="67"/>
        <v>0</v>
      </c>
      <c r="AL51" s="477">
        <f>skemA3!B18</f>
        <v>44722</v>
      </c>
      <c r="AM51" s="66">
        <f t="shared" si="68"/>
        <v>1</v>
      </c>
      <c r="AN51" s="481">
        <f t="shared" si="69"/>
        <v>950.49999999999955</v>
      </c>
      <c r="AO51" s="480">
        <f t="shared" si="70"/>
        <v>950.49999999999955</v>
      </c>
      <c r="AP51" s="480">
        <f t="shared" si="71"/>
        <v>0</v>
      </c>
      <c r="AR51" s="477">
        <f>skemA3!B18</f>
        <v>44722</v>
      </c>
      <c r="AS51" s="66">
        <f t="shared" si="72"/>
        <v>1</v>
      </c>
      <c r="AT51" s="481">
        <f t="shared" si="73"/>
        <v>1157.7</v>
      </c>
      <c r="AU51" s="480">
        <f t="shared" si="74"/>
        <v>1157.7</v>
      </c>
      <c r="AV51" s="480">
        <f t="shared" si="75"/>
        <v>0</v>
      </c>
      <c r="AX51" s="477">
        <f t="shared" si="76"/>
        <v>44722</v>
      </c>
      <c r="AY51" s="66">
        <f t="shared" si="76"/>
        <v>1</v>
      </c>
      <c r="AZ51" s="481">
        <f t="shared" si="77"/>
        <v>950.49999999999955</v>
      </c>
      <c r="BA51" s="480">
        <f t="shared" si="78"/>
        <v>950.49999999999955</v>
      </c>
      <c r="BB51" s="480">
        <f t="shared" si="79"/>
        <v>0</v>
      </c>
      <c r="BD51" s="477">
        <f>skemA3!B18</f>
        <v>44722</v>
      </c>
      <c r="BE51" s="66">
        <f t="shared" si="80"/>
        <v>1</v>
      </c>
      <c r="BF51" s="481">
        <f t="shared" si="81"/>
        <v>1157.7</v>
      </c>
      <c r="BG51" s="480">
        <f t="shared" si="82"/>
        <v>1157.7</v>
      </c>
      <c r="BH51" s="480">
        <f t="shared" si="83"/>
        <v>0</v>
      </c>
      <c r="BJ51" s="477">
        <f>skemA3!B18</f>
        <v>44722</v>
      </c>
      <c r="BK51" s="66">
        <f t="shared" si="84"/>
        <v>1</v>
      </c>
      <c r="BL51" s="481">
        <f t="shared" si="85"/>
        <v>950.49999999999955</v>
      </c>
      <c r="BM51" s="480">
        <f t="shared" si="86"/>
        <v>950.49999999999955</v>
      </c>
      <c r="BN51" s="480">
        <f t="shared" si="87"/>
        <v>0</v>
      </c>
      <c r="BP51" s="477">
        <f>skemA3!B18</f>
        <v>44722</v>
      </c>
      <c r="BQ51" s="66">
        <f t="shared" si="88"/>
        <v>1</v>
      </c>
      <c r="BR51" s="481">
        <f t="shared" si="89"/>
        <v>1157.7</v>
      </c>
      <c r="BS51" s="480">
        <f t="shared" si="90"/>
        <v>1157.7</v>
      </c>
      <c r="BT51" s="480">
        <f t="shared" si="91"/>
        <v>0</v>
      </c>
      <c r="BU51" s="486"/>
      <c r="BV51" s="477">
        <f>skemA3!B51</f>
        <v>44717</v>
      </c>
      <c r="BW51" s="66">
        <f t="shared" si="92"/>
        <v>1</v>
      </c>
      <c r="BX51" s="481">
        <f t="shared" si="93"/>
        <v>950.49999999999955</v>
      </c>
      <c r="BY51" s="480">
        <f t="shared" si="94"/>
        <v>950.49999999999955</v>
      </c>
      <c r="BZ51" s="480">
        <f t="shared" si="95"/>
        <v>0</v>
      </c>
      <c r="CB51" s="477">
        <f>skemA3!B18</f>
        <v>44722</v>
      </c>
      <c r="CC51" s="66">
        <f t="shared" si="96"/>
        <v>1</v>
      </c>
      <c r="CD51" s="481">
        <f t="shared" si="97"/>
        <v>1157.7</v>
      </c>
      <c r="CE51" s="480">
        <f t="shared" si="98"/>
        <v>1157.7</v>
      </c>
      <c r="CF51" s="480">
        <f t="shared" si="99"/>
        <v>0</v>
      </c>
    </row>
    <row r="52" spans="2:84">
      <c r="B52" s="477">
        <f>skemA3!B19</f>
        <v>44723</v>
      </c>
      <c r="C52" s="66">
        <f t="shared" si="46"/>
        <v>1</v>
      </c>
      <c r="D52" s="481">
        <f>skemA3!F57</f>
        <v>742.89999999999964</v>
      </c>
      <c r="E52" s="480">
        <f t="shared" si="47"/>
        <v>742.89999999999964</v>
      </c>
      <c r="F52" s="480">
        <f t="shared" si="48"/>
        <v>0</v>
      </c>
      <c r="H52" s="477">
        <f>skemA3!B19</f>
        <v>44723</v>
      </c>
      <c r="I52" s="66">
        <f t="shared" si="49"/>
        <v>1</v>
      </c>
      <c r="J52" s="481">
        <f>skemA3!G57</f>
        <v>1331.3000000000004</v>
      </c>
      <c r="K52" s="480">
        <f t="shared" si="50"/>
        <v>1331.3000000000004</v>
      </c>
      <c r="L52" s="480">
        <f t="shared" si="51"/>
        <v>0</v>
      </c>
      <c r="N52" s="477">
        <f>skemA3!B19</f>
        <v>44723</v>
      </c>
      <c r="O52" s="66">
        <f t="shared" si="52"/>
        <v>1</v>
      </c>
      <c r="P52" s="481">
        <f t="shared" si="53"/>
        <v>742.89999999999964</v>
      </c>
      <c r="Q52" s="480">
        <f t="shared" si="54"/>
        <v>742.89999999999964</v>
      </c>
      <c r="R52" s="480">
        <f t="shared" si="55"/>
        <v>0</v>
      </c>
      <c r="T52" s="477">
        <f>skemA3!B19</f>
        <v>44723</v>
      </c>
      <c r="U52" s="66">
        <f t="shared" si="56"/>
        <v>1</v>
      </c>
      <c r="V52" s="481">
        <f t="shared" si="57"/>
        <v>1331.3000000000004</v>
      </c>
      <c r="W52" s="480">
        <f t="shared" si="58"/>
        <v>1331.3000000000004</v>
      </c>
      <c r="X52" s="480">
        <f t="shared" si="59"/>
        <v>0</v>
      </c>
      <c r="Y52" s="483"/>
      <c r="Z52" s="477">
        <f>skemA3!B19</f>
        <v>44723</v>
      </c>
      <c r="AA52" s="66">
        <f t="shared" si="60"/>
        <v>0</v>
      </c>
      <c r="AB52" s="481">
        <f t="shared" si="61"/>
        <v>742.89999999999964</v>
      </c>
      <c r="AC52" s="480">
        <f t="shared" si="62"/>
        <v>0</v>
      </c>
      <c r="AD52" s="480">
        <f t="shared" si="63"/>
        <v>0</v>
      </c>
      <c r="AE52" s="483"/>
      <c r="AF52" s="477">
        <f>skemA3!B19</f>
        <v>44723</v>
      </c>
      <c r="AG52" s="66">
        <f t="shared" si="64"/>
        <v>0</v>
      </c>
      <c r="AH52" s="481">
        <f t="shared" si="65"/>
        <v>1331.3000000000004</v>
      </c>
      <c r="AI52" s="480">
        <f t="shared" si="66"/>
        <v>0</v>
      </c>
      <c r="AJ52" s="480">
        <f t="shared" si="67"/>
        <v>0</v>
      </c>
      <c r="AL52" s="477">
        <f>skemA3!B19</f>
        <v>44723</v>
      </c>
      <c r="AM52" s="66">
        <f t="shared" si="68"/>
        <v>1</v>
      </c>
      <c r="AN52" s="481">
        <f t="shared" si="69"/>
        <v>742.89999999999964</v>
      </c>
      <c r="AO52" s="480">
        <f t="shared" si="70"/>
        <v>742.89999999999964</v>
      </c>
      <c r="AP52" s="480">
        <f t="shared" si="71"/>
        <v>0</v>
      </c>
      <c r="AR52" s="477">
        <f>skemA3!B19</f>
        <v>44723</v>
      </c>
      <c r="AS52" s="66">
        <f t="shared" si="72"/>
        <v>1</v>
      </c>
      <c r="AT52" s="481">
        <f t="shared" si="73"/>
        <v>1331.3000000000004</v>
      </c>
      <c r="AU52" s="480">
        <f t="shared" si="74"/>
        <v>1331.3000000000004</v>
      </c>
      <c r="AV52" s="480">
        <f t="shared" si="75"/>
        <v>0</v>
      </c>
      <c r="AX52" s="477">
        <f t="shared" si="76"/>
        <v>44723</v>
      </c>
      <c r="AY52" s="66">
        <f t="shared" si="76"/>
        <v>0</v>
      </c>
      <c r="AZ52" s="481">
        <f t="shared" si="77"/>
        <v>742.89999999999964</v>
      </c>
      <c r="BA52" s="480">
        <f t="shared" si="78"/>
        <v>0</v>
      </c>
      <c r="BB52" s="480">
        <f t="shared" si="79"/>
        <v>0</v>
      </c>
      <c r="BD52" s="477">
        <f>skemA3!B19</f>
        <v>44723</v>
      </c>
      <c r="BE52" s="66">
        <f t="shared" si="80"/>
        <v>0</v>
      </c>
      <c r="BF52" s="481">
        <f t="shared" si="81"/>
        <v>1331.3000000000004</v>
      </c>
      <c r="BG52" s="480">
        <f t="shared" si="82"/>
        <v>0</v>
      </c>
      <c r="BH52" s="480">
        <f t="shared" si="83"/>
        <v>0</v>
      </c>
      <c r="BJ52" s="477">
        <f>skemA3!B19</f>
        <v>44723</v>
      </c>
      <c r="BK52" s="66">
        <f t="shared" si="84"/>
        <v>1</v>
      </c>
      <c r="BL52" s="481">
        <f t="shared" si="85"/>
        <v>742.89999999999964</v>
      </c>
      <c r="BM52" s="480">
        <f t="shared" si="86"/>
        <v>742.89999999999964</v>
      </c>
      <c r="BN52" s="480">
        <f t="shared" si="87"/>
        <v>0</v>
      </c>
      <c r="BP52" s="477">
        <f>skemA3!B19</f>
        <v>44723</v>
      </c>
      <c r="BQ52" s="66">
        <f t="shared" si="88"/>
        <v>1</v>
      </c>
      <c r="BR52" s="481">
        <f t="shared" si="89"/>
        <v>1331.3000000000004</v>
      </c>
      <c r="BS52" s="480">
        <f t="shared" si="90"/>
        <v>1331.3000000000004</v>
      </c>
      <c r="BT52" s="480">
        <f t="shared" si="91"/>
        <v>0</v>
      </c>
      <c r="BU52" s="486"/>
      <c r="BV52" s="477">
        <f>skemA3!B52</f>
        <v>44718</v>
      </c>
      <c r="BW52" s="66">
        <f t="shared" si="92"/>
        <v>0</v>
      </c>
      <c r="BX52" s="481">
        <f t="shared" si="93"/>
        <v>742.89999999999964</v>
      </c>
      <c r="BY52" s="480">
        <f t="shared" si="94"/>
        <v>0</v>
      </c>
      <c r="BZ52" s="480">
        <f t="shared" si="95"/>
        <v>0</v>
      </c>
      <c r="CB52" s="477">
        <f>skemA3!B19</f>
        <v>44723</v>
      </c>
      <c r="CC52" s="66">
        <f t="shared" si="96"/>
        <v>0</v>
      </c>
      <c r="CD52" s="481">
        <f t="shared" si="97"/>
        <v>1331.3000000000004</v>
      </c>
      <c r="CE52" s="480">
        <f t="shared" si="98"/>
        <v>0</v>
      </c>
      <c r="CF52" s="480">
        <f t="shared" si="99"/>
        <v>0</v>
      </c>
    </row>
    <row r="53" spans="2:84">
      <c r="B53" s="477">
        <f>skemA3!B20</f>
        <v>44724</v>
      </c>
      <c r="C53" s="66">
        <f t="shared" si="46"/>
        <v>1</v>
      </c>
      <c r="D53" s="481">
        <f>skemA3!F58</f>
        <v>493.29999999999995</v>
      </c>
      <c r="E53" s="480">
        <f t="shared" si="47"/>
        <v>493.29999999999995</v>
      </c>
      <c r="F53" s="480">
        <f t="shared" si="48"/>
        <v>0</v>
      </c>
      <c r="H53" s="477">
        <f>skemA3!B20</f>
        <v>44724</v>
      </c>
      <c r="I53" s="66">
        <f t="shared" si="49"/>
        <v>1</v>
      </c>
      <c r="J53" s="481">
        <f>skemA3!G58</f>
        <v>1432.9000000000003</v>
      </c>
      <c r="K53" s="480">
        <f t="shared" si="50"/>
        <v>1432.9000000000003</v>
      </c>
      <c r="L53" s="480">
        <f t="shared" si="51"/>
        <v>0</v>
      </c>
      <c r="N53" s="477">
        <f>skemA3!B20</f>
        <v>44724</v>
      </c>
      <c r="O53" s="66">
        <f t="shared" si="52"/>
        <v>1</v>
      </c>
      <c r="P53" s="481">
        <f t="shared" si="53"/>
        <v>493.29999999999995</v>
      </c>
      <c r="Q53" s="480">
        <f t="shared" si="54"/>
        <v>493.29999999999995</v>
      </c>
      <c r="R53" s="480">
        <f t="shared" si="55"/>
        <v>0</v>
      </c>
      <c r="T53" s="477">
        <f>skemA3!B20</f>
        <v>44724</v>
      </c>
      <c r="U53" s="66">
        <f t="shared" si="56"/>
        <v>1</v>
      </c>
      <c r="V53" s="481">
        <f t="shared" si="57"/>
        <v>1432.9000000000003</v>
      </c>
      <c r="W53" s="480">
        <f t="shared" si="58"/>
        <v>1432.9000000000003</v>
      </c>
      <c r="X53" s="480">
        <f t="shared" si="59"/>
        <v>0</v>
      </c>
      <c r="Y53" s="483"/>
      <c r="Z53" s="477">
        <f>skemA3!B20</f>
        <v>44724</v>
      </c>
      <c r="AA53" s="66">
        <f t="shared" si="60"/>
        <v>-1</v>
      </c>
      <c r="AB53" s="481">
        <f t="shared" si="61"/>
        <v>493.29999999999995</v>
      </c>
      <c r="AC53" s="480">
        <f t="shared" si="62"/>
        <v>0</v>
      </c>
      <c r="AD53" s="480">
        <f t="shared" si="63"/>
        <v>493.29999999999995</v>
      </c>
      <c r="AE53" s="483"/>
      <c r="AF53" s="477">
        <f>skemA3!B20</f>
        <v>44724</v>
      </c>
      <c r="AG53" s="66">
        <f t="shared" si="64"/>
        <v>-1</v>
      </c>
      <c r="AH53" s="481">
        <f t="shared" si="65"/>
        <v>1432.9000000000003</v>
      </c>
      <c r="AI53" s="480">
        <f t="shared" si="66"/>
        <v>0</v>
      </c>
      <c r="AJ53" s="480">
        <f t="shared" si="67"/>
        <v>1432.9000000000003</v>
      </c>
      <c r="AL53" s="477">
        <f>skemA3!B20</f>
        <v>44724</v>
      </c>
      <c r="AM53" s="66">
        <f t="shared" si="68"/>
        <v>1</v>
      </c>
      <c r="AN53" s="481">
        <f t="shared" si="69"/>
        <v>493.29999999999995</v>
      </c>
      <c r="AO53" s="480">
        <f t="shared" si="70"/>
        <v>493.29999999999995</v>
      </c>
      <c r="AP53" s="480">
        <f t="shared" si="71"/>
        <v>0</v>
      </c>
      <c r="AR53" s="477">
        <f>skemA3!B20</f>
        <v>44724</v>
      </c>
      <c r="AS53" s="66">
        <f t="shared" si="72"/>
        <v>1</v>
      </c>
      <c r="AT53" s="481">
        <f t="shared" si="73"/>
        <v>1432.9000000000003</v>
      </c>
      <c r="AU53" s="480">
        <f t="shared" si="74"/>
        <v>1432.9000000000003</v>
      </c>
      <c r="AV53" s="480">
        <f t="shared" si="75"/>
        <v>0</v>
      </c>
      <c r="AX53" s="477">
        <f t="shared" si="76"/>
        <v>44724</v>
      </c>
      <c r="AY53" s="66">
        <f t="shared" si="76"/>
        <v>-1</v>
      </c>
      <c r="AZ53" s="481">
        <f t="shared" si="77"/>
        <v>493.29999999999995</v>
      </c>
      <c r="BA53" s="480">
        <f t="shared" si="78"/>
        <v>0</v>
      </c>
      <c r="BB53" s="480">
        <f t="shared" si="79"/>
        <v>493.29999999999995</v>
      </c>
      <c r="BD53" s="477">
        <f>skemA3!B20</f>
        <v>44724</v>
      </c>
      <c r="BE53" s="66">
        <f t="shared" si="80"/>
        <v>-1</v>
      </c>
      <c r="BF53" s="481">
        <f t="shared" si="81"/>
        <v>1432.9000000000003</v>
      </c>
      <c r="BG53" s="480">
        <f t="shared" si="82"/>
        <v>0</v>
      </c>
      <c r="BH53" s="480">
        <f t="shared" si="83"/>
        <v>1432.9000000000003</v>
      </c>
      <c r="BJ53" s="477">
        <f>skemA3!B20</f>
        <v>44724</v>
      </c>
      <c r="BK53" s="66">
        <f t="shared" si="84"/>
        <v>1</v>
      </c>
      <c r="BL53" s="481">
        <f t="shared" si="85"/>
        <v>493.29999999999995</v>
      </c>
      <c r="BM53" s="480">
        <f t="shared" si="86"/>
        <v>493.29999999999995</v>
      </c>
      <c r="BN53" s="480">
        <f t="shared" si="87"/>
        <v>0</v>
      </c>
      <c r="BP53" s="477">
        <f>skemA3!B20</f>
        <v>44724</v>
      </c>
      <c r="BQ53" s="66">
        <f t="shared" si="88"/>
        <v>1</v>
      </c>
      <c r="BR53" s="481">
        <f t="shared" si="89"/>
        <v>1432.9000000000003</v>
      </c>
      <c r="BS53" s="480">
        <f t="shared" si="90"/>
        <v>1432.9000000000003</v>
      </c>
      <c r="BT53" s="480">
        <f t="shared" si="91"/>
        <v>0</v>
      </c>
      <c r="BU53" s="486"/>
      <c r="BV53" s="477">
        <f>skemA3!B53</f>
        <v>44719</v>
      </c>
      <c r="BW53" s="66">
        <f t="shared" si="92"/>
        <v>-1</v>
      </c>
      <c r="BX53" s="481">
        <f t="shared" si="93"/>
        <v>493.29999999999995</v>
      </c>
      <c r="BY53" s="480">
        <f t="shared" si="94"/>
        <v>0</v>
      </c>
      <c r="BZ53" s="480">
        <f t="shared" si="95"/>
        <v>493.29999999999995</v>
      </c>
      <c r="CB53" s="477">
        <f>skemA3!B20</f>
        <v>44724</v>
      </c>
      <c r="CC53" s="66">
        <f t="shared" si="96"/>
        <v>-1</v>
      </c>
      <c r="CD53" s="481">
        <f t="shared" si="97"/>
        <v>1432.9000000000003</v>
      </c>
      <c r="CE53" s="480">
        <f t="shared" si="98"/>
        <v>0</v>
      </c>
      <c r="CF53" s="480">
        <f t="shared" si="99"/>
        <v>1432.9000000000003</v>
      </c>
    </row>
    <row r="54" spans="2:84">
      <c r="B54" s="477">
        <f>skemA3!B21</f>
        <v>44725</v>
      </c>
      <c r="C54" s="66">
        <f t="shared" si="46"/>
        <v>1</v>
      </c>
      <c r="D54" s="481">
        <f>skemA3!F59</f>
        <v>269.30000000000018</v>
      </c>
      <c r="E54" s="480">
        <f t="shared" si="47"/>
        <v>269.30000000000018</v>
      </c>
      <c r="F54" s="480">
        <f t="shared" si="48"/>
        <v>0</v>
      </c>
      <c r="H54" s="477">
        <f>skemA3!B21</f>
        <v>44725</v>
      </c>
      <c r="I54" s="66">
        <f t="shared" si="49"/>
        <v>1</v>
      </c>
      <c r="J54" s="481">
        <f>skemA3!G59</f>
        <v>1343.5000000000005</v>
      </c>
      <c r="K54" s="480">
        <f t="shared" si="50"/>
        <v>1343.5000000000005</v>
      </c>
      <c r="L54" s="480">
        <f t="shared" si="51"/>
        <v>0</v>
      </c>
      <c r="N54" s="477">
        <f>skemA3!B21</f>
        <v>44725</v>
      </c>
      <c r="O54" s="66">
        <f t="shared" si="52"/>
        <v>1</v>
      </c>
      <c r="P54" s="481">
        <f t="shared" si="53"/>
        <v>269.30000000000018</v>
      </c>
      <c r="Q54" s="480">
        <f t="shared" si="54"/>
        <v>269.30000000000018</v>
      </c>
      <c r="R54" s="480">
        <f t="shared" si="55"/>
        <v>0</v>
      </c>
      <c r="T54" s="477">
        <f>skemA3!B21</f>
        <v>44725</v>
      </c>
      <c r="U54" s="66">
        <f t="shared" si="56"/>
        <v>1</v>
      </c>
      <c r="V54" s="481">
        <f t="shared" si="57"/>
        <v>1343.5000000000005</v>
      </c>
      <c r="W54" s="480">
        <f t="shared" si="58"/>
        <v>1343.5000000000005</v>
      </c>
      <c r="X54" s="480">
        <f t="shared" si="59"/>
        <v>0</v>
      </c>
      <c r="Y54" s="483"/>
      <c r="Z54" s="477">
        <f>skemA3!B21</f>
        <v>44725</v>
      </c>
      <c r="AA54" s="66">
        <f t="shared" si="60"/>
        <v>-1</v>
      </c>
      <c r="AB54" s="481">
        <f t="shared" si="61"/>
        <v>269.30000000000018</v>
      </c>
      <c r="AC54" s="480">
        <f t="shared" si="62"/>
        <v>0</v>
      </c>
      <c r="AD54" s="480">
        <f t="shared" si="63"/>
        <v>269.30000000000018</v>
      </c>
      <c r="AE54" s="483"/>
      <c r="AF54" s="477">
        <f>skemA3!B21</f>
        <v>44725</v>
      </c>
      <c r="AG54" s="66">
        <f t="shared" si="64"/>
        <v>-1</v>
      </c>
      <c r="AH54" s="481">
        <f t="shared" si="65"/>
        <v>1343.5000000000005</v>
      </c>
      <c r="AI54" s="480">
        <f t="shared" si="66"/>
        <v>0</v>
      </c>
      <c r="AJ54" s="480">
        <f t="shared" si="67"/>
        <v>1343.5000000000005</v>
      </c>
      <c r="AL54" s="477">
        <f>skemA3!B21</f>
        <v>44725</v>
      </c>
      <c r="AM54" s="66">
        <f t="shared" si="68"/>
        <v>1</v>
      </c>
      <c r="AN54" s="481">
        <f t="shared" si="69"/>
        <v>269.30000000000018</v>
      </c>
      <c r="AO54" s="480">
        <f t="shared" si="70"/>
        <v>269.30000000000018</v>
      </c>
      <c r="AP54" s="480">
        <f t="shared" si="71"/>
        <v>0</v>
      </c>
      <c r="AR54" s="477">
        <f>skemA3!B21</f>
        <v>44725</v>
      </c>
      <c r="AS54" s="66">
        <f t="shared" si="72"/>
        <v>1</v>
      </c>
      <c r="AT54" s="481">
        <f t="shared" si="73"/>
        <v>1343.5000000000005</v>
      </c>
      <c r="AU54" s="480">
        <f t="shared" si="74"/>
        <v>1343.5000000000005</v>
      </c>
      <c r="AV54" s="480">
        <f t="shared" si="75"/>
        <v>0</v>
      </c>
      <c r="AX54" s="477">
        <f t="shared" si="76"/>
        <v>44725</v>
      </c>
      <c r="AY54" s="66">
        <f t="shared" si="76"/>
        <v>-1</v>
      </c>
      <c r="AZ54" s="481">
        <f t="shared" si="77"/>
        <v>269.30000000000018</v>
      </c>
      <c r="BA54" s="480">
        <f t="shared" si="78"/>
        <v>0</v>
      </c>
      <c r="BB54" s="480">
        <f t="shared" si="79"/>
        <v>269.30000000000018</v>
      </c>
      <c r="BD54" s="477">
        <f>skemA3!B21</f>
        <v>44725</v>
      </c>
      <c r="BE54" s="66">
        <f t="shared" si="80"/>
        <v>-1</v>
      </c>
      <c r="BF54" s="481">
        <f t="shared" si="81"/>
        <v>1343.5000000000005</v>
      </c>
      <c r="BG54" s="480">
        <f t="shared" si="82"/>
        <v>0</v>
      </c>
      <c r="BH54" s="480">
        <f t="shared" si="83"/>
        <v>1343.5000000000005</v>
      </c>
      <c r="BJ54" s="477">
        <f>skemA3!B21</f>
        <v>44725</v>
      </c>
      <c r="BK54" s="66">
        <f t="shared" si="84"/>
        <v>-1</v>
      </c>
      <c r="BL54" s="481">
        <f t="shared" si="85"/>
        <v>269.30000000000018</v>
      </c>
      <c r="BM54" s="480">
        <f t="shared" si="86"/>
        <v>0</v>
      </c>
      <c r="BN54" s="480">
        <f t="shared" si="87"/>
        <v>269.30000000000018</v>
      </c>
      <c r="BP54" s="477">
        <f>skemA3!B21</f>
        <v>44725</v>
      </c>
      <c r="BQ54" s="66">
        <f t="shared" si="88"/>
        <v>-1</v>
      </c>
      <c r="BR54" s="481">
        <f t="shared" si="89"/>
        <v>1343.5000000000005</v>
      </c>
      <c r="BS54" s="480">
        <f t="shared" si="90"/>
        <v>0</v>
      </c>
      <c r="BT54" s="480">
        <f t="shared" si="91"/>
        <v>1343.5000000000005</v>
      </c>
      <c r="BU54" s="486"/>
      <c r="BV54" s="477">
        <f>skemA3!B54</f>
        <v>44720</v>
      </c>
      <c r="BW54" s="66">
        <f t="shared" si="92"/>
        <v>-1</v>
      </c>
      <c r="BX54" s="481">
        <f t="shared" si="93"/>
        <v>269.30000000000018</v>
      </c>
      <c r="BY54" s="480">
        <f t="shared" si="94"/>
        <v>0</v>
      </c>
      <c r="BZ54" s="480">
        <f t="shared" si="95"/>
        <v>269.30000000000018</v>
      </c>
      <c r="CB54" s="477">
        <f>skemA3!B21</f>
        <v>44725</v>
      </c>
      <c r="CC54" s="66">
        <f t="shared" si="96"/>
        <v>-1</v>
      </c>
      <c r="CD54" s="481">
        <f t="shared" si="97"/>
        <v>1343.5000000000005</v>
      </c>
      <c r="CE54" s="480">
        <f t="shared" si="98"/>
        <v>0</v>
      </c>
      <c r="CF54" s="480">
        <f t="shared" si="99"/>
        <v>1343.5000000000005</v>
      </c>
    </row>
    <row r="55" spans="2:84">
      <c r="B55" s="477">
        <f>skemA3!B22</f>
        <v>44726</v>
      </c>
      <c r="C55" s="66">
        <f t="shared" si="46"/>
        <v>1</v>
      </c>
      <c r="D55" s="481">
        <f>skemA3!F60</f>
        <v>129.59999999999968</v>
      </c>
      <c r="E55" s="480">
        <f t="shared" si="47"/>
        <v>129.59999999999968</v>
      </c>
      <c r="F55" s="480">
        <f t="shared" si="48"/>
        <v>0</v>
      </c>
      <c r="H55" s="477">
        <f>skemA3!B22</f>
        <v>44726</v>
      </c>
      <c r="I55" s="66">
        <f t="shared" si="49"/>
        <v>1</v>
      </c>
      <c r="J55" s="481">
        <f>skemA3!G60</f>
        <v>1151.7999999999995</v>
      </c>
      <c r="K55" s="480">
        <f t="shared" si="50"/>
        <v>1151.7999999999995</v>
      </c>
      <c r="L55" s="480">
        <f t="shared" si="51"/>
        <v>0</v>
      </c>
      <c r="N55" s="477">
        <f>skemA3!B22</f>
        <v>44726</v>
      </c>
      <c r="O55" s="66">
        <f t="shared" si="52"/>
        <v>1</v>
      </c>
      <c r="P55" s="481">
        <f t="shared" si="53"/>
        <v>129.59999999999968</v>
      </c>
      <c r="Q55" s="480">
        <f t="shared" si="54"/>
        <v>129.59999999999968</v>
      </c>
      <c r="R55" s="480">
        <f t="shared" si="55"/>
        <v>0</v>
      </c>
      <c r="T55" s="477">
        <f>skemA3!B22</f>
        <v>44726</v>
      </c>
      <c r="U55" s="66">
        <f t="shared" si="56"/>
        <v>1</v>
      </c>
      <c r="V55" s="481">
        <f t="shared" si="57"/>
        <v>1151.7999999999995</v>
      </c>
      <c r="W55" s="480">
        <f t="shared" si="58"/>
        <v>1151.7999999999995</v>
      </c>
      <c r="X55" s="480">
        <f t="shared" si="59"/>
        <v>0</v>
      </c>
      <c r="Y55" s="483"/>
      <c r="Z55" s="477">
        <f>skemA3!B22</f>
        <v>44726</v>
      </c>
      <c r="AA55" s="66">
        <f t="shared" si="60"/>
        <v>-1</v>
      </c>
      <c r="AB55" s="481">
        <f t="shared" si="61"/>
        <v>129.59999999999968</v>
      </c>
      <c r="AC55" s="480">
        <f t="shared" si="62"/>
        <v>0</v>
      </c>
      <c r="AD55" s="480">
        <f t="shared" si="63"/>
        <v>129.59999999999968</v>
      </c>
      <c r="AE55" s="483"/>
      <c r="AF55" s="477">
        <f>skemA3!B22</f>
        <v>44726</v>
      </c>
      <c r="AG55" s="66">
        <f t="shared" si="64"/>
        <v>-1</v>
      </c>
      <c r="AH55" s="481">
        <f t="shared" si="65"/>
        <v>1151.7999999999995</v>
      </c>
      <c r="AI55" s="480">
        <f t="shared" si="66"/>
        <v>0</v>
      </c>
      <c r="AJ55" s="480">
        <f t="shared" si="67"/>
        <v>1151.7999999999995</v>
      </c>
      <c r="AL55" s="477">
        <f>skemA3!B22</f>
        <v>44726</v>
      </c>
      <c r="AM55" s="66">
        <f t="shared" si="68"/>
        <v>-1</v>
      </c>
      <c r="AN55" s="481">
        <f t="shared" si="69"/>
        <v>129.59999999999968</v>
      </c>
      <c r="AO55" s="480">
        <f t="shared" si="70"/>
        <v>0</v>
      </c>
      <c r="AP55" s="480">
        <f t="shared" si="71"/>
        <v>129.59999999999968</v>
      </c>
      <c r="AR55" s="477">
        <f>skemA3!B22</f>
        <v>44726</v>
      </c>
      <c r="AS55" s="66">
        <f t="shared" si="72"/>
        <v>-1</v>
      </c>
      <c r="AT55" s="481">
        <f t="shared" si="73"/>
        <v>1151.7999999999995</v>
      </c>
      <c r="AU55" s="480">
        <f t="shared" si="74"/>
        <v>0</v>
      </c>
      <c r="AV55" s="480">
        <f t="shared" si="75"/>
        <v>1151.7999999999995</v>
      </c>
      <c r="AX55" s="477">
        <f t="shared" si="76"/>
        <v>44726</v>
      </c>
      <c r="AY55" s="66">
        <f t="shared" si="76"/>
        <v>-1</v>
      </c>
      <c r="AZ55" s="481">
        <f t="shared" si="77"/>
        <v>129.59999999999968</v>
      </c>
      <c r="BA55" s="480">
        <f t="shared" si="78"/>
        <v>0</v>
      </c>
      <c r="BB55" s="480">
        <f t="shared" si="79"/>
        <v>129.59999999999968</v>
      </c>
      <c r="BD55" s="477">
        <f>skemA3!B22</f>
        <v>44726</v>
      </c>
      <c r="BE55" s="66">
        <f t="shared" si="80"/>
        <v>-1</v>
      </c>
      <c r="BF55" s="481">
        <f t="shared" si="81"/>
        <v>1151.7999999999995</v>
      </c>
      <c r="BG55" s="480">
        <f t="shared" si="82"/>
        <v>0</v>
      </c>
      <c r="BH55" s="480">
        <f t="shared" si="83"/>
        <v>1151.7999999999995</v>
      </c>
      <c r="BJ55" s="477">
        <f>skemA3!B22</f>
        <v>44726</v>
      </c>
      <c r="BK55" s="66">
        <f t="shared" si="84"/>
        <v>-1</v>
      </c>
      <c r="BL55" s="481">
        <f t="shared" si="85"/>
        <v>129.59999999999968</v>
      </c>
      <c r="BM55" s="480">
        <f t="shared" si="86"/>
        <v>0</v>
      </c>
      <c r="BN55" s="480">
        <f t="shared" si="87"/>
        <v>129.59999999999968</v>
      </c>
      <c r="BP55" s="477">
        <f>skemA3!B22</f>
        <v>44726</v>
      </c>
      <c r="BQ55" s="66">
        <f t="shared" si="88"/>
        <v>-1</v>
      </c>
      <c r="BR55" s="481">
        <f t="shared" si="89"/>
        <v>1151.7999999999995</v>
      </c>
      <c r="BS55" s="480">
        <f t="shared" si="90"/>
        <v>0</v>
      </c>
      <c r="BT55" s="480">
        <f t="shared" si="91"/>
        <v>1151.7999999999995</v>
      </c>
      <c r="BU55" s="486"/>
      <c r="BV55" s="477">
        <f>skemA3!B55</f>
        <v>44721</v>
      </c>
      <c r="BW55" s="66">
        <f t="shared" si="92"/>
        <v>-1</v>
      </c>
      <c r="BX55" s="481">
        <f t="shared" si="93"/>
        <v>129.59999999999968</v>
      </c>
      <c r="BY55" s="480">
        <f t="shared" si="94"/>
        <v>0</v>
      </c>
      <c r="BZ55" s="480">
        <f t="shared" si="95"/>
        <v>129.59999999999968</v>
      </c>
      <c r="CB55" s="477">
        <f>skemA3!B22</f>
        <v>44726</v>
      </c>
      <c r="CC55" s="66">
        <f t="shared" si="96"/>
        <v>-1</v>
      </c>
      <c r="CD55" s="481">
        <f t="shared" si="97"/>
        <v>1151.7999999999995</v>
      </c>
      <c r="CE55" s="480">
        <f t="shared" si="98"/>
        <v>0</v>
      </c>
      <c r="CF55" s="480">
        <f t="shared" si="99"/>
        <v>1151.7999999999995</v>
      </c>
    </row>
    <row r="56" spans="2:84">
      <c r="B56" s="477">
        <f>skemA3!B23</f>
        <v>44727</v>
      </c>
      <c r="C56" s="66">
        <f t="shared" si="46"/>
        <v>1</v>
      </c>
      <c r="D56" s="481">
        <f>skemA3!F61</f>
        <v>71.499999999999545</v>
      </c>
      <c r="E56" s="480">
        <f t="shared" si="47"/>
        <v>71.499999999999545</v>
      </c>
      <c r="F56" s="480">
        <f t="shared" si="48"/>
        <v>0</v>
      </c>
      <c r="H56" s="477">
        <f>skemA3!B23</f>
        <v>44727</v>
      </c>
      <c r="I56" s="66">
        <f t="shared" si="49"/>
        <v>1</v>
      </c>
      <c r="J56" s="481">
        <f>skemA3!G61</f>
        <v>893.50000000000023</v>
      </c>
      <c r="K56" s="480">
        <f t="shared" si="50"/>
        <v>893.50000000000023</v>
      </c>
      <c r="L56" s="480">
        <f t="shared" si="51"/>
        <v>0</v>
      </c>
      <c r="N56" s="477">
        <f>skemA3!B23</f>
        <v>44727</v>
      </c>
      <c r="O56" s="66">
        <f t="shared" si="52"/>
        <v>-1</v>
      </c>
      <c r="P56" s="481">
        <f t="shared" si="53"/>
        <v>71.499999999999545</v>
      </c>
      <c r="Q56" s="480">
        <f t="shared" si="54"/>
        <v>0</v>
      </c>
      <c r="R56" s="480">
        <f t="shared" si="55"/>
        <v>71.499999999999545</v>
      </c>
      <c r="T56" s="477">
        <f>skemA3!B23</f>
        <v>44727</v>
      </c>
      <c r="U56" s="66">
        <f t="shared" si="56"/>
        <v>-1</v>
      </c>
      <c r="V56" s="481">
        <f t="shared" si="57"/>
        <v>893.50000000000023</v>
      </c>
      <c r="W56" s="480">
        <f t="shared" si="58"/>
        <v>0</v>
      </c>
      <c r="X56" s="480">
        <f t="shared" si="59"/>
        <v>893.50000000000023</v>
      </c>
      <c r="Y56" s="483"/>
      <c r="Z56" s="477">
        <f>skemA3!B23</f>
        <v>44727</v>
      </c>
      <c r="AA56" s="66">
        <f t="shared" si="60"/>
        <v>-1</v>
      </c>
      <c r="AB56" s="481">
        <f t="shared" si="61"/>
        <v>71.499999999999545</v>
      </c>
      <c r="AC56" s="480">
        <f t="shared" si="62"/>
        <v>0</v>
      </c>
      <c r="AD56" s="480">
        <f t="shared" si="63"/>
        <v>71.499999999999545</v>
      </c>
      <c r="AE56" s="483"/>
      <c r="AF56" s="477">
        <f>skemA3!B23</f>
        <v>44727</v>
      </c>
      <c r="AG56" s="66">
        <f t="shared" si="64"/>
        <v>-1</v>
      </c>
      <c r="AH56" s="481">
        <f t="shared" si="65"/>
        <v>893.50000000000023</v>
      </c>
      <c r="AI56" s="480">
        <f t="shared" si="66"/>
        <v>0</v>
      </c>
      <c r="AJ56" s="480">
        <f t="shared" si="67"/>
        <v>893.50000000000023</v>
      </c>
      <c r="AL56" s="477">
        <f>skemA3!B23</f>
        <v>44727</v>
      </c>
      <c r="AM56" s="66">
        <f t="shared" si="68"/>
        <v>-1</v>
      </c>
      <c r="AN56" s="481">
        <f t="shared" si="69"/>
        <v>71.499999999999545</v>
      </c>
      <c r="AO56" s="480">
        <f t="shared" si="70"/>
        <v>0</v>
      </c>
      <c r="AP56" s="480">
        <f t="shared" si="71"/>
        <v>71.499999999999545</v>
      </c>
      <c r="AR56" s="477">
        <f>skemA3!B23</f>
        <v>44727</v>
      </c>
      <c r="AS56" s="66">
        <f t="shared" si="72"/>
        <v>-1</v>
      </c>
      <c r="AT56" s="481">
        <f t="shared" si="73"/>
        <v>893.50000000000023</v>
      </c>
      <c r="AU56" s="480">
        <f t="shared" si="74"/>
        <v>0</v>
      </c>
      <c r="AV56" s="480">
        <f t="shared" si="75"/>
        <v>893.50000000000023</v>
      </c>
      <c r="AX56" s="477">
        <f t="shared" si="76"/>
        <v>44727</v>
      </c>
      <c r="AY56" s="66">
        <f t="shared" si="76"/>
        <v>-1</v>
      </c>
      <c r="AZ56" s="481">
        <f t="shared" si="77"/>
        <v>71.499999999999545</v>
      </c>
      <c r="BA56" s="480">
        <f t="shared" si="78"/>
        <v>0</v>
      </c>
      <c r="BB56" s="480">
        <f t="shared" si="79"/>
        <v>71.499999999999545</v>
      </c>
      <c r="BD56" s="477">
        <f>skemA3!B23</f>
        <v>44727</v>
      </c>
      <c r="BE56" s="66">
        <f t="shared" si="80"/>
        <v>-1</v>
      </c>
      <c r="BF56" s="481">
        <f t="shared" si="81"/>
        <v>893.50000000000023</v>
      </c>
      <c r="BG56" s="480">
        <f t="shared" si="82"/>
        <v>0</v>
      </c>
      <c r="BH56" s="480">
        <f t="shared" si="83"/>
        <v>893.50000000000023</v>
      </c>
      <c r="BJ56" s="477">
        <f>skemA3!B23</f>
        <v>44727</v>
      </c>
      <c r="BK56" s="66">
        <f t="shared" si="84"/>
        <v>-1</v>
      </c>
      <c r="BL56" s="481">
        <f t="shared" si="85"/>
        <v>71.499999999999545</v>
      </c>
      <c r="BM56" s="480">
        <f t="shared" si="86"/>
        <v>0</v>
      </c>
      <c r="BN56" s="480">
        <f t="shared" si="87"/>
        <v>71.499999999999545</v>
      </c>
      <c r="BP56" s="477">
        <f>skemA3!B23</f>
        <v>44727</v>
      </c>
      <c r="BQ56" s="66">
        <f t="shared" si="88"/>
        <v>-1</v>
      </c>
      <c r="BR56" s="481">
        <f t="shared" si="89"/>
        <v>893.50000000000023</v>
      </c>
      <c r="BS56" s="480">
        <f t="shared" si="90"/>
        <v>0</v>
      </c>
      <c r="BT56" s="480">
        <f t="shared" si="91"/>
        <v>893.50000000000023</v>
      </c>
      <c r="BU56" s="486"/>
      <c r="BV56" s="477">
        <f>skemA3!B56</f>
        <v>44722</v>
      </c>
      <c r="BW56" s="66">
        <f t="shared" si="92"/>
        <v>1</v>
      </c>
      <c r="BX56" s="481">
        <f t="shared" si="93"/>
        <v>71.499999999999545</v>
      </c>
      <c r="BY56" s="480">
        <f t="shared" si="94"/>
        <v>71.499999999999545</v>
      </c>
      <c r="BZ56" s="480">
        <f t="shared" si="95"/>
        <v>0</v>
      </c>
      <c r="CB56" s="477">
        <f>skemA3!B23</f>
        <v>44727</v>
      </c>
      <c r="CC56" s="66">
        <f t="shared" si="96"/>
        <v>1</v>
      </c>
      <c r="CD56" s="481">
        <f t="shared" si="97"/>
        <v>893.50000000000023</v>
      </c>
      <c r="CE56" s="480">
        <f t="shared" si="98"/>
        <v>893.50000000000023</v>
      </c>
      <c r="CF56" s="480">
        <f t="shared" si="99"/>
        <v>0</v>
      </c>
    </row>
    <row r="57" spans="2:84">
      <c r="B57" s="477">
        <f>skemA3!B24</f>
        <v>44728</v>
      </c>
      <c r="C57" s="66">
        <f t="shared" si="46"/>
        <v>1</v>
      </c>
      <c r="D57" s="481">
        <f>skemA3!F62</f>
        <v>89.600000000000136</v>
      </c>
      <c r="E57" s="480">
        <f t="shared" si="47"/>
        <v>89.600000000000136</v>
      </c>
      <c r="F57" s="480">
        <f t="shared" si="48"/>
        <v>0</v>
      </c>
      <c r="H57" s="477">
        <f>skemA3!B24</f>
        <v>44728</v>
      </c>
      <c r="I57" s="66">
        <f t="shared" si="49"/>
        <v>1</v>
      </c>
      <c r="J57" s="481">
        <f>skemA3!G62</f>
        <v>651.39999999999986</v>
      </c>
      <c r="K57" s="480">
        <f t="shared" si="50"/>
        <v>651.39999999999986</v>
      </c>
      <c r="L57" s="480">
        <f t="shared" si="51"/>
        <v>0</v>
      </c>
      <c r="N57" s="477">
        <f>skemA3!B24</f>
        <v>44728</v>
      </c>
      <c r="O57" s="66">
        <f t="shared" si="52"/>
        <v>-1</v>
      </c>
      <c r="P57" s="481">
        <f t="shared" si="53"/>
        <v>89.600000000000136</v>
      </c>
      <c r="Q57" s="480">
        <f t="shared" si="54"/>
        <v>0</v>
      </c>
      <c r="R57" s="480">
        <f t="shared" si="55"/>
        <v>89.600000000000136</v>
      </c>
      <c r="T57" s="477">
        <f>skemA3!B24</f>
        <v>44728</v>
      </c>
      <c r="U57" s="66">
        <f t="shared" si="56"/>
        <v>-1</v>
      </c>
      <c r="V57" s="481">
        <f t="shared" si="57"/>
        <v>651.39999999999986</v>
      </c>
      <c r="W57" s="480">
        <f t="shared" si="58"/>
        <v>0</v>
      </c>
      <c r="X57" s="480">
        <f t="shared" si="59"/>
        <v>651.39999999999986</v>
      </c>
      <c r="Y57" s="483"/>
      <c r="Z57" s="477">
        <f>skemA3!B24</f>
        <v>44728</v>
      </c>
      <c r="AA57" s="66">
        <f t="shared" si="60"/>
        <v>-1</v>
      </c>
      <c r="AB57" s="481">
        <f t="shared" si="61"/>
        <v>89.600000000000136</v>
      </c>
      <c r="AC57" s="480">
        <f t="shared" si="62"/>
        <v>0</v>
      </c>
      <c r="AD57" s="480">
        <f t="shared" si="63"/>
        <v>89.600000000000136</v>
      </c>
      <c r="AE57" s="483"/>
      <c r="AF57" s="477">
        <f>skemA3!B24</f>
        <v>44728</v>
      </c>
      <c r="AG57" s="66">
        <f t="shared" si="64"/>
        <v>-1</v>
      </c>
      <c r="AH57" s="481">
        <f t="shared" si="65"/>
        <v>651.39999999999986</v>
      </c>
      <c r="AI57" s="480">
        <f t="shared" si="66"/>
        <v>0</v>
      </c>
      <c r="AJ57" s="480">
        <f t="shared" si="67"/>
        <v>651.39999999999986</v>
      </c>
      <c r="AL57" s="477">
        <f>skemA3!B24</f>
        <v>44728</v>
      </c>
      <c r="AM57" s="66">
        <f t="shared" si="68"/>
        <v>-1</v>
      </c>
      <c r="AN57" s="481">
        <f t="shared" si="69"/>
        <v>89.600000000000136</v>
      </c>
      <c r="AO57" s="480">
        <f t="shared" si="70"/>
        <v>0</v>
      </c>
      <c r="AP57" s="480">
        <f t="shared" si="71"/>
        <v>89.600000000000136</v>
      </c>
      <c r="AR57" s="477">
        <f>skemA3!B24</f>
        <v>44728</v>
      </c>
      <c r="AS57" s="66">
        <f t="shared" si="72"/>
        <v>-1</v>
      </c>
      <c r="AT57" s="481">
        <f t="shared" si="73"/>
        <v>651.39999999999986</v>
      </c>
      <c r="AU57" s="480">
        <f t="shared" si="74"/>
        <v>0</v>
      </c>
      <c r="AV57" s="480">
        <f t="shared" si="75"/>
        <v>651.39999999999986</v>
      </c>
      <c r="AX57" s="477">
        <f t="shared" si="76"/>
        <v>44728</v>
      </c>
      <c r="AY57" s="66">
        <f t="shared" si="76"/>
        <v>1</v>
      </c>
      <c r="AZ57" s="481">
        <f t="shared" si="77"/>
        <v>89.600000000000136</v>
      </c>
      <c r="BA57" s="480">
        <f t="shared" si="78"/>
        <v>89.600000000000136</v>
      </c>
      <c r="BB57" s="480">
        <f t="shared" si="79"/>
        <v>0</v>
      </c>
      <c r="BD57" s="477">
        <f>skemA3!B24</f>
        <v>44728</v>
      </c>
      <c r="BE57" s="66">
        <f t="shared" si="80"/>
        <v>1</v>
      </c>
      <c r="BF57" s="481">
        <f t="shared" si="81"/>
        <v>651.39999999999986</v>
      </c>
      <c r="BG57" s="480">
        <f t="shared" si="82"/>
        <v>651.39999999999986</v>
      </c>
      <c r="BH57" s="480">
        <f t="shared" si="83"/>
        <v>0</v>
      </c>
      <c r="BJ57" s="477">
        <f>skemA3!B24</f>
        <v>44728</v>
      </c>
      <c r="BK57" s="66">
        <f t="shared" si="84"/>
        <v>-1</v>
      </c>
      <c r="BL57" s="481">
        <f t="shared" si="85"/>
        <v>89.600000000000136</v>
      </c>
      <c r="BM57" s="480">
        <f t="shared" si="86"/>
        <v>0</v>
      </c>
      <c r="BN57" s="480">
        <f t="shared" si="87"/>
        <v>89.600000000000136</v>
      </c>
      <c r="BP57" s="477">
        <f>skemA3!B24</f>
        <v>44728</v>
      </c>
      <c r="BQ57" s="66">
        <f t="shared" si="88"/>
        <v>-1</v>
      </c>
      <c r="BR57" s="481">
        <f t="shared" si="89"/>
        <v>651.39999999999986</v>
      </c>
      <c r="BS57" s="480">
        <f t="shared" si="90"/>
        <v>0</v>
      </c>
      <c r="BT57" s="480">
        <f t="shared" si="91"/>
        <v>651.39999999999986</v>
      </c>
      <c r="BU57" s="486"/>
      <c r="BV57" s="477">
        <f>skemA3!B57</f>
        <v>44723</v>
      </c>
      <c r="BW57" s="66">
        <f t="shared" si="92"/>
        <v>1</v>
      </c>
      <c r="BX57" s="481">
        <f t="shared" si="93"/>
        <v>89.600000000000136</v>
      </c>
      <c r="BY57" s="480">
        <f t="shared" si="94"/>
        <v>89.600000000000136</v>
      </c>
      <c r="BZ57" s="480">
        <f t="shared" si="95"/>
        <v>0</v>
      </c>
      <c r="CB57" s="477">
        <f>skemA3!B24</f>
        <v>44728</v>
      </c>
      <c r="CC57" s="66">
        <f t="shared" si="96"/>
        <v>1</v>
      </c>
      <c r="CD57" s="481">
        <f t="shared" si="97"/>
        <v>651.39999999999986</v>
      </c>
      <c r="CE57" s="480">
        <f t="shared" si="98"/>
        <v>651.39999999999986</v>
      </c>
      <c r="CF57" s="480">
        <f t="shared" si="99"/>
        <v>0</v>
      </c>
    </row>
    <row r="58" spans="2:84">
      <c r="B58" s="477">
        <f>skemA3!B25</f>
        <v>44729</v>
      </c>
      <c r="C58" s="66">
        <f t="shared" si="46"/>
        <v>1</v>
      </c>
      <c r="D58" s="481">
        <f>skemA3!F63</f>
        <v>233.20000000000005</v>
      </c>
      <c r="E58" s="480">
        <f t="shared" si="47"/>
        <v>233.20000000000005</v>
      </c>
      <c r="F58" s="480">
        <f t="shared" si="48"/>
        <v>0</v>
      </c>
      <c r="H58" s="477">
        <f>skemA3!B25</f>
        <v>44729</v>
      </c>
      <c r="I58" s="66">
        <f t="shared" si="49"/>
        <v>1</v>
      </c>
      <c r="J58" s="481">
        <f>skemA3!G63</f>
        <v>395.00000000000045</v>
      </c>
      <c r="K58" s="480">
        <f t="shared" si="50"/>
        <v>395.00000000000045</v>
      </c>
      <c r="L58" s="480">
        <f t="shared" si="51"/>
        <v>0</v>
      </c>
      <c r="N58" s="477">
        <f>skemA3!B25</f>
        <v>44729</v>
      </c>
      <c r="O58" s="66">
        <f t="shared" si="52"/>
        <v>-1</v>
      </c>
      <c r="P58" s="481">
        <f t="shared" si="53"/>
        <v>233.20000000000005</v>
      </c>
      <c r="Q58" s="480">
        <f t="shared" si="54"/>
        <v>0</v>
      </c>
      <c r="R58" s="480">
        <f t="shared" si="55"/>
        <v>233.20000000000005</v>
      </c>
      <c r="T58" s="477">
        <f>skemA3!B25</f>
        <v>44729</v>
      </c>
      <c r="U58" s="66">
        <f t="shared" si="56"/>
        <v>-1</v>
      </c>
      <c r="V58" s="481">
        <f t="shared" si="57"/>
        <v>395.00000000000045</v>
      </c>
      <c r="W58" s="480">
        <f t="shared" si="58"/>
        <v>0</v>
      </c>
      <c r="X58" s="480">
        <f t="shared" si="59"/>
        <v>395.00000000000045</v>
      </c>
      <c r="Y58" s="483"/>
      <c r="Z58" s="477">
        <f>skemA3!B25</f>
        <v>44729</v>
      </c>
      <c r="AA58" s="66">
        <f t="shared" si="60"/>
        <v>-1</v>
      </c>
      <c r="AB58" s="481">
        <f t="shared" si="61"/>
        <v>233.20000000000005</v>
      </c>
      <c r="AC58" s="480">
        <f t="shared" si="62"/>
        <v>0</v>
      </c>
      <c r="AD58" s="480">
        <f t="shared" si="63"/>
        <v>233.20000000000005</v>
      </c>
      <c r="AE58" s="483"/>
      <c r="AF58" s="477">
        <f>skemA3!B25</f>
        <v>44729</v>
      </c>
      <c r="AG58" s="66">
        <f t="shared" si="64"/>
        <v>-1</v>
      </c>
      <c r="AH58" s="481">
        <f t="shared" si="65"/>
        <v>395.00000000000045</v>
      </c>
      <c r="AI58" s="480">
        <f t="shared" si="66"/>
        <v>0</v>
      </c>
      <c r="AJ58" s="480">
        <f t="shared" si="67"/>
        <v>395.00000000000045</v>
      </c>
      <c r="AL58" s="477">
        <f>skemA3!B25</f>
        <v>44729</v>
      </c>
      <c r="AM58" s="66">
        <f t="shared" si="68"/>
        <v>-1</v>
      </c>
      <c r="AN58" s="481">
        <f t="shared" si="69"/>
        <v>233.20000000000005</v>
      </c>
      <c r="AO58" s="480">
        <f t="shared" si="70"/>
        <v>0</v>
      </c>
      <c r="AP58" s="480">
        <f t="shared" si="71"/>
        <v>233.20000000000005</v>
      </c>
      <c r="AR58" s="477">
        <f>skemA3!B25</f>
        <v>44729</v>
      </c>
      <c r="AS58" s="66">
        <f t="shared" si="72"/>
        <v>-1</v>
      </c>
      <c r="AT58" s="481">
        <f t="shared" si="73"/>
        <v>395.00000000000045</v>
      </c>
      <c r="AU58" s="480">
        <f t="shared" si="74"/>
        <v>0</v>
      </c>
      <c r="AV58" s="480">
        <f t="shared" si="75"/>
        <v>395.00000000000045</v>
      </c>
      <c r="AX58" s="477">
        <f t="shared" si="76"/>
        <v>44729</v>
      </c>
      <c r="AY58" s="66">
        <f t="shared" si="76"/>
        <v>1</v>
      </c>
      <c r="AZ58" s="481">
        <f t="shared" si="77"/>
        <v>233.20000000000005</v>
      </c>
      <c r="BA58" s="480">
        <f t="shared" si="78"/>
        <v>233.20000000000005</v>
      </c>
      <c r="BB58" s="480">
        <f t="shared" si="79"/>
        <v>0</v>
      </c>
      <c r="BD58" s="477">
        <f>skemA3!B25</f>
        <v>44729</v>
      </c>
      <c r="BE58" s="66">
        <f t="shared" si="80"/>
        <v>1</v>
      </c>
      <c r="BF58" s="481">
        <f t="shared" si="81"/>
        <v>395.00000000000045</v>
      </c>
      <c r="BG58" s="480">
        <f t="shared" si="82"/>
        <v>395.00000000000045</v>
      </c>
      <c r="BH58" s="480">
        <f t="shared" si="83"/>
        <v>0</v>
      </c>
      <c r="BJ58" s="477">
        <f>skemA3!B25</f>
        <v>44729</v>
      </c>
      <c r="BK58" s="66">
        <f t="shared" si="84"/>
        <v>1</v>
      </c>
      <c r="BL58" s="481">
        <f t="shared" si="85"/>
        <v>233.20000000000005</v>
      </c>
      <c r="BM58" s="480">
        <f t="shared" si="86"/>
        <v>233.20000000000005</v>
      </c>
      <c r="BN58" s="480">
        <f t="shared" si="87"/>
        <v>0</v>
      </c>
      <c r="BP58" s="477">
        <f>skemA3!B25</f>
        <v>44729</v>
      </c>
      <c r="BQ58" s="66">
        <f t="shared" si="88"/>
        <v>1</v>
      </c>
      <c r="BR58" s="481">
        <f t="shared" si="89"/>
        <v>395.00000000000045</v>
      </c>
      <c r="BS58" s="480">
        <f t="shared" si="90"/>
        <v>395.00000000000045</v>
      </c>
      <c r="BT58" s="480">
        <f t="shared" si="91"/>
        <v>0</v>
      </c>
      <c r="BU58" s="486"/>
      <c r="BV58" s="477">
        <f>skemA3!B58</f>
        <v>44724</v>
      </c>
      <c r="BW58" s="66">
        <f t="shared" si="92"/>
        <v>1</v>
      </c>
      <c r="BX58" s="481">
        <f t="shared" si="93"/>
        <v>233.20000000000005</v>
      </c>
      <c r="BY58" s="480">
        <f t="shared" si="94"/>
        <v>233.20000000000005</v>
      </c>
      <c r="BZ58" s="480">
        <f t="shared" si="95"/>
        <v>0</v>
      </c>
      <c r="CB58" s="477">
        <f>skemA3!B25</f>
        <v>44729</v>
      </c>
      <c r="CC58" s="66">
        <f t="shared" si="96"/>
        <v>1</v>
      </c>
      <c r="CD58" s="481">
        <f t="shared" si="97"/>
        <v>395.00000000000045</v>
      </c>
      <c r="CE58" s="480">
        <f t="shared" si="98"/>
        <v>395.00000000000045</v>
      </c>
      <c r="CF58" s="480">
        <f t="shared" si="99"/>
        <v>0</v>
      </c>
    </row>
    <row r="59" spans="2:84">
      <c r="B59" s="477">
        <f>skemA3!B26</f>
        <v>44730</v>
      </c>
      <c r="C59" s="66">
        <f t="shared" si="46"/>
        <v>1</v>
      </c>
      <c r="D59" s="481">
        <f>skemA3!F64</f>
        <v>463.69999999999982</v>
      </c>
      <c r="E59" s="480">
        <f t="shared" si="47"/>
        <v>463.69999999999982</v>
      </c>
      <c r="F59" s="480">
        <f t="shared" si="48"/>
        <v>0</v>
      </c>
      <c r="H59" s="477">
        <f>skemA3!B26</f>
        <v>44730</v>
      </c>
      <c r="I59" s="66">
        <f t="shared" si="49"/>
        <v>1</v>
      </c>
      <c r="J59" s="481">
        <f>skemA3!G64</f>
        <v>237.5</v>
      </c>
      <c r="K59" s="480">
        <f t="shared" si="50"/>
        <v>237.5</v>
      </c>
      <c r="L59" s="480">
        <f t="shared" si="51"/>
        <v>0</v>
      </c>
      <c r="N59" s="477">
        <f>skemA3!B26</f>
        <v>44730</v>
      </c>
      <c r="O59" s="66">
        <f t="shared" si="52"/>
        <v>-1</v>
      </c>
      <c r="P59" s="481">
        <f t="shared" si="53"/>
        <v>463.69999999999982</v>
      </c>
      <c r="Q59" s="480">
        <f t="shared" si="54"/>
        <v>0</v>
      </c>
      <c r="R59" s="480">
        <f t="shared" si="55"/>
        <v>463.69999999999982</v>
      </c>
      <c r="T59" s="477">
        <f>skemA3!B26</f>
        <v>44730</v>
      </c>
      <c r="U59" s="66">
        <f t="shared" si="56"/>
        <v>-1</v>
      </c>
      <c r="V59" s="481">
        <f t="shared" si="57"/>
        <v>237.5</v>
      </c>
      <c r="W59" s="480">
        <f t="shared" si="58"/>
        <v>0</v>
      </c>
      <c r="X59" s="480">
        <f t="shared" si="59"/>
        <v>237.5</v>
      </c>
      <c r="Y59" s="483"/>
      <c r="Z59" s="477">
        <f>skemA3!B26</f>
        <v>44730</v>
      </c>
      <c r="AA59" s="66">
        <f t="shared" si="60"/>
        <v>0</v>
      </c>
      <c r="AB59" s="481">
        <f t="shared" si="61"/>
        <v>463.69999999999982</v>
      </c>
      <c r="AC59" s="480">
        <f t="shared" si="62"/>
        <v>0</v>
      </c>
      <c r="AD59" s="480">
        <f t="shared" si="63"/>
        <v>0</v>
      </c>
      <c r="AE59" s="483"/>
      <c r="AF59" s="477">
        <f>skemA3!B26</f>
        <v>44730</v>
      </c>
      <c r="AG59" s="66">
        <f t="shared" si="64"/>
        <v>0</v>
      </c>
      <c r="AH59" s="481">
        <f t="shared" si="65"/>
        <v>237.5</v>
      </c>
      <c r="AI59" s="480">
        <f t="shared" si="66"/>
        <v>0</v>
      </c>
      <c r="AJ59" s="480">
        <f t="shared" si="67"/>
        <v>0</v>
      </c>
      <c r="AL59" s="477">
        <f>skemA3!B26</f>
        <v>44730</v>
      </c>
      <c r="AM59" s="66">
        <f t="shared" si="68"/>
        <v>-1</v>
      </c>
      <c r="AN59" s="481">
        <f t="shared" si="69"/>
        <v>463.69999999999982</v>
      </c>
      <c r="AO59" s="480">
        <f t="shared" si="70"/>
        <v>0</v>
      </c>
      <c r="AP59" s="480">
        <f t="shared" si="71"/>
        <v>463.69999999999982</v>
      </c>
      <c r="AR59" s="477">
        <f>skemA3!B26</f>
        <v>44730</v>
      </c>
      <c r="AS59" s="66">
        <f t="shared" si="72"/>
        <v>-1</v>
      </c>
      <c r="AT59" s="481">
        <f t="shared" si="73"/>
        <v>237.5</v>
      </c>
      <c r="AU59" s="480">
        <f t="shared" si="74"/>
        <v>0</v>
      </c>
      <c r="AV59" s="480">
        <f t="shared" si="75"/>
        <v>237.5</v>
      </c>
      <c r="AX59" s="477">
        <f t="shared" si="76"/>
        <v>44730</v>
      </c>
      <c r="AY59" s="66">
        <f t="shared" si="76"/>
        <v>1</v>
      </c>
      <c r="AZ59" s="481">
        <f t="shared" si="77"/>
        <v>463.69999999999982</v>
      </c>
      <c r="BA59" s="480">
        <f t="shared" si="78"/>
        <v>463.69999999999982</v>
      </c>
      <c r="BB59" s="480">
        <f t="shared" si="79"/>
        <v>0</v>
      </c>
      <c r="BD59" s="477">
        <f>skemA3!B26</f>
        <v>44730</v>
      </c>
      <c r="BE59" s="66">
        <f t="shared" si="80"/>
        <v>1</v>
      </c>
      <c r="BF59" s="481">
        <f t="shared" si="81"/>
        <v>237.5</v>
      </c>
      <c r="BG59" s="480">
        <f t="shared" si="82"/>
        <v>237.5</v>
      </c>
      <c r="BH59" s="480">
        <f t="shared" si="83"/>
        <v>0</v>
      </c>
      <c r="BJ59" s="477">
        <f>skemA3!B26</f>
        <v>44730</v>
      </c>
      <c r="BK59" s="66">
        <f t="shared" si="84"/>
        <v>1</v>
      </c>
      <c r="BL59" s="481">
        <f t="shared" si="85"/>
        <v>463.69999999999982</v>
      </c>
      <c r="BM59" s="480">
        <f t="shared" si="86"/>
        <v>463.69999999999982</v>
      </c>
      <c r="BN59" s="480">
        <f t="shared" si="87"/>
        <v>0</v>
      </c>
      <c r="BP59" s="477">
        <f>skemA3!B26</f>
        <v>44730</v>
      </c>
      <c r="BQ59" s="66">
        <f t="shared" si="88"/>
        <v>1</v>
      </c>
      <c r="BR59" s="481">
        <f t="shared" si="89"/>
        <v>237.5</v>
      </c>
      <c r="BS59" s="480">
        <f t="shared" si="90"/>
        <v>237.5</v>
      </c>
      <c r="BT59" s="480">
        <f t="shared" si="91"/>
        <v>0</v>
      </c>
      <c r="BU59" s="486"/>
      <c r="BV59" s="477">
        <f>skemA3!B59</f>
        <v>44725</v>
      </c>
      <c r="BW59" s="66">
        <f t="shared" si="92"/>
        <v>0</v>
      </c>
      <c r="BX59" s="481">
        <f t="shared" si="93"/>
        <v>463.69999999999982</v>
      </c>
      <c r="BY59" s="480">
        <f t="shared" si="94"/>
        <v>0</v>
      </c>
      <c r="BZ59" s="480">
        <f t="shared" si="95"/>
        <v>0</v>
      </c>
      <c r="CB59" s="477">
        <f>skemA3!B26</f>
        <v>44730</v>
      </c>
      <c r="CC59" s="66">
        <f t="shared" si="96"/>
        <v>0</v>
      </c>
      <c r="CD59" s="481">
        <f t="shared" si="97"/>
        <v>237.5</v>
      </c>
      <c r="CE59" s="480">
        <f t="shared" si="98"/>
        <v>0</v>
      </c>
      <c r="CF59" s="480">
        <f t="shared" si="99"/>
        <v>0</v>
      </c>
    </row>
    <row r="60" spans="2:84">
      <c r="B60" s="477">
        <f>skemA3!B27</f>
        <v>44731</v>
      </c>
      <c r="C60" s="66">
        <f t="shared" si="46"/>
        <v>1</v>
      </c>
      <c r="D60" s="481">
        <f>skemA3!F65</f>
        <v>676.89999999999964</v>
      </c>
      <c r="E60" s="480">
        <f t="shared" si="47"/>
        <v>676.89999999999964</v>
      </c>
      <c r="F60" s="480">
        <f t="shared" si="48"/>
        <v>0</v>
      </c>
      <c r="H60" s="477">
        <f>skemA3!B27</f>
        <v>44731</v>
      </c>
      <c r="I60" s="66">
        <f t="shared" si="49"/>
        <v>1</v>
      </c>
      <c r="J60" s="481">
        <f>skemA3!G65</f>
        <v>131.70000000000027</v>
      </c>
      <c r="K60" s="480">
        <f t="shared" si="50"/>
        <v>131.70000000000027</v>
      </c>
      <c r="L60" s="480">
        <f t="shared" si="51"/>
        <v>0</v>
      </c>
      <c r="N60" s="477">
        <f>skemA3!B27</f>
        <v>44731</v>
      </c>
      <c r="O60" s="66">
        <f t="shared" si="52"/>
        <v>-1</v>
      </c>
      <c r="P60" s="481">
        <f t="shared" si="53"/>
        <v>676.89999999999964</v>
      </c>
      <c r="Q60" s="480">
        <f t="shared" si="54"/>
        <v>0</v>
      </c>
      <c r="R60" s="480">
        <f t="shared" si="55"/>
        <v>676.89999999999964</v>
      </c>
      <c r="T60" s="477">
        <f>skemA3!B27</f>
        <v>44731</v>
      </c>
      <c r="U60" s="66">
        <f t="shared" si="56"/>
        <v>-1</v>
      </c>
      <c r="V60" s="481">
        <f t="shared" si="57"/>
        <v>131.70000000000027</v>
      </c>
      <c r="W60" s="480">
        <f t="shared" si="58"/>
        <v>0</v>
      </c>
      <c r="X60" s="480">
        <f t="shared" si="59"/>
        <v>131.70000000000027</v>
      </c>
      <c r="Y60" s="483"/>
      <c r="Z60" s="477">
        <f>skemA3!B27</f>
        <v>44731</v>
      </c>
      <c r="AA60" s="66">
        <f t="shared" si="60"/>
        <v>1</v>
      </c>
      <c r="AB60" s="481">
        <f t="shared" si="61"/>
        <v>676.89999999999964</v>
      </c>
      <c r="AC60" s="480">
        <f t="shared" si="62"/>
        <v>676.89999999999964</v>
      </c>
      <c r="AD60" s="480">
        <f t="shared" si="63"/>
        <v>0</v>
      </c>
      <c r="AE60" s="483"/>
      <c r="AF60" s="477">
        <f>skemA3!B27</f>
        <v>44731</v>
      </c>
      <c r="AG60" s="66">
        <f t="shared" si="64"/>
        <v>1</v>
      </c>
      <c r="AH60" s="481">
        <f t="shared" si="65"/>
        <v>131.70000000000027</v>
      </c>
      <c r="AI60" s="480">
        <f t="shared" si="66"/>
        <v>131.70000000000027</v>
      </c>
      <c r="AJ60" s="480">
        <f t="shared" si="67"/>
        <v>0</v>
      </c>
      <c r="AL60" s="477">
        <f>skemA3!B27</f>
        <v>44731</v>
      </c>
      <c r="AM60" s="66">
        <f t="shared" si="68"/>
        <v>1</v>
      </c>
      <c r="AN60" s="481">
        <f t="shared" si="69"/>
        <v>676.89999999999964</v>
      </c>
      <c r="AO60" s="480">
        <f t="shared" si="70"/>
        <v>676.89999999999964</v>
      </c>
      <c r="AP60" s="480">
        <f t="shared" si="71"/>
        <v>0</v>
      </c>
      <c r="AR60" s="477">
        <f>skemA3!B27</f>
        <v>44731</v>
      </c>
      <c r="AS60" s="66">
        <f t="shared" si="72"/>
        <v>1</v>
      </c>
      <c r="AT60" s="481">
        <f t="shared" si="73"/>
        <v>131.70000000000027</v>
      </c>
      <c r="AU60" s="480">
        <f t="shared" si="74"/>
        <v>131.70000000000027</v>
      </c>
      <c r="AV60" s="480">
        <f t="shared" si="75"/>
        <v>0</v>
      </c>
      <c r="AX60" s="477">
        <f t="shared" si="76"/>
        <v>44731</v>
      </c>
      <c r="AY60" s="66">
        <f t="shared" si="76"/>
        <v>1</v>
      </c>
      <c r="AZ60" s="481">
        <f t="shared" si="77"/>
        <v>676.89999999999964</v>
      </c>
      <c r="BA60" s="480">
        <f t="shared" si="78"/>
        <v>676.89999999999964</v>
      </c>
      <c r="BB60" s="480">
        <f t="shared" si="79"/>
        <v>0</v>
      </c>
      <c r="BD60" s="477">
        <f>skemA3!B27</f>
        <v>44731</v>
      </c>
      <c r="BE60" s="66">
        <f t="shared" si="80"/>
        <v>1</v>
      </c>
      <c r="BF60" s="481">
        <f t="shared" si="81"/>
        <v>131.70000000000027</v>
      </c>
      <c r="BG60" s="480">
        <f t="shared" si="82"/>
        <v>131.70000000000027</v>
      </c>
      <c r="BH60" s="480">
        <f t="shared" si="83"/>
        <v>0</v>
      </c>
      <c r="BJ60" s="477">
        <f>skemA3!B27</f>
        <v>44731</v>
      </c>
      <c r="BK60" s="66">
        <f t="shared" si="84"/>
        <v>1</v>
      </c>
      <c r="BL60" s="481">
        <f t="shared" si="85"/>
        <v>676.89999999999964</v>
      </c>
      <c r="BM60" s="480">
        <f t="shared" si="86"/>
        <v>676.89999999999964</v>
      </c>
      <c r="BN60" s="480">
        <f t="shared" si="87"/>
        <v>0</v>
      </c>
      <c r="BP60" s="477">
        <f>skemA3!B27</f>
        <v>44731</v>
      </c>
      <c r="BQ60" s="66">
        <f t="shared" si="88"/>
        <v>1</v>
      </c>
      <c r="BR60" s="481">
        <f t="shared" si="89"/>
        <v>131.70000000000027</v>
      </c>
      <c r="BS60" s="480">
        <f t="shared" si="90"/>
        <v>131.70000000000027</v>
      </c>
      <c r="BT60" s="480">
        <f t="shared" si="91"/>
        <v>0</v>
      </c>
      <c r="BU60" s="486"/>
      <c r="BV60" s="477">
        <f>skemA3!B60</f>
        <v>44726</v>
      </c>
      <c r="BW60" s="66">
        <f t="shared" si="92"/>
        <v>-1</v>
      </c>
      <c r="BX60" s="481">
        <f t="shared" si="93"/>
        <v>676.89999999999964</v>
      </c>
      <c r="BY60" s="480">
        <f t="shared" si="94"/>
        <v>0</v>
      </c>
      <c r="BZ60" s="480">
        <f t="shared" si="95"/>
        <v>676.89999999999964</v>
      </c>
      <c r="CB60" s="477">
        <f>skemA3!B27</f>
        <v>44731</v>
      </c>
      <c r="CC60" s="66">
        <f t="shared" si="96"/>
        <v>-1</v>
      </c>
      <c r="CD60" s="481">
        <f t="shared" si="97"/>
        <v>131.70000000000027</v>
      </c>
      <c r="CE60" s="480">
        <f t="shared" si="98"/>
        <v>0</v>
      </c>
      <c r="CF60" s="480">
        <f t="shared" si="99"/>
        <v>131.70000000000027</v>
      </c>
    </row>
    <row r="61" spans="2:84">
      <c r="B61" s="477">
        <f>skemA3!B28</f>
        <v>44732</v>
      </c>
      <c r="C61" s="66">
        <f t="shared" si="46"/>
        <v>1</v>
      </c>
      <c r="D61" s="481">
        <f>skemA3!F66</f>
        <v>928.2</v>
      </c>
      <c r="E61" s="480">
        <f t="shared" si="47"/>
        <v>928.2</v>
      </c>
      <c r="F61" s="480">
        <f t="shared" si="48"/>
        <v>0</v>
      </c>
      <c r="H61" s="477">
        <f>skemA3!B28</f>
        <v>44732</v>
      </c>
      <c r="I61" s="66">
        <f t="shared" si="49"/>
        <v>1</v>
      </c>
      <c r="J61" s="481">
        <f>skemA3!G66</f>
        <v>188.00000000000023</v>
      </c>
      <c r="K61" s="480">
        <f t="shared" si="50"/>
        <v>188.00000000000023</v>
      </c>
      <c r="L61" s="480">
        <f t="shared" si="51"/>
        <v>0</v>
      </c>
      <c r="N61" s="477">
        <f>skemA3!B28</f>
        <v>44732</v>
      </c>
      <c r="O61" s="66">
        <f t="shared" si="52"/>
        <v>-1</v>
      </c>
      <c r="P61" s="481">
        <f t="shared" si="53"/>
        <v>928.2</v>
      </c>
      <c r="Q61" s="480">
        <f t="shared" si="54"/>
        <v>0</v>
      </c>
      <c r="R61" s="480">
        <f t="shared" si="55"/>
        <v>928.2</v>
      </c>
      <c r="T61" s="477">
        <f>skemA3!B28</f>
        <v>44732</v>
      </c>
      <c r="U61" s="66">
        <f t="shared" si="56"/>
        <v>-1</v>
      </c>
      <c r="V61" s="481">
        <f t="shared" si="57"/>
        <v>188.00000000000023</v>
      </c>
      <c r="W61" s="480">
        <f t="shared" si="58"/>
        <v>0</v>
      </c>
      <c r="X61" s="480">
        <f t="shared" si="59"/>
        <v>188.00000000000023</v>
      </c>
      <c r="Y61" s="483"/>
      <c r="Z61" s="477">
        <f>skemA3!B28</f>
        <v>44732</v>
      </c>
      <c r="AA61" s="66">
        <f t="shared" si="60"/>
        <v>1</v>
      </c>
      <c r="AB61" s="481">
        <f t="shared" si="61"/>
        <v>928.2</v>
      </c>
      <c r="AC61" s="480">
        <f t="shared" si="62"/>
        <v>928.2</v>
      </c>
      <c r="AD61" s="480">
        <f t="shared" si="63"/>
        <v>0</v>
      </c>
      <c r="AE61" s="483"/>
      <c r="AF61" s="477">
        <f>skemA3!B28</f>
        <v>44732</v>
      </c>
      <c r="AG61" s="66">
        <f t="shared" si="64"/>
        <v>1</v>
      </c>
      <c r="AH61" s="481">
        <f t="shared" si="65"/>
        <v>188.00000000000023</v>
      </c>
      <c r="AI61" s="480">
        <f t="shared" si="66"/>
        <v>188.00000000000023</v>
      </c>
      <c r="AJ61" s="480">
        <f t="shared" si="67"/>
        <v>0</v>
      </c>
      <c r="AL61" s="477">
        <f>skemA3!B28</f>
        <v>44732</v>
      </c>
      <c r="AM61" s="66">
        <f t="shared" si="68"/>
        <v>1</v>
      </c>
      <c r="AN61" s="481">
        <f t="shared" si="69"/>
        <v>928.2</v>
      </c>
      <c r="AO61" s="480">
        <f t="shared" si="70"/>
        <v>928.2</v>
      </c>
      <c r="AP61" s="480">
        <f t="shared" si="71"/>
        <v>0</v>
      </c>
      <c r="AR61" s="477">
        <f>skemA3!B28</f>
        <v>44732</v>
      </c>
      <c r="AS61" s="66">
        <f t="shared" si="72"/>
        <v>1</v>
      </c>
      <c r="AT61" s="481">
        <f t="shared" si="73"/>
        <v>188.00000000000023</v>
      </c>
      <c r="AU61" s="480">
        <f t="shared" si="74"/>
        <v>188.00000000000023</v>
      </c>
      <c r="AV61" s="480">
        <f t="shared" si="75"/>
        <v>0</v>
      </c>
      <c r="AX61" s="477">
        <f t="shared" si="76"/>
        <v>44732</v>
      </c>
      <c r="AY61" s="66">
        <f t="shared" si="76"/>
        <v>1</v>
      </c>
      <c r="AZ61" s="481">
        <f t="shared" si="77"/>
        <v>928.2</v>
      </c>
      <c r="BA61" s="480">
        <f t="shared" si="78"/>
        <v>928.2</v>
      </c>
      <c r="BB61" s="480">
        <f t="shared" si="79"/>
        <v>0</v>
      </c>
      <c r="BD61" s="477">
        <f>skemA3!B28</f>
        <v>44732</v>
      </c>
      <c r="BE61" s="66">
        <f t="shared" si="80"/>
        <v>1</v>
      </c>
      <c r="BF61" s="481">
        <f t="shared" si="81"/>
        <v>188.00000000000023</v>
      </c>
      <c r="BG61" s="480">
        <f t="shared" si="82"/>
        <v>188.00000000000023</v>
      </c>
      <c r="BH61" s="480">
        <f t="shared" si="83"/>
        <v>0</v>
      </c>
      <c r="BJ61" s="477">
        <f>skemA3!B28</f>
        <v>44732</v>
      </c>
      <c r="BK61" s="66">
        <f t="shared" si="84"/>
        <v>1</v>
      </c>
      <c r="BL61" s="481">
        <f t="shared" si="85"/>
        <v>928.2</v>
      </c>
      <c r="BM61" s="480">
        <f t="shared" si="86"/>
        <v>928.2</v>
      </c>
      <c r="BN61" s="480">
        <f t="shared" si="87"/>
        <v>0</v>
      </c>
      <c r="BP61" s="477">
        <f>skemA3!B28</f>
        <v>44732</v>
      </c>
      <c r="BQ61" s="66">
        <f t="shared" si="88"/>
        <v>1</v>
      </c>
      <c r="BR61" s="481">
        <f t="shared" si="89"/>
        <v>188.00000000000023</v>
      </c>
      <c r="BS61" s="480">
        <f t="shared" si="90"/>
        <v>188.00000000000023</v>
      </c>
      <c r="BT61" s="480">
        <f t="shared" si="91"/>
        <v>0</v>
      </c>
      <c r="BU61" s="486"/>
      <c r="BV61" s="477">
        <f>skemA3!B61</f>
        <v>44727</v>
      </c>
      <c r="BW61" s="66">
        <f t="shared" si="92"/>
        <v>-1</v>
      </c>
      <c r="BX61" s="481">
        <f t="shared" si="93"/>
        <v>928.2</v>
      </c>
      <c r="BY61" s="480">
        <f t="shared" si="94"/>
        <v>0</v>
      </c>
      <c r="BZ61" s="480">
        <f t="shared" si="95"/>
        <v>928.2</v>
      </c>
      <c r="CB61" s="477">
        <f>skemA3!B28</f>
        <v>44732</v>
      </c>
      <c r="CC61" s="66">
        <f t="shared" si="96"/>
        <v>-1</v>
      </c>
      <c r="CD61" s="481">
        <f t="shared" si="97"/>
        <v>188.00000000000023</v>
      </c>
      <c r="CE61" s="480">
        <f t="shared" si="98"/>
        <v>0</v>
      </c>
      <c r="CF61" s="480">
        <f t="shared" si="99"/>
        <v>188.00000000000023</v>
      </c>
    </row>
    <row r="62" spans="2:84">
      <c r="B62" s="477">
        <f>skemA3!B29</f>
        <v>44733</v>
      </c>
      <c r="C62" s="66">
        <f t="shared" si="46"/>
        <v>1</v>
      </c>
      <c r="D62" s="481">
        <f>skemA3!F67</f>
        <v>1127.9000000000003</v>
      </c>
      <c r="E62" s="480">
        <f t="shared" si="47"/>
        <v>1127.9000000000003</v>
      </c>
      <c r="F62" s="480">
        <f t="shared" si="48"/>
        <v>0</v>
      </c>
      <c r="H62" s="477">
        <f>skemA3!B29</f>
        <v>44733</v>
      </c>
      <c r="I62" s="66">
        <f t="shared" si="49"/>
        <v>1</v>
      </c>
      <c r="J62" s="481">
        <f>skemA3!G67</f>
        <v>382.10000000000036</v>
      </c>
      <c r="K62" s="480">
        <f t="shared" si="50"/>
        <v>382.10000000000036</v>
      </c>
      <c r="L62" s="480">
        <f t="shared" si="51"/>
        <v>0</v>
      </c>
      <c r="N62" s="477">
        <f>skemA3!B29</f>
        <v>44733</v>
      </c>
      <c r="O62" s="66">
        <f t="shared" si="52"/>
        <v>-1</v>
      </c>
      <c r="P62" s="481">
        <f t="shared" si="53"/>
        <v>1127.9000000000003</v>
      </c>
      <c r="Q62" s="480">
        <f t="shared" si="54"/>
        <v>0</v>
      </c>
      <c r="R62" s="480">
        <f t="shared" si="55"/>
        <v>1127.9000000000003</v>
      </c>
      <c r="T62" s="477">
        <f>skemA3!B29</f>
        <v>44733</v>
      </c>
      <c r="U62" s="66">
        <f t="shared" si="56"/>
        <v>-1</v>
      </c>
      <c r="V62" s="481">
        <f t="shared" si="57"/>
        <v>382.10000000000036</v>
      </c>
      <c r="W62" s="480">
        <f t="shared" si="58"/>
        <v>0</v>
      </c>
      <c r="X62" s="480">
        <f t="shared" si="59"/>
        <v>382.10000000000036</v>
      </c>
      <c r="Y62" s="483"/>
      <c r="Z62" s="477">
        <f>skemA3!B29</f>
        <v>44733</v>
      </c>
      <c r="AA62" s="66">
        <f t="shared" si="60"/>
        <v>1</v>
      </c>
      <c r="AB62" s="481">
        <f t="shared" si="61"/>
        <v>1127.9000000000003</v>
      </c>
      <c r="AC62" s="480">
        <f t="shared" si="62"/>
        <v>1127.9000000000003</v>
      </c>
      <c r="AD62" s="480">
        <f t="shared" si="63"/>
        <v>0</v>
      </c>
      <c r="AE62" s="483"/>
      <c r="AF62" s="477">
        <f>skemA3!B29</f>
        <v>44733</v>
      </c>
      <c r="AG62" s="66">
        <f t="shared" si="64"/>
        <v>1</v>
      </c>
      <c r="AH62" s="481">
        <f t="shared" si="65"/>
        <v>382.10000000000036</v>
      </c>
      <c r="AI62" s="480">
        <f t="shared" si="66"/>
        <v>382.10000000000036</v>
      </c>
      <c r="AJ62" s="480">
        <f t="shared" si="67"/>
        <v>0</v>
      </c>
      <c r="AL62" s="477">
        <f>skemA3!B29</f>
        <v>44733</v>
      </c>
      <c r="AM62" s="66">
        <f t="shared" si="68"/>
        <v>1</v>
      </c>
      <c r="AN62" s="481">
        <f t="shared" si="69"/>
        <v>1127.9000000000003</v>
      </c>
      <c r="AO62" s="480">
        <f t="shared" si="70"/>
        <v>1127.9000000000003</v>
      </c>
      <c r="AP62" s="480">
        <f t="shared" si="71"/>
        <v>0</v>
      </c>
      <c r="AR62" s="477">
        <f>skemA3!B29</f>
        <v>44733</v>
      </c>
      <c r="AS62" s="66">
        <f t="shared" si="72"/>
        <v>1</v>
      </c>
      <c r="AT62" s="481">
        <f t="shared" si="73"/>
        <v>382.10000000000036</v>
      </c>
      <c r="AU62" s="480">
        <f t="shared" si="74"/>
        <v>382.10000000000036</v>
      </c>
      <c r="AV62" s="480">
        <f t="shared" si="75"/>
        <v>0</v>
      </c>
      <c r="AX62" s="477">
        <f t="shared" si="76"/>
        <v>44733</v>
      </c>
      <c r="AY62" s="66">
        <f t="shared" si="76"/>
        <v>-1</v>
      </c>
      <c r="AZ62" s="481">
        <f t="shared" si="77"/>
        <v>1127.9000000000003</v>
      </c>
      <c r="BA62" s="480">
        <f t="shared" si="78"/>
        <v>0</v>
      </c>
      <c r="BB62" s="480">
        <f t="shared" si="79"/>
        <v>1127.9000000000003</v>
      </c>
      <c r="BD62" s="477">
        <f>skemA3!B29</f>
        <v>44733</v>
      </c>
      <c r="BE62" s="66">
        <f t="shared" si="80"/>
        <v>-1</v>
      </c>
      <c r="BF62" s="481">
        <f t="shared" si="81"/>
        <v>382.10000000000036</v>
      </c>
      <c r="BG62" s="480">
        <f t="shared" si="82"/>
        <v>0</v>
      </c>
      <c r="BH62" s="480">
        <f t="shared" si="83"/>
        <v>382.10000000000036</v>
      </c>
      <c r="BJ62" s="477">
        <f>skemA3!B29</f>
        <v>44733</v>
      </c>
      <c r="BK62" s="66">
        <f t="shared" si="84"/>
        <v>-1</v>
      </c>
      <c r="BL62" s="481">
        <f t="shared" si="85"/>
        <v>1127.9000000000003</v>
      </c>
      <c r="BM62" s="480">
        <f t="shared" si="86"/>
        <v>0</v>
      </c>
      <c r="BN62" s="480">
        <f t="shared" si="87"/>
        <v>1127.9000000000003</v>
      </c>
      <c r="BP62" s="477">
        <f>skemA3!B29</f>
        <v>44733</v>
      </c>
      <c r="BQ62" s="66">
        <f t="shared" si="88"/>
        <v>-1</v>
      </c>
      <c r="BR62" s="481">
        <f t="shared" si="89"/>
        <v>382.10000000000036</v>
      </c>
      <c r="BS62" s="480">
        <f t="shared" si="90"/>
        <v>0</v>
      </c>
      <c r="BT62" s="480">
        <f t="shared" si="91"/>
        <v>382.10000000000036</v>
      </c>
      <c r="BU62" s="486"/>
      <c r="BV62" s="477">
        <f>skemA3!B62</f>
        <v>44728</v>
      </c>
      <c r="BW62" s="66">
        <f t="shared" si="92"/>
        <v>-1</v>
      </c>
      <c r="BX62" s="481">
        <f t="shared" si="93"/>
        <v>1127.9000000000003</v>
      </c>
      <c r="BY62" s="480">
        <f t="shared" si="94"/>
        <v>0</v>
      </c>
      <c r="BZ62" s="480">
        <f t="shared" si="95"/>
        <v>1127.9000000000003</v>
      </c>
      <c r="CB62" s="477">
        <f>skemA3!B29</f>
        <v>44733</v>
      </c>
      <c r="CC62" s="66">
        <f t="shared" si="96"/>
        <v>-1</v>
      </c>
      <c r="CD62" s="481">
        <f t="shared" si="97"/>
        <v>382.10000000000036</v>
      </c>
      <c r="CE62" s="480">
        <f t="shared" si="98"/>
        <v>0</v>
      </c>
      <c r="CF62" s="480">
        <f t="shared" si="99"/>
        <v>382.10000000000036</v>
      </c>
    </row>
    <row r="63" spans="2:84">
      <c r="B63" s="477">
        <f>skemA3!B30</f>
        <v>44734</v>
      </c>
      <c r="C63" s="66">
        <f t="shared" si="46"/>
        <v>1</v>
      </c>
      <c r="D63" s="481">
        <f>skemA3!F68</f>
        <v>1245.2999999999995</v>
      </c>
      <c r="E63" s="480">
        <f t="shared" si="47"/>
        <v>1245.2999999999995</v>
      </c>
      <c r="F63" s="480">
        <f t="shared" si="48"/>
        <v>0</v>
      </c>
      <c r="H63" s="477">
        <f>skemA3!B30</f>
        <v>44734</v>
      </c>
      <c r="I63" s="66">
        <f t="shared" si="49"/>
        <v>1</v>
      </c>
      <c r="J63" s="481">
        <f>skemA3!G68</f>
        <v>643.30000000000041</v>
      </c>
      <c r="K63" s="480">
        <f t="shared" si="50"/>
        <v>643.30000000000041</v>
      </c>
      <c r="L63" s="480">
        <f t="shared" si="51"/>
        <v>0</v>
      </c>
      <c r="N63" s="477">
        <f>skemA3!B30</f>
        <v>44734</v>
      </c>
      <c r="O63" s="66">
        <f t="shared" si="52"/>
        <v>1</v>
      </c>
      <c r="P63" s="481">
        <f t="shared" si="53"/>
        <v>1245.2999999999995</v>
      </c>
      <c r="Q63" s="480">
        <f t="shared" si="54"/>
        <v>1245.2999999999995</v>
      </c>
      <c r="R63" s="480">
        <f t="shared" si="55"/>
        <v>0</v>
      </c>
      <c r="T63" s="477">
        <f>skemA3!B30</f>
        <v>44734</v>
      </c>
      <c r="U63" s="66">
        <f t="shared" si="56"/>
        <v>1</v>
      </c>
      <c r="V63" s="481">
        <f t="shared" si="57"/>
        <v>643.30000000000041</v>
      </c>
      <c r="W63" s="480">
        <f t="shared" si="58"/>
        <v>643.30000000000041</v>
      </c>
      <c r="X63" s="480">
        <f t="shared" si="59"/>
        <v>0</v>
      </c>
      <c r="Y63" s="483"/>
      <c r="Z63" s="477">
        <f>skemA3!B30</f>
        <v>44734</v>
      </c>
      <c r="AA63" s="66">
        <f t="shared" si="60"/>
        <v>1</v>
      </c>
      <c r="AB63" s="481">
        <f t="shared" si="61"/>
        <v>1245.2999999999995</v>
      </c>
      <c r="AC63" s="480">
        <f t="shared" si="62"/>
        <v>1245.2999999999995</v>
      </c>
      <c r="AD63" s="480">
        <f t="shared" si="63"/>
        <v>0</v>
      </c>
      <c r="AE63" s="483"/>
      <c r="AF63" s="477">
        <f>skemA3!B30</f>
        <v>44734</v>
      </c>
      <c r="AG63" s="66">
        <f t="shared" si="64"/>
        <v>1</v>
      </c>
      <c r="AH63" s="481">
        <f t="shared" si="65"/>
        <v>643.30000000000041</v>
      </c>
      <c r="AI63" s="480">
        <f t="shared" si="66"/>
        <v>643.30000000000041</v>
      </c>
      <c r="AJ63" s="480">
        <f t="shared" si="67"/>
        <v>0</v>
      </c>
      <c r="AL63" s="477">
        <f>skemA3!B30</f>
        <v>44734</v>
      </c>
      <c r="AM63" s="66">
        <f t="shared" si="68"/>
        <v>1</v>
      </c>
      <c r="AN63" s="481">
        <f t="shared" si="69"/>
        <v>1245.2999999999995</v>
      </c>
      <c r="AO63" s="480">
        <f t="shared" si="70"/>
        <v>1245.2999999999995</v>
      </c>
      <c r="AP63" s="480">
        <f t="shared" si="71"/>
        <v>0</v>
      </c>
      <c r="AR63" s="477">
        <f>skemA3!B30</f>
        <v>44734</v>
      </c>
      <c r="AS63" s="66">
        <f t="shared" si="72"/>
        <v>1</v>
      </c>
      <c r="AT63" s="481">
        <f t="shared" si="73"/>
        <v>643.30000000000041</v>
      </c>
      <c r="AU63" s="480">
        <f t="shared" si="74"/>
        <v>643.30000000000041</v>
      </c>
      <c r="AV63" s="480">
        <f t="shared" si="75"/>
        <v>0</v>
      </c>
      <c r="AX63" s="477">
        <f t="shared" si="76"/>
        <v>44734</v>
      </c>
      <c r="AY63" s="66">
        <f t="shared" si="76"/>
        <v>-1</v>
      </c>
      <c r="AZ63" s="481">
        <f t="shared" si="77"/>
        <v>1245.2999999999995</v>
      </c>
      <c r="BA63" s="480">
        <f t="shared" si="78"/>
        <v>0</v>
      </c>
      <c r="BB63" s="480">
        <f t="shared" si="79"/>
        <v>1245.2999999999995</v>
      </c>
      <c r="BD63" s="477">
        <f>skemA3!B30</f>
        <v>44734</v>
      </c>
      <c r="BE63" s="66">
        <f t="shared" si="80"/>
        <v>-1</v>
      </c>
      <c r="BF63" s="481">
        <f t="shared" si="81"/>
        <v>643.30000000000041</v>
      </c>
      <c r="BG63" s="480">
        <f t="shared" si="82"/>
        <v>0</v>
      </c>
      <c r="BH63" s="480">
        <f t="shared" si="83"/>
        <v>643.30000000000041</v>
      </c>
      <c r="BJ63" s="477">
        <f>skemA3!B30</f>
        <v>44734</v>
      </c>
      <c r="BK63" s="66">
        <f t="shared" si="84"/>
        <v>-1</v>
      </c>
      <c r="BL63" s="481">
        <f t="shared" si="85"/>
        <v>1245.2999999999995</v>
      </c>
      <c r="BM63" s="480">
        <f t="shared" si="86"/>
        <v>0</v>
      </c>
      <c r="BN63" s="480">
        <f t="shared" si="87"/>
        <v>1245.2999999999995</v>
      </c>
      <c r="BP63" s="477">
        <f>skemA3!B30</f>
        <v>44734</v>
      </c>
      <c r="BQ63" s="66">
        <f t="shared" si="88"/>
        <v>-1</v>
      </c>
      <c r="BR63" s="481">
        <f t="shared" si="89"/>
        <v>643.30000000000041</v>
      </c>
      <c r="BS63" s="480">
        <f t="shared" si="90"/>
        <v>0</v>
      </c>
      <c r="BT63" s="480">
        <f t="shared" si="91"/>
        <v>643.30000000000041</v>
      </c>
      <c r="BU63" s="486"/>
      <c r="BV63" s="477">
        <f>skemA3!B63</f>
        <v>44729</v>
      </c>
      <c r="BW63" s="66">
        <f t="shared" si="92"/>
        <v>1</v>
      </c>
      <c r="BX63" s="481">
        <f t="shared" si="93"/>
        <v>1245.2999999999995</v>
      </c>
      <c r="BY63" s="480">
        <f t="shared" si="94"/>
        <v>1245.2999999999995</v>
      </c>
      <c r="BZ63" s="480">
        <f t="shared" si="95"/>
        <v>0</v>
      </c>
      <c r="CB63" s="477">
        <f>skemA3!B30</f>
        <v>44734</v>
      </c>
      <c r="CC63" s="66">
        <f t="shared" si="96"/>
        <v>1</v>
      </c>
      <c r="CD63" s="481">
        <f t="shared" si="97"/>
        <v>643.30000000000041</v>
      </c>
      <c r="CE63" s="480">
        <f t="shared" si="98"/>
        <v>643.30000000000041</v>
      </c>
      <c r="CF63" s="480">
        <f t="shared" si="99"/>
        <v>0</v>
      </c>
    </row>
    <row r="64" spans="2:84">
      <c r="B64" s="477">
        <f>skemA3!B31</f>
        <v>44735</v>
      </c>
      <c r="C64" s="66">
        <f t="shared" si="46"/>
        <v>1</v>
      </c>
      <c r="D64" s="481">
        <f>skemA3!F69</f>
        <v>1213.8000000000002</v>
      </c>
      <c r="E64" s="480">
        <f t="shared" si="47"/>
        <v>1213.8000000000002</v>
      </c>
      <c r="F64" s="480">
        <f t="shared" si="48"/>
        <v>0</v>
      </c>
      <c r="H64" s="477">
        <f>skemA3!B31</f>
        <v>44735</v>
      </c>
      <c r="I64" s="66">
        <f t="shared" si="49"/>
        <v>1</v>
      </c>
      <c r="J64" s="481">
        <f>skemA3!G69</f>
        <v>928.60000000000014</v>
      </c>
      <c r="K64" s="480">
        <f t="shared" si="50"/>
        <v>928.60000000000014</v>
      </c>
      <c r="L64" s="480">
        <f t="shared" si="51"/>
        <v>0</v>
      </c>
      <c r="N64" s="477">
        <f>skemA3!B31</f>
        <v>44735</v>
      </c>
      <c r="O64" s="66">
        <f t="shared" si="52"/>
        <v>1</v>
      </c>
      <c r="P64" s="481">
        <f t="shared" si="53"/>
        <v>1213.8000000000002</v>
      </c>
      <c r="Q64" s="480">
        <f t="shared" si="54"/>
        <v>1213.8000000000002</v>
      </c>
      <c r="R64" s="480">
        <f t="shared" si="55"/>
        <v>0</v>
      </c>
      <c r="T64" s="477">
        <f>skemA3!B31</f>
        <v>44735</v>
      </c>
      <c r="U64" s="66">
        <f t="shared" si="56"/>
        <v>1</v>
      </c>
      <c r="V64" s="481">
        <f t="shared" si="57"/>
        <v>928.60000000000014</v>
      </c>
      <c r="W64" s="480">
        <f t="shared" si="58"/>
        <v>928.60000000000014</v>
      </c>
      <c r="X64" s="480">
        <f t="shared" si="59"/>
        <v>0</v>
      </c>
      <c r="Y64" s="483"/>
      <c r="Z64" s="477">
        <f>skemA3!B31</f>
        <v>44735</v>
      </c>
      <c r="AA64" s="66">
        <f t="shared" si="60"/>
        <v>1</v>
      </c>
      <c r="AB64" s="481">
        <f t="shared" si="61"/>
        <v>1213.8000000000002</v>
      </c>
      <c r="AC64" s="480">
        <f t="shared" si="62"/>
        <v>1213.8000000000002</v>
      </c>
      <c r="AD64" s="480">
        <f t="shared" si="63"/>
        <v>0</v>
      </c>
      <c r="AE64" s="483"/>
      <c r="AF64" s="477">
        <f>skemA3!B31</f>
        <v>44735</v>
      </c>
      <c r="AG64" s="66">
        <f t="shared" si="64"/>
        <v>1</v>
      </c>
      <c r="AH64" s="481">
        <f t="shared" si="65"/>
        <v>928.60000000000014</v>
      </c>
      <c r="AI64" s="480">
        <f t="shared" si="66"/>
        <v>928.60000000000014</v>
      </c>
      <c r="AJ64" s="480">
        <f t="shared" si="67"/>
        <v>0</v>
      </c>
      <c r="AL64" s="477">
        <f>skemA3!B31</f>
        <v>44735</v>
      </c>
      <c r="AM64" s="66">
        <f t="shared" si="68"/>
        <v>1</v>
      </c>
      <c r="AN64" s="481">
        <f t="shared" si="69"/>
        <v>1213.8000000000002</v>
      </c>
      <c r="AO64" s="480">
        <f t="shared" si="70"/>
        <v>1213.8000000000002</v>
      </c>
      <c r="AP64" s="480">
        <f t="shared" si="71"/>
        <v>0</v>
      </c>
      <c r="AR64" s="477">
        <f>skemA3!B31</f>
        <v>44735</v>
      </c>
      <c r="AS64" s="66">
        <f t="shared" si="72"/>
        <v>1</v>
      </c>
      <c r="AT64" s="481">
        <f t="shared" si="73"/>
        <v>928.60000000000014</v>
      </c>
      <c r="AU64" s="480">
        <f t="shared" si="74"/>
        <v>928.60000000000014</v>
      </c>
      <c r="AV64" s="480">
        <f t="shared" si="75"/>
        <v>0</v>
      </c>
      <c r="AX64" s="477">
        <f t="shared" si="76"/>
        <v>44735</v>
      </c>
      <c r="AY64" s="66">
        <f t="shared" si="76"/>
        <v>-1</v>
      </c>
      <c r="AZ64" s="481">
        <f t="shared" si="77"/>
        <v>1213.8000000000002</v>
      </c>
      <c r="BA64" s="480">
        <f t="shared" si="78"/>
        <v>0</v>
      </c>
      <c r="BB64" s="480">
        <f t="shared" si="79"/>
        <v>1213.8000000000002</v>
      </c>
      <c r="BD64" s="477">
        <f>skemA3!B31</f>
        <v>44735</v>
      </c>
      <c r="BE64" s="66">
        <f t="shared" si="80"/>
        <v>-1</v>
      </c>
      <c r="BF64" s="481">
        <f t="shared" si="81"/>
        <v>928.60000000000014</v>
      </c>
      <c r="BG64" s="480">
        <f t="shared" si="82"/>
        <v>0</v>
      </c>
      <c r="BH64" s="480">
        <f t="shared" si="83"/>
        <v>928.60000000000014</v>
      </c>
      <c r="BJ64" s="477">
        <f>skemA3!B31</f>
        <v>44735</v>
      </c>
      <c r="BK64" s="66">
        <f t="shared" si="84"/>
        <v>-1</v>
      </c>
      <c r="BL64" s="481">
        <f t="shared" si="85"/>
        <v>1213.8000000000002</v>
      </c>
      <c r="BM64" s="480">
        <f t="shared" si="86"/>
        <v>0</v>
      </c>
      <c r="BN64" s="480">
        <f t="shared" si="87"/>
        <v>1213.8000000000002</v>
      </c>
      <c r="BP64" s="477">
        <f>skemA3!B31</f>
        <v>44735</v>
      </c>
      <c r="BQ64" s="66">
        <f t="shared" si="88"/>
        <v>-1</v>
      </c>
      <c r="BR64" s="481">
        <f t="shared" si="89"/>
        <v>928.60000000000014</v>
      </c>
      <c r="BS64" s="480">
        <f t="shared" si="90"/>
        <v>0</v>
      </c>
      <c r="BT64" s="480">
        <f t="shared" si="91"/>
        <v>928.60000000000014</v>
      </c>
      <c r="BU64" s="486"/>
      <c r="BV64" s="477">
        <f>skemA3!B64</f>
        <v>44730</v>
      </c>
      <c r="BW64" s="66">
        <f t="shared" si="92"/>
        <v>1</v>
      </c>
      <c r="BX64" s="481">
        <f t="shared" si="93"/>
        <v>1213.8000000000002</v>
      </c>
      <c r="BY64" s="480">
        <f t="shared" si="94"/>
        <v>1213.8000000000002</v>
      </c>
      <c r="BZ64" s="480">
        <f t="shared" si="95"/>
        <v>0</v>
      </c>
      <c r="CB64" s="477">
        <f>skemA3!B31</f>
        <v>44735</v>
      </c>
      <c r="CC64" s="66">
        <f t="shared" si="96"/>
        <v>1</v>
      </c>
      <c r="CD64" s="481">
        <f t="shared" si="97"/>
        <v>928.60000000000014</v>
      </c>
      <c r="CE64" s="480">
        <f t="shared" si="98"/>
        <v>928.60000000000014</v>
      </c>
      <c r="CF64" s="480">
        <f t="shared" si="99"/>
        <v>0</v>
      </c>
    </row>
    <row r="65" spans="2:84">
      <c r="B65" s="477">
        <f>skemA3!B32</f>
        <v>44736</v>
      </c>
      <c r="C65" s="66">
        <f t="shared" si="46"/>
        <v>1</v>
      </c>
      <c r="D65" s="481">
        <f>skemA3!F70</f>
        <v>1079.6000000000001</v>
      </c>
      <c r="E65" s="480">
        <f t="shared" si="47"/>
        <v>1079.6000000000001</v>
      </c>
      <c r="F65" s="480">
        <f t="shared" si="48"/>
        <v>0</v>
      </c>
      <c r="H65" s="477">
        <f>skemA3!B32</f>
        <v>44736</v>
      </c>
      <c r="I65" s="66">
        <f t="shared" si="49"/>
        <v>1</v>
      </c>
      <c r="J65" s="481">
        <f>skemA3!G70</f>
        <v>1174.0000000000002</v>
      </c>
      <c r="K65" s="480">
        <f t="shared" si="50"/>
        <v>1174.0000000000002</v>
      </c>
      <c r="L65" s="480">
        <f t="shared" si="51"/>
        <v>0</v>
      </c>
      <c r="N65" s="477">
        <f>skemA3!B32</f>
        <v>44736</v>
      </c>
      <c r="O65" s="66">
        <f t="shared" si="52"/>
        <v>1</v>
      </c>
      <c r="P65" s="481">
        <f t="shared" si="53"/>
        <v>1079.6000000000001</v>
      </c>
      <c r="Q65" s="480">
        <f t="shared" si="54"/>
        <v>1079.6000000000001</v>
      </c>
      <c r="R65" s="480">
        <f t="shared" si="55"/>
        <v>0</v>
      </c>
      <c r="T65" s="477">
        <f>skemA3!B32</f>
        <v>44736</v>
      </c>
      <c r="U65" s="66">
        <f t="shared" si="56"/>
        <v>1</v>
      </c>
      <c r="V65" s="481">
        <f t="shared" si="57"/>
        <v>1174.0000000000002</v>
      </c>
      <c r="W65" s="480">
        <f t="shared" si="58"/>
        <v>1174.0000000000002</v>
      </c>
      <c r="X65" s="480">
        <f t="shared" si="59"/>
        <v>0</v>
      </c>
      <c r="Y65" s="483"/>
      <c r="Z65" s="477">
        <f>skemA3!B32</f>
        <v>44736</v>
      </c>
      <c r="AA65" s="66">
        <f t="shared" si="60"/>
        <v>1</v>
      </c>
      <c r="AB65" s="481">
        <f t="shared" si="61"/>
        <v>1079.6000000000001</v>
      </c>
      <c r="AC65" s="480">
        <f t="shared" si="62"/>
        <v>1079.6000000000001</v>
      </c>
      <c r="AD65" s="480">
        <f t="shared" si="63"/>
        <v>0</v>
      </c>
      <c r="AE65" s="483"/>
      <c r="AF65" s="477">
        <f>skemA3!B32</f>
        <v>44736</v>
      </c>
      <c r="AG65" s="66">
        <f t="shared" si="64"/>
        <v>1</v>
      </c>
      <c r="AH65" s="481">
        <f t="shared" si="65"/>
        <v>1174.0000000000002</v>
      </c>
      <c r="AI65" s="480">
        <f t="shared" si="66"/>
        <v>1174.0000000000002</v>
      </c>
      <c r="AJ65" s="480">
        <f t="shared" si="67"/>
        <v>0</v>
      </c>
      <c r="AL65" s="477">
        <f>skemA3!B32</f>
        <v>44736</v>
      </c>
      <c r="AM65" s="66">
        <f t="shared" si="68"/>
        <v>-1</v>
      </c>
      <c r="AN65" s="481">
        <f t="shared" si="69"/>
        <v>1079.6000000000001</v>
      </c>
      <c r="AO65" s="480">
        <f t="shared" si="70"/>
        <v>0</v>
      </c>
      <c r="AP65" s="480">
        <f t="shared" si="71"/>
        <v>1079.6000000000001</v>
      </c>
      <c r="AR65" s="477">
        <f>skemA3!B32</f>
        <v>44736</v>
      </c>
      <c r="AS65" s="66">
        <f t="shared" si="72"/>
        <v>-1</v>
      </c>
      <c r="AT65" s="481">
        <f t="shared" si="73"/>
        <v>1174.0000000000002</v>
      </c>
      <c r="AU65" s="480">
        <f t="shared" si="74"/>
        <v>0</v>
      </c>
      <c r="AV65" s="480">
        <f t="shared" si="75"/>
        <v>1174.0000000000002</v>
      </c>
      <c r="AX65" s="477">
        <f t="shared" si="76"/>
        <v>44736</v>
      </c>
      <c r="AY65" s="66">
        <f t="shared" si="76"/>
        <v>-1</v>
      </c>
      <c r="AZ65" s="481">
        <f t="shared" si="77"/>
        <v>1079.6000000000001</v>
      </c>
      <c r="BA65" s="480">
        <f t="shared" si="78"/>
        <v>0</v>
      </c>
      <c r="BB65" s="480">
        <f t="shared" si="79"/>
        <v>1079.6000000000001</v>
      </c>
      <c r="BD65" s="477">
        <f>skemA3!B32</f>
        <v>44736</v>
      </c>
      <c r="BE65" s="66">
        <f t="shared" si="80"/>
        <v>-1</v>
      </c>
      <c r="BF65" s="481">
        <f t="shared" si="81"/>
        <v>1174.0000000000002</v>
      </c>
      <c r="BG65" s="480">
        <f t="shared" si="82"/>
        <v>0</v>
      </c>
      <c r="BH65" s="480">
        <f t="shared" si="83"/>
        <v>1174.0000000000002</v>
      </c>
      <c r="BJ65" s="477">
        <f>skemA3!B32</f>
        <v>44736</v>
      </c>
      <c r="BK65" s="66">
        <f t="shared" si="84"/>
        <v>1</v>
      </c>
      <c r="BL65" s="481">
        <f t="shared" si="85"/>
        <v>1079.6000000000001</v>
      </c>
      <c r="BM65" s="480">
        <f t="shared" si="86"/>
        <v>1079.6000000000001</v>
      </c>
      <c r="BN65" s="480">
        <f t="shared" si="87"/>
        <v>0</v>
      </c>
      <c r="BP65" s="477">
        <f>skemA3!B32</f>
        <v>44736</v>
      </c>
      <c r="BQ65" s="66">
        <f t="shared" si="88"/>
        <v>1</v>
      </c>
      <c r="BR65" s="481">
        <f t="shared" si="89"/>
        <v>1174.0000000000002</v>
      </c>
      <c r="BS65" s="480">
        <f t="shared" si="90"/>
        <v>1174.0000000000002</v>
      </c>
      <c r="BT65" s="480">
        <f t="shared" si="91"/>
        <v>0</v>
      </c>
      <c r="BU65" s="486"/>
      <c r="BV65" s="477">
        <f>skemA3!B65</f>
        <v>44731</v>
      </c>
      <c r="BW65" s="66">
        <f t="shared" si="92"/>
        <v>1</v>
      </c>
      <c r="BX65" s="481">
        <f t="shared" si="93"/>
        <v>1079.6000000000001</v>
      </c>
      <c r="BY65" s="480">
        <f t="shared" si="94"/>
        <v>1079.6000000000001</v>
      </c>
      <c r="BZ65" s="480">
        <f t="shared" si="95"/>
        <v>0</v>
      </c>
      <c r="CB65" s="477">
        <f>skemA3!B32</f>
        <v>44736</v>
      </c>
      <c r="CC65" s="66">
        <f t="shared" si="96"/>
        <v>1</v>
      </c>
      <c r="CD65" s="481">
        <f t="shared" si="97"/>
        <v>1174.0000000000002</v>
      </c>
      <c r="CE65" s="480">
        <f t="shared" si="98"/>
        <v>1174.0000000000002</v>
      </c>
      <c r="CF65" s="480">
        <f t="shared" si="99"/>
        <v>0</v>
      </c>
    </row>
    <row r="66" spans="2:84">
      <c r="B66" s="477">
        <f>skemA3!B33</f>
        <v>44737</v>
      </c>
      <c r="C66" s="66">
        <f t="shared" si="46"/>
        <v>1</v>
      </c>
      <c r="D66" s="481">
        <f>skemA3!F71</f>
        <v>868.89999999999964</v>
      </c>
      <c r="E66" s="480">
        <f t="shared" si="47"/>
        <v>868.89999999999964</v>
      </c>
      <c r="F66" s="480">
        <f t="shared" si="48"/>
        <v>0</v>
      </c>
      <c r="H66" s="477">
        <f>skemA3!B33</f>
        <v>44737</v>
      </c>
      <c r="I66" s="66">
        <f t="shared" si="49"/>
        <v>1</v>
      </c>
      <c r="J66" s="481">
        <f>skemA3!G71</f>
        <v>1346.4999999999998</v>
      </c>
      <c r="K66" s="480">
        <f t="shared" si="50"/>
        <v>1346.4999999999998</v>
      </c>
      <c r="L66" s="480">
        <f t="shared" si="51"/>
        <v>0</v>
      </c>
      <c r="N66" s="477">
        <f>skemA3!B33</f>
        <v>44737</v>
      </c>
      <c r="O66" s="66">
        <f t="shared" si="52"/>
        <v>1</v>
      </c>
      <c r="P66" s="481">
        <f t="shared" si="53"/>
        <v>868.89999999999964</v>
      </c>
      <c r="Q66" s="480">
        <f t="shared" si="54"/>
        <v>868.89999999999964</v>
      </c>
      <c r="R66" s="480">
        <f t="shared" si="55"/>
        <v>0</v>
      </c>
      <c r="T66" s="477">
        <f>skemA3!B33</f>
        <v>44737</v>
      </c>
      <c r="U66" s="66">
        <f t="shared" si="56"/>
        <v>1</v>
      </c>
      <c r="V66" s="481">
        <f t="shared" si="57"/>
        <v>1346.4999999999998</v>
      </c>
      <c r="W66" s="480">
        <f t="shared" si="58"/>
        <v>1346.4999999999998</v>
      </c>
      <c r="X66" s="480">
        <f t="shared" si="59"/>
        <v>0</v>
      </c>
      <c r="Y66" s="483"/>
      <c r="Z66" s="477">
        <f>skemA3!B33</f>
        <v>44737</v>
      </c>
      <c r="AA66" s="66">
        <f t="shared" si="60"/>
        <v>0</v>
      </c>
      <c r="AB66" s="481">
        <f t="shared" si="61"/>
        <v>868.89999999999964</v>
      </c>
      <c r="AC66" s="480">
        <f t="shared" si="62"/>
        <v>0</v>
      </c>
      <c r="AD66" s="480">
        <f t="shared" si="63"/>
        <v>0</v>
      </c>
      <c r="AE66" s="483"/>
      <c r="AF66" s="477">
        <f>skemA3!B33</f>
        <v>44737</v>
      </c>
      <c r="AG66" s="66">
        <f t="shared" si="64"/>
        <v>0</v>
      </c>
      <c r="AH66" s="481">
        <f t="shared" si="65"/>
        <v>1346.4999999999998</v>
      </c>
      <c r="AI66" s="480">
        <f t="shared" si="66"/>
        <v>0</v>
      </c>
      <c r="AJ66" s="480">
        <f t="shared" si="67"/>
        <v>0</v>
      </c>
      <c r="AL66" s="477">
        <f>skemA3!B33</f>
        <v>44737</v>
      </c>
      <c r="AM66" s="66">
        <f t="shared" si="68"/>
        <v>-1</v>
      </c>
      <c r="AN66" s="481">
        <f t="shared" si="69"/>
        <v>868.89999999999964</v>
      </c>
      <c r="AO66" s="480">
        <f t="shared" si="70"/>
        <v>0</v>
      </c>
      <c r="AP66" s="480">
        <f t="shared" si="71"/>
        <v>868.89999999999964</v>
      </c>
      <c r="AR66" s="477">
        <f>skemA3!B33</f>
        <v>44737</v>
      </c>
      <c r="AS66" s="66">
        <f t="shared" si="72"/>
        <v>-1</v>
      </c>
      <c r="AT66" s="481">
        <f t="shared" si="73"/>
        <v>1346.4999999999998</v>
      </c>
      <c r="AU66" s="480">
        <f t="shared" si="74"/>
        <v>0</v>
      </c>
      <c r="AV66" s="480">
        <f t="shared" si="75"/>
        <v>1346.4999999999998</v>
      </c>
      <c r="AX66" s="477">
        <f t="shared" si="76"/>
        <v>44737</v>
      </c>
      <c r="AY66" s="66">
        <f t="shared" si="76"/>
        <v>-1</v>
      </c>
      <c r="AZ66" s="481">
        <f t="shared" si="77"/>
        <v>868.89999999999964</v>
      </c>
      <c r="BA66" s="480">
        <f t="shared" si="78"/>
        <v>0</v>
      </c>
      <c r="BB66" s="480">
        <f t="shared" si="79"/>
        <v>868.89999999999964</v>
      </c>
      <c r="BD66" s="477">
        <f>skemA3!B33</f>
        <v>44737</v>
      </c>
      <c r="BE66" s="66">
        <f t="shared" si="80"/>
        <v>-1</v>
      </c>
      <c r="BF66" s="481">
        <f t="shared" si="81"/>
        <v>1346.4999999999998</v>
      </c>
      <c r="BG66" s="480">
        <f t="shared" si="82"/>
        <v>0</v>
      </c>
      <c r="BH66" s="480">
        <f t="shared" si="83"/>
        <v>1346.4999999999998</v>
      </c>
      <c r="BJ66" s="477">
        <f>skemA3!B33</f>
        <v>44737</v>
      </c>
      <c r="BK66" s="66">
        <f t="shared" si="84"/>
        <v>1</v>
      </c>
      <c r="BL66" s="481">
        <f t="shared" si="85"/>
        <v>868.89999999999964</v>
      </c>
      <c r="BM66" s="480">
        <f t="shared" si="86"/>
        <v>868.89999999999964</v>
      </c>
      <c r="BN66" s="480">
        <f t="shared" si="87"/>
        <v>0</v>
      </c>
      <c r="BP66" s="477">
        <f>skemA3!B33</f>
        <v>44737</v>
      </c>
      <c r="BQ66" s="66">
        <f t="shared" si="88"/>
        <v>1</v>
      </c>
      <c r="BR66" s="481">
        <f t="shared" si="89"/>
        <v>1346.4999999999998</v>
      </c>
      <c r="BS66" s="480">
        <f t="shared" si="90"/>
        <v>1346.4999999999998</v>
      </c>
      <c r="BT66" s="480">
        <f t="shared" si="91"/>
        <v>0</v>
      </c>
      <c r="BU66" s="486"/>
      <c r="BV66" s="477">
        <f>skemA3!B66</f>
        <v>44732</v>
      </c>
      <c r="BW66" s="66">
        <f t="shared" si="92"/>
        <v>0</v>
      </c>
      <c r="BX66" s="481">
        <f t="shared" si="93"/>
        <v>868.89999999999964</v>
      </c>
      <c r="BY66" s="480">
        <f t="shared" si="94"/>
        <v>0</v>
      </c>
      <c r="BZ66" s="480">
        <f t="shared" si="95"/>
        <v>0</v>
      </c>
      <c r="CB66" s="477">
        <f>skemA3!B33</f>
        <v>44737</v>
      </c>
      <c r="CC66" s="66">
        <f t="shared" si="96"/>
        <v>0</v>
      </c>
      <c r="CD66" s="481">
        <f t="shared" si="97"/>
        <v>1346.4999999999998</v>
      </c>
      <c r="CE66" s="480">
        <f t="shared" si="98"/>
        <v>0</v>
      </c>
      <c r="CF66" s="480">
        <f t="shared" si="99"/>
        <v>0</v>
      </c>
    </row>
    <row r="67" spans="2:84" ht="15">
      <c r="B67" s="83" t="s">
        <v>85</v>
      </c>
      <c r="C67" s="91"/>
      <c r="D67" s="83">
        <f>SUM(D38:D52)</f>
        <v>7056.7499999999982</v>
      </c>
      <c r="E67" s="94">
        <f>SUM(E38:E52)</f>
        <v>7056.7499999999982</v>
      </c>
      <c r="F67" s="95">
        <f>SUM(F38:F52)</f>
        <v>0</v>
      </c>
      <c r="H67" s="83" t="s">
        <v>85</v>
      </c>
      <c r="I67" s="91"/>
      <c r="J67" s="83">
        <f>SUM(J38:J52)</f>
        <v>10849.750000000002</v>
      </c>
      <c r="K67" s="94">
        <f>SUM(K38:K52)</f>
        <v>10849.750000000002</v>
      </c>
      <c r="L67" s="95">
        <f>SUM(L38:L52)</f>
        <v>0</v>
      </c>
      <c r="N67" s="83" t="s">
        <v>85</v>
      </c>
      <c r="O67" s="91"/>
      <c r="P67" s="83">
        <f>SUM(P38:P52)</f>
        <v>7056.7499999999982</v>
      </c>
      <c r="Q67" s="94">
        <f>SUM(Q38:Q52)</f>
        <v>3810.5</v>
      </c>
      <c r="R67" s="95">
        <f>SUM(R38:R52)</f>
        <v>3352.0499999999993</v>
      </c>
      <c r="T67" s="83" t="s">
        <v>85</v>
      </c>
      <c r="U67" s="91"/>
      <c r="V67" s="83">
        <f>SUM(V38:V52)</f>
        <v>10849.750000000002</v>
      </c>
      <c r="W67" s="94">
        <f>SUM(W38:W52)</f>
        <v>8542.2999999999993</v>
      </c>
      <c r="X67" s="95">
        <f>SUM(X38:X52)</f>
        <v>2307.4499999999998</v>
      </c>
      <c r="Y67" s="484"/>
      <c r="Z67" s="83" t="s">
        <v>85</v>
      </c>
      <c r="AA67" s="91"/>
      <c r="AB67" s="83">
        <f>SUM(AB38:AB52)</f>
        <v>7056.7499999999982</v>
      </c>
      <c r="AC67" s="94">
        <f>SUM(AC38:AC52)</f>
        <v>5392.6</v>
      </c>
      <c r="AD67" s="95">
        <f>SUM(AD38:AD52)</f>
        <v>690.19999999999982</v>
      </c>
      <c r="AE67" s="484"/>
      <c r="AF67" s="83" t="s">
        <v>85</v>
      </c>
      <c r="AG67" s="91"/>
      <c r="AH67" s="83">
        <f>SUM(AH38:AH52)</f>
        <v>10849.750000000002</v>
      </c>
      <c r="AI67" s="94">
        <f>SUM(AI38:AI52)</f>
        <v>3667.3999999999987</v>
      </c>
      <c r="AJ67" s="95">
        <f>SUM(AJ38:AJ52)</f>
        <v>4255.6000000000004</v>
      </c>
      <c r="AL67" s="83" t="s">
        <v>85</v>
      </c>
      <c r="AM67" s="91"/>
      <c r="AN67" s="83">
        <f>SUM(AN38:AN52)</f>
        <v>7056.7499999999982</v>
      </c>
      <c r="AO67" s="94">
        <f>SUM(AO38:AO52)</f>
        <v>2851.7999999999993</v>
      </c>
      <c r="AP67" s="95">
        <f>SUM(AP38:AP52)</f>
        <v>4204.9499999999989</v>
      </c>
      <c r="AR67" s="83" t="s">
        <v>85</v>
      </c>
      <c r="AS67" s="91"/>
      <c r="AT67" s="83">
        <f>SUM(AT38:AT52)</f>
        <v>10849.750000000002</v>
      </c>
      <c r="AU67" s="94">
        <f>SUM(AU38:AU52)</f>
        <v>6393.2</v>
      </c>
      <c r="AV67" s="95">
        <f>SUM(AV38:AV52)</f>
        <v>4456.5499999999993</v>
      </c>
      <c r="AX67" s="83" t="s">
        <v>85</v>
      </c>
      <c r="AY67" s="91"/>
      <c r="AZ67" s="83">
        <f>SUM(AZ38:AZ52)</f>
        <v>7056.7499999999982</v>
      </c>
      <c r="BA67" s="94">
        <f>SUM(BA38:BA52)</f>
        <v>3954.1999999999994</v>
      </c>
      <c r="BB67" s="95">
        <f>SUM(BB38:BB52)</f>
        <v>2359.6499999999996</v>
      </c>
      <c r="BD67" s="83" t="s">
        <v>85</v>
      </c>
      <c r="BE67" s="91"/>
      <c r="BF67" s="83">
        <f>SUM(BF38:BF52)</f>
        <v>10849.750000000002</v>
      </c>
      <c r="BG67" s="94">
        <f>SUM(BG38:BG52)</f>
        <v>8199.5999999999985</v>
      </c>
      <c r="BH67" s="95">
        <f>SUM(BH38:BH52)</f>
        <v>1318.85</v>
      </c>
      <c r="BJ67" s="83" t="s">
        <v>85</v>
      </c>
      <c r="BK67" s="91"/>
      <c r="BL67" s="83">
        <f>SUM(BL38:BL52)</f>
        <v>7056.7499999999982</v>
      </c>
      <c r="BM67" s="94">
        <f>SUM(BM38:BM52)</f>
        <v>3518.1499999999987</v>
      </c>
      <c r="BN67" s="95">
        <f>SUM(BN38:BN52)</f>
        <v>4040.6</v>
      </c>
      <c r="BP67" s="83" t="s">
        <v>85</v>
      </c>
      <c r="BQ67" s="91"/>
      <c r="BR67" s="83">
        <f>SUM(BR38:BR52)</f>
        <v>10849.750000000002</v>
      </c>
      <c r="BS67" s="94">
        <f>SUM(BS38:BS52)</f>
        <v>6177.55</v>
      </c>
      <c r="BT67" s="95">
        <f>SUM(BT38:BT52)</f>
        <v>4672.1999999999989</v>
      </c>
      <c r="BU67" s="485"/>
      <c r="BV67" s="83" t="s">
        <v>85</v>
      </c>
      <c r="BW67" s="91"/>
      <c r="BX67" s="83">
        <f>SUM(BX38:BX52)</f>
        <v>7056.7499999999982</v>
      </c>
      <c r="BY67" s="94">
        <f>SUM(BY38:BY52)</f>
        <v>3333.4999999999995</v>
      </c>
      <c r="BZ67" s="95">
        <f>SUM(BZ38:BZ52)</f>
        <v>2643.4999999999991</v>
      </c>
      <c r="CB67" s="83" t="s">
        <v>85</v>
      </c>
      <c r="CC67" s="91"/>
      <c r="CD67" s="83">
        <f>SUM(CD38:CD52)</f>
        <v>10849.750000000002</v>
      </c>
      <c r="CE67" s="94">
        <f>SUM(CE38:CE52)</f>
        <v>3902.7</v>
      </c>
      <c r="CF67" s="95">
        <f>SUM(CF38:CF52)</f>
        <v>4020.2999999999988</v>
      </c>
    </row>
    <row r="69" spans="2:84" ht="16.5">
      <c r="B69" s="78" t="s">
        <v>86</v>
      </c>
      <c r="C69" s="78" t="s">
        <v>567</v>
      </c>
      <c r="D69" s="676" t="s">
        <v>73</v>
      </c>
      <c r="E69" s="680" t="s">
        <v>585</v>
      </c>
      <c r="F69" s="680"/>
      <c r="H69" s="78" t="s">
        <v>86</v>
      </c>
      <c r="I69" s="78" t="s">
        <v>567</v>
      </c>
      <c r="J69" s="676" t="s">
        <v>74</v>
      </c>
      <c r="K69" s="680" t="s">
        <v>586</v>
      </c>
      <c r="L69" s="680"/>
      <c r="N69" s="78" t="s">
        <v>86</v>
      </c>
      <c r="O69" s="78" t="s">
        <v>567</v>
      </c>
      <c r="P69" s="676" t="s">
        <v>73</v>
      </c>
      <c r="Q69" s="680" t="s">
        <v>587</v>
      </c>
      <c r="R69" s="680"/>
      <c r="T69" s="78" t="s">
        <v>86</v>
      </c>
      <c r="U69" s="78" t="s">
        <v>567</v>
      </c>
      <c r="V69" s="676" t="s">
        <v>74</v>
      </c>
      <c r="W69" s="680" t="s">
        <v>588</v>
      </c>
      <c r="X69" s="680"/>
      <c r="Y69" s="482"/>
      <c r="Z69" s="78" t="s">
        <v>86</v>
      </c>
      <c r="AA69" s="78" t="s">
        <v>567</v>
      </c>
      <c r="AB69" s="676" t="s">
        <v>73</v>
      </c>
      <c r="AC69" s="680" t="s">
        <v>589</v>
      </c>
      <c r="AD69" s="680"/>
      <c r="AE69" s="482"/>
      <c r="AF69" s="78" t="s">
        <v>86</v>
      </c>
      <c r="AG69" s="78" t="s">
        <v>567</v>
      </c>
      <c r="AH69" s="676" t="s">
        <v>74</v>
      </c>
      <c r="AI69" s="680" t="s">
        <v>590</v>
      </c>
      <c r="AJ69" s="680"/>
      <c r="AL69" s="78" t="s">
        <v>86</v>
      </c>
      <c r="AM69" s="78" t="s">
        <v>567</v>
      </c>
      <c r="AN69" s="676" t="s">
        <v>73</v>
      </c>
      <c r="AO69" s="680" t="s">
        <v>591</v>
      </c>
      <c r="AP69" s="680"/>
      <c r="AR69" s="78" t="s">
        <v>86</v>
      </c>
      <c r="AS69" s="78" t="s">
        <v>567</v>
      </c>
      <c r="AT69" s="676" t="s">
        <v>74</v>
      </c>
      <c r="AU69" s="680" t="s">
        <v>592</v>
      </c>
      <c r="AV69" s="680"/>
      <c r="AX69" s="78" t="s">
        <v>86</v>
      </c>
      <c r="AY69" s="78" t="s">
        <v>567</v>
      </c>
      <c r="AZ69" s="676" t="s">
        <v>73</v>
      </c>
      <c r="BA69" s="680" t="s">
        <v>593</v>
      </c>
      <c r="BB69" s="680"/>
      <c r="BD69" s="78" t="s">
        <v>86</v>
      </c>
      <c r="BE69" s="78" t="s">
        <v>567</v>
      </c>
      <c r="BF69" s="676" t="s">
        <v>74</v>
      </c>
      <c r="BG69" s="680" t="s">
        <v>594</v>
      </c>
      <c r="BH69" s="680"/>
      <c r="BJ69" s="78" t="s">
        <v>86</v>
      </c>
      <c r="BK69" s="78" t="s">
        <v>567</v>
      </c>
      <c r="BL69" s="676" t="s">
        <v>73</v>
      </c>
      <c r="BM69" s="680" t="s">
        <v>122</v>
      </c>
      <c r="BN69" s="680"/>
      <c r="BP69" s="78" t="s">
        <v>86</v>
      </c>
      <c r="BQ69" s="78" t="s">
        <v>567</v>
      </c>
      <c r="BR69" s="676" t="s">
        <v>74</v>
      </c>
      <c r="BS69" s="680" t="s">
        <v>123</v>
      </c>
      <c r="BT69" s="680"/>
      <c r="BU69" s="485"/>
      <c r="BV69" s="78" t="s">
        <v>86</v>
      </c>
      <c r="BW69" s="78" t="s">
        <v>567</v>
      </c>
      <c r="BX69" s="676" t="s">
        <v>73</v>
      </c>
      <c r="BY69" s="680" t="s">
        <v>124</v>
      </c>
      <c r="BZ69" s="680"/>
      <c r="CB69" s="78" t="s">
        <v>86</v>
      </c>
      <c r="CC69" s="78" t="s">
        <v>567</v>
      </c>
      <c r="CD69" s="676" t="s">
        <v>74</v>
      </c>
      <c r="CE69" s="680" t="s">
        <v>125</v>
      </c>
      <c r="CF69" s="680"/>
    </row>
    <row r="70" spans="2:84" ht="15">
      <c r="B70" s="78" t="s">
        <v>87</v>
      </c>
      <c r="C70" s="78" t="s">
        <v>568</v>
      </c>
      <c r="D70" s="676"/>
      <c r="E70" s="78" t="s">
        <v>76</v>
      </c>
      <c r="F70" s="78" t="s">
        <v>77</v>
      </c>
      <c r="H70" s="78" t="s">
        <v>87</v>
      </c>
      <c r="I70" s="78" t="s">
        <v>568</v>
      </c>
      <c r="J70" s="676"/>
      <c r="K70" s="78" t="s">
        <v>76</v>
      </c>
      <c r="L70" s="78" t="s">
        <v>77</v>
      </c>
      <c r="N70" s="78" t="s">
        <v>87</v>
      </c>
      <c r="O70" s="78" t="s">
        <v>569</v>
      </c>
      <c r="P70" s="676"/>
      <c r="Q70" s="78" t="s">
        <v>76</v>
      </c>
      <c r="R70" s="78" t="s">
        <v>77</v>
      </c>
      <c r="T70" s="78" t="s">
        <v>87</v>
      </c>
      <c r="U70" s="78" t="s">
        <v>569</v>
      </c>
      <c r="V70" s="676"/>
      <c r="W70" s="78" t="s">
        <v>76</v>
      </c>
      <c r="X70" s="78" t="s">
        <v>77</v>
      </c>
      <c r="Y70" s="482"/>
      <c r="Z70" s="78" t="s">
        <v>87</v>
      </c>
      <c r="AA70" s="78" t="s">
        <v>570</v>
      </c>
      <c r="AB70" s="676"/>
      <c r="AC70" s="78" t="s">
        <v>76</v>
      </c>
      <c r="AD70" s="78" t="s">
        <v>77</v>
      </c>
      <c r="AE70" s="482"/>
      <c r="AF70" s="78" t="s">
        <v>87</v>
      </c>
      <c r="AG70" s="78" t="s">
        <v>570</v>
      </c>
      <c r="AH70" s="676"/>
      <c r="AI70" s="78" t="s">
        <v>76</v>
      </c>
      <c r="AJ70" s="78" t="s">
        <v>77</v>
      </c>
      <c r="AL70" s="78" t="s">
        <v>87</v>
      </c>
      <c r="AM70" s="78" t="s">
        <v>571</v>
      </c>
      <c r="AN70" s="676"/>
      <c r="AO70" s="78" t="s">
        <v>76</v>
      </c>
      <c r="AP70" s="78" t="s">
        <v>77</v>
      </c>
      <c r="AR70" s="78" t="s">
        <v>87</v>
      </c>
      <c r="AS70" s="78" t="s">
        <v>571</v>
      </c>
      <c r="AT70" s="676"/>
      <c r="AU70" s="78" t="s">
        <v>76</v>
      </c>
      <c r="AV70" s="78" t="s">
        <v>77</v>
      </c>
      <c r="AX70" s="78" t="s">
        <v>87</v>
      </c>
      <c r="AY70" s="78" t="s">
        <v>572</v>
      </c>
      <c r="AZ70" s="676"/>
      <c r="BA70" s="78" t="s">
        <v>76</v>
      </c>
      <c r="BB70" s="78" t="s">
        <v>77</v>
      </c>
      <c r="BD70" s="78" t="s">
        <v>87</v>
      </c>
      <c r="BE70" s="78" t="s">
        <v>572</v>
      </c>
      <c r="BF70" s="676"/>
      <c r="BG70" s="78" t="s">
        <v>76</v>
      </c>
      <c r="BH70" s="78" t="s">
        <v>77</v>
      </c>
      <c r="BJ70" s="78" t="s">
        <v>87</v>
      </c>
      <c r="BK70" s="78" t="s">
        <v>573</v>
      </c>
      <c r="BL70" s="676"/>
      <c r="BM70" s="78" t="s">
        <v>76</v>
      </c>
      <c r="BN70" s="78" t="s">
        <v>77</v>
      </c>
      <c r="BP70" s="78" t="s">
        <v>87</v>
      </c>
      <c r="BQ70" s="78" t="s">
        <v>573</v>
      </c>
      <c r="BR70" s="676"/>
      <c r="BS70" s="78" t="s">
        <v>76</v>
      </c>
      <c r="BT70" s="78" t="s">
        <v>77</v>
      </c>
      <c r="BU70" s="485"/>
      <c r="BV70" s="78" t="s">
        <v>87</v>
      </c>
      <c r="BW70" s="78" t="s">
        <v>576</v>
      </c>
      <c r="BX70" s="676"/>
      <c r="BY70" s="78" t="s">
        <v>76</v>
      </c>
      <c r="BZ70" s="78" t="s">
        <v>77</v>
      </c>
      <c r="CB70" s="78" t="s">
        <v>87</v>
      </c>
      <c r="CC70" s="78" t="s">
        <v>576</v>
      </c>
      <c r="CD70" s="676"/>
      <c r="CE70" s="78" t="s">
        <v>76</v>
      </c>
      <c r="CF70" s="78" t="s">
        <v>77</v>
      </c>
    </row>
    <row r="71" spans="2:84">
      <c r="B71" s="477">
        <f>skemA3!B5</f>
        <v>44709</v>
      </c>
      <c r="C71" s="66">
        <f>C38</f>
        <v>1</v>
      </c>
      <c r="D71" s="481">
        <f>skemA3!H43</f>
        <v>70.199999999999818</v>
      </c>
      <c r="E71" s="480">
        <f>IF($C71&gt;0,$D71*$C71,0)</f>
        <v>70.199999999999818</v>
      </c>
      <c r="F71" s="480">
        <f>IF($C71&lt;0,ABS($D71*$C71),0)</f>
        <v>0</v>
      </c>
      <c r="H71" s="477">
        <f>skemA3!B5</f>
        <v>44709</v>
      </c>
      <c r="I71" s="66">
        <f>I38</f>
        <v>1</v>
      </c>
      <c r="J71" s="481">
        <f>skemA3!I43</f>
        <v>232.09999999999945</v>
      </c>
      <c r="K71" s="480">
        <f>IF($I71&gt;0,$J71*$I71,0)</f>
        <v>232.09999999999945</v>
      </c>
      <c r="L71" s="480">
        <f>IF($I71&lt;0,ABS($J71*$I71),0)</f>
        <v>0</v>
      </c>
      <c r="N71" s="477">
        <f>skemA3!B5</f>
        <v>44709</v>
      </c>
      <c r="O71" s="66">
        <f>O38</f>
        <v>1</v>
      </c>
      <c r="P71" s="481">
        <f>D71</f>
        <v>70.199999999999818</v>
      </c>
      <c r="Q71" s="480">
        <f>IF($O71&gt;0,$P71*$O71,0)</f>
        <v>70.199999999999818</v>
      </c>
      <c r="R71" s="480">
        <f>IF($O71&lt;0,ABS($P71*$O71),0)</f>
        <v>0</v>
      </c>
      <c r="T71" s="477">
        <f>skemA3!B5</f>
        <v>44709</v>
      </c>
      <c r="U71" s="66">
        <f>U38</f>
        <v>1</v>
      </c>
      <c r="V71" s="481">
        <f>J71</f>
        <v>232.09999999999945</v>
      </c>
      <c r="W71" s="480">
        <f>IF($U71&gt;0,$V71*$U71,0)</f>
        <v>232.09999999999945</v>
      </c>
      <c r="X71" s="480">
        <f>IF($U71&lt;0,ABS($V71*$U71),0)</f>
        <v>0</v>
      </c>
      <c r="Y71" s="483"/>
      <c r="Z71" s="477">
        <f>skemA3!B5</f>
        <v>44709</v>
      </c>
      <c r="AA71" s="66">
        <f>AA38</f>
        <v>0</v>
      </c>
      <c r="AB71" s="481">
        <f>P71</f>
        <v>70.199999999999818</v>
      </c>
      <c r="AC71" s="480">
        <f>IF($AA71&gt;0,$AB71*$AA71,0)</f>
        <v>0</v>
      </c>
      <c r="AD71" s="480">
        <f>IF($AA71&lt;0,ABS($AB71*$AA71),0)</f>
        <v>0</v>
      </c>
      <c r="AE71" s="483"/>
      <c r="AF71" s="477">
        <f>skemA3!B5</f>
        <v>44709</v>
      </c>
      <c r="AG71" s="66">
        <f>AA71</f>
        <v>0</v>
      </c>
      <c r="AH71" s="481">
        <f>V71</f>
        <v>232.09999999999945</v>
      </c>
      <c r="AI71" s="480">
        <f>IF($AG71&gt;0,$AH71*$AG71,0)</f>
        <v>0</v>
      </c>
      <c r="AJ71" s="480">
        <f>IF($AG71&lt;0,ABS($AH71*$AG71),0)</f>
        <v>0</v>
      </c>
      <c r="AL71" s="477">
        <f>skemA3!B5</f>
        <v>44709</v>
      </c>
      <c r="AM71" s="66">
        <f>AM38</f>
        <v>-1</v>
      </c>
      <c r="AN71" s="481">
        <f>AB71</f>
        <v>70.199999999999818</v>
      </c>
      <c r="AO71" s="480">
        <f>IF($AM71&gt;0,$AN71*$AM71,0)</f>
        <v>0</v>
      </c>
      <c r="AP71" s="480">
        <f>IF($AM71&lt;0,ABS($AN71*$AM71),0)</f>
        <v>70.199999999999818</v>
      </c>
      <c r="AR71" s="477">
        <f>skemA3!B5</f>
        <v>44709</v>
      </c>
      <c r="AS71" s="66">
        <f>AS38</f>
        <v>-1</v>
      </c>
      <c r="AT71" s="481">
        <f>AH71</f>
        <v>232.09999999999945</v>
      </c>
      <c r="AU71" s="480">
        <f>IF($AS71&gt;0,$AT71*$AS71,0)</f>
        <v>0</v>
      </c>
      <c r="AV71" s="480">
        <f>IF($AS71&lt;0,ABS($AT71*$AS71),0)</f>
        <v>232.09999999999945</v>
      </c>
      <c r="AX71" s="477">
        <f t="shared" ref="AX71:AY99" si="100">AX38</f>
        <v>44709</v>
      </c>
      <c r="AY71" s="66">
        <f t="shared" si="100"/>
        <v>1</v>
      </c>
      <c r="AZ71" s="481">
        <f>AN71</f>
        <v>70.199999999999818</v>
      </c>
      <c r="BA71" s="480">
        <f>IF($AY71&gt;0,$AZ71*$AY71,0)</f>
        <v>70.199999999999818</v>
      </c>
      <c r="BB71" s="480">
        <f>IF($AY71&lt;0,ABS($AZ71*$AY71),0)</f>
        <v>0</v>
      </c>
      <c r="BD71" s="477">
        <f>skemA3!B5</f>
        <v>44709</v>
      </c>
      <c r="BE71" s="66">
        <f>AY71</f>
        <v>1</v>
      </c>
      <c r="BF71" s="481">
        <f>AT71</f>
        <v>232.09999999999945</v>
      </c>
      <c r="BG71" s="480">
        <f>IF($BE71&gt;0,$BF71*$BE71,0)</f>
        <v>232.09999999999945</v>
      </c>
      <c r="BH71" s="480">
        <f>IF($BE71&lt;0,ABS($BF71*$BE71),0)</f>
        <v>0</v>
      </c>
      <c r="BJ71" s="477">
        <f>skemA3!B5</f>
        <v>44709</v>
      </c>
      <c r="BK71" s="66">
        <f>BK38</f>
        <v>1</v>
      </c>
      <c r="BL71" s="481">
        <f>AZ71</f>
        <v>70.199999999999818</v>
      </c>
      <c r="BM71" s="480">
        <f>IF($BK71&gt;0,$BL71*$BK71,0)</f>
        <v>70.199999999999818</v>
      </c>
      <c r="BN71" s="480">
        <f>IF($BK71&lt;0,ABS($BL71*$BK71),0)</f>
        <v>0</v>
      </c>
      <c r="BP71" s="477">
        <f>skemA3!B5</f>
        <v>44709</v>
      </c>
      <c r="BQ71" s="66">
        <f>BK71</f>
        <v>1</v>
      </c>
      <c r="BR71" s="481">
        <f>BF71</f>
        <v>232.09999999999945</v>
      </c>
      <c r="BS71" s="480">
        <f>IF($BQ71&gt;0,$BR71*$BQ71,0)</f>
        <v>232.09999999999945</v>
      </c>
      <c r="BT71" s="480">
        <f>IF($BQ71&lt;0,ABS($BR71*$BQ71),0)</f>
        <v>0</v>
      </c>
      <c r="BU71" s="486"/>
      <c r="BV71" s="477">
        <f>skemA3!B5</f>
        <v>44709</v>
      </c>
      <c r="BW71" s="66">
        <f>BW38</f>
        <v>0</v>
      </c>
      <c r="BX71" s="481">
        <f>BL71</f>
        <v>70.199999999999818</v>
      </c>
      <c r="BY71" s="480">
        <f>IF($BW71&gt;0,$BX71*$BW71,0)</f>
        <v>0</v>
      </c>
      <c r="BZ71" s="480">
        <f>IF($BW71&lt;0,ABS($BX71*$BW71),0)</f>
        <v>0</v>
      </c>
      <c r="CB71" s="477">
        <f>skemA3!B5</f>
        <v>44709</v>
      </c>
      <c r="CC71" s="66">
        <f>BW71</f>
        <v>0</v>
      </c>
      <c r="CD71" s="481">
        <f>BR71</f>
        <v>232.09999999999945</v>
      </c>
      <c r="CE71" s="480">
        <f>IF($CC71&gt;0,$CD71*$CC71,0)</f>
        <v>0</v>
      </c>
      <c r="CF71" s="480">
        <f>IF($CC71&lt;0,ABS($CD71*$CC71),0)</f>
        <v>0</v>
      </c>
    </row>
    <row r="72" spans="2:84">
      <c r="B72" s="477">
        <f>skemA3!B6</f>
        <v>44710</v>
      </c>
      <c r="C72" s="66">
        <f t="shared" ref="C72:C99" si="101">C39</f>
        <v>1</v>
      </c>
      <c r="D72" s="481">
        <f>skemA3!H44</f>
        <v>65.400000000000091</v>
      </c>
      <c r="E72" s="480">
        <f t="shared" ref="E72:E99" si="102">IF($C72&gt;0,$D72*$C72,0)</f>
        <v>65.400000000000091</v>
      </c>
      <c r="F72" s="480">
        <f t="shared" ref="F72:F99" si="103">IF($C72&lt;0,ABS($D72*$C72),0)</f>
        <v>0</v>
      </c>
      <c r="H72" s="477">
        <f>skemA3!B6</f>
        <v>44710</v>
      </c>
      <c r="I72" s="66">
        <f t="shared" ref="I72:I99" si="104">I39</f>
        <v>1</v>
      </c>
      <c r="J72" s="481">
        <f>skemA3!I44</f>
        <v>230.60000000000014</v>
      </c>
      <c r="K72" s="480">
        <f t="shared" ref="K72:K99" si="105">IF($I72&gt;0,$J72*$I72,0)</f>
        <v>230.60000000000014</v>
      </c>
      <c r="L72" s="480">
        <f t="shared" ref="L72:L99" si="106">IF($I72&lt;0,ABS($J72*$I72),0)</f>
        <v>0</v>
      </c>
      <c r="N72" s="477">
        <f>skemA3!B6</f>
        <v>44710</v>
      </c>
      <c r="O72" s="66">
        <f t="shared" ref="O72:O99" si="107">O39</f>
        <v>1</v>
      </c>
      <c r="P72" s="481">
        <f t="shared" ref="P72:P99" si="108">D72</f>
        <v>65.400000000000091</v>
      </c>
      <c r="Q72" s="480">
        <f t="shared" ref="Q72:Q99" si="109">IF($O72&gt;0,$P72*$O72,0)</f>
        <v>65.400000000000091</v>
      </c>
      <c r="R72" s="480">
        <f t="shared" ref="R72:R99" si="110">IF($O72&lt;0,ABS($P72*$O72),0)</f>
        <v>0</v>
      </c>
      <c r="T72" s="477">
        <f>skemA3!B6</f>
        <v>44710</v>
      </c>
      <c r="U72" s="66">
        <f t="shared" ref="U72:U99" si="111">U39</f>
        <v>1</v>
      </c>
      <c r="V72" s="481">
        <f t="shared" ref="V72:V99" si="112">J72</f>
        <v>230.60000000000014</v>
      </c>
      <c r="W72" s="480">
        <f t="shared" ref="W72:W99" si="113">IF($U72&gt;0,$V72*$U72,0)</f>
        <v>230.60000000000014</v>
      </c>
      <c r="X72" s="480">
        <f t="shared" ref="X72:X99" si="114">IF($U72&lt;0,ABS($V72*$U72),0)</f>
        <v>0</v>
      </c>
      <c r="Y72" s="483"/>
      <c r="Z72" s="477">
        <f>skemA3!B6</f>
        <v>44710</v>
      </c>
      <c r="AA72" s="66">
        <f t="shared" ref="AA72:AA99" si="115">AA39</f>
        <v>-1</v>
      </c>
      <c r="AB72" s="481">
        <f t="shared" ref="AB72:AB99" si="116">P72</f>
        <v>65.400000000000091</v>
      </c>
      <c r="AC72" s="480">
        <f t="shared" ref="AC72:AC99" si="117">IF($AA72&gt;0,$AB72*$AA72,0)</f>
        <v>0</v>
      </c>
      <c r="AD72" s="480">
        <f t="shared" ref="AD72:AD99" si="118">IF($AA72&lt;0,ABS($AB72*$AA72),0)</f>
        <v>65.400000000000091</v>
      </c>
      <c r="AE72" s="483"/>
      <c r="AF72" s="477">
        <f>skemA3!B6</f>
        <v>44710</v>
      </c>
      <c r="AG72" s="66">
        <f t="shared" ref="AG72:AG99" si="119">AA72</f>
        <v>-1</v>
      </c>
      <c r="AH72" s="481">
        <f t="shared" ref="AH72:AH99" si="120">V72</f>
        <v>230.60000000000014</v>
      </c>
      <c r="AI72" s="480">
        <f t="shared" ref="AI72:AI99" si="121">IF($AG72&gt;0,$AH72*$AG72,0)</f>
        <v>0</v>
      </c>
      <c r="AJ72" s="480">
        <f t="shared" ref="AJ72:AJ99" si="122">IF($AG72&lt;0,ABS($AH72*$AG72),0)</f>
        <v>230.60000000000014</v>
      </c>
      <c r="AL72" s="477">
        <f>skemA3!B6</f>
        <v>44710</v>
      </c>
      <c r="AM72" s="66">
        <f t="shared" ref="AM72:AM99" si="123">AM39</f>
        <v>-1</v>
      </c>
      <c r="AN72" s="481">
        <f t="shared" ref="AN72:AN99" si="124">AB72</f>
        <v>65.400000000000091</v>
      </c>
      <c r="AO72" s="480">
        <f t="shared" ref="AO72:AO99" si="125">IF($AM72&gt;0,$AN72*$AM72,0)</f>
        <v>0</v>
      </c>
      <c r="AP72" s="480">
        <f t="shared" ref="AP72:AP99" si="126">IF($AM72&lt;0,ABS($AN72*$AM72),0)</f>
        <v>65.400000000000091</v>
      </c>
      <c r="AR72" s="477">
        <f>skemA3!B6</f>
        <v>44710</v>
      </c>
      <c r="AS72" s="66">
        <f t="shared" ref="AS72:AS99" si="127">AS39</f>
        <v>-1</v>
      </c>
      <c r="AT72" s="481">
        <f t="shared" ref="AT72:AT99" si="128">AH72</f>
        <v>230.60000000000014</v>
      </c>
      <c r="AU72" s="480">
        <f t="shared" ref="AU72:AU99" si="129">IF($AS72&gt;0,$AT72*$AS72,0)</f>
        <v>0</v>
      </c>
      <c r="AV72" s="480">
        <f t="shared" ref="AV72:AV99" si="130">IF($AS72&lt;0,ABS($AT72*$AS72),0)</f>
        <v>230.60000000000014</v>
      </c>
      <c r="AX72" s="477">
        <f t="shared" si="100"/>
        <v>44710</v>
      </c>
      <c r="AY72" s="66">
        <f t="shared" si="100"/>
        <v>1</v>
      </c>
      <c r="AZ72" s="481">
        <f t="shared" ref="AZ72:AZ99" si="131">AN72</f>
        <v>65.400000000000091</v>
      </c>
      <c r="BA72" s="480">
        <f t="shared" ref="BA72:BA99" si="132">IF($AY72&gt;0,$AZ72*$AY72,0)</f>
        <v>65.400000000000091</v>
      </c>
      <c r="BB72" s="480">
        <f t="shared" ref="BB72:BB99" si="133">IF($AY72&lt;0,ABS($AZ72*$AY72),0)</f>
        <v>0</v>
      </c>
      <c r="BD72" s="477">
        <f>skemA3!B6</f>
        <v>44710</v>
      </c>
      <c r="BE72" s="66">
        <f t="shared" ref="BE72:BE99" si="134">AY72</f>
        <v>1</v>
      </c>
      <c r="BF72" s="481">
        <f t="shared" ref="BF72:BF99" si="135">AT72</f>
        <v>230.60000000000014</v>
      </c>
      <c r="BG72" s="480">
        <f t="shared" ref="BG72:BG99" si="136">IF($BE72&gt;0,$BF72*$BE72,0)</f>
        <v>230.60000000000014</v>
      </c>
      <c r="BH72" s="480">
        <f t="shared" ref="BH72:BH99" si="137">IF($BE72&lt;0,ABS($BF72*$BE72),0)</f>
        <v>0</v>
      </c>
      <c r="BJ72" s="477">
        <f>skemA3!B6</f>
        <v>44710</v>
      </c>
      <c r="BK72" s="66">
        <f t="shared" ref="BK72:BK99" si="138">BK39</f>
        <v>1</v>
      </c>
      <c r="BL72" s="481">
        <f t="shared" ref="BL72:BL99" si="139">AZ72</f>
        <v>65.400000000000091</v>
      </c>
      <c r="BM72" s="480">
        <f t="shared" ref="BM72:BM99" si="140">IF($BK72&gt;0,$BL72*$BK72,0)</f>
        <v>65.400000000000091</v>
      </c>
      <c r="BN72" s="480">
        <f t="shared" ref="BN72:BN99" si="141">IF($BK72&lt;0,ABS($BL72*$BK72),0)</f>
        <v>0</v>
      </c>
      <c r="BP72" s="477" t="str">
        <f>skemA3!B39</f>
        <v xml:space="preserve">Skema 3  :  Penyusunan hasil perhitungan harga X dan Y indeks </v>
      </c>
      <c r="BQ72" s="66">
        <f t="shared" ref="BQ72:BQ99" si="142">BK72</f>
        <v>1</v>
      </c>
      <c r="BR72" s="481">
        <f t="shared" ref="BR72:BR99" si="143">BF72</f>
        <v>230.60000000000014</v>
      </c>
      <c r="BS72" s="480">
        <f t="shared" ref="BS72:BS99" si="144">IF($BQ72&gt;0,$BR72*$BQ72,0)</f>
        <v>230.60000000000014</v>
      </c>
      <c r="BT72" s="480">
        <f t="shared" ref="BT72:BT99" si="145">IF($BQ72&lt;0,ABS($BR72*$BQ72),0)</f>
        <v>0</v>
      </c>
      <c r="BU72" s="486"/>
      <c r="BV72" s="477">
        <f>skemA3!B6</f>
        <v>44710</v>
      </c>
      <c r="BW72" s="66">
        <f t="shared" ref="BW72:BW99" si="146">BW39</f>
        <v>-1</v>
      </c>
      <c r="BX72" s="481">
        <f t="shared" ref="BX72:BX99" si="147">BL72</f>
        <v>65.400000000000091</v>
      </c>
      <c r="BY72" s="480">
        <f t="shared" ref="BY72:BY99" si="148">IF($BW72&gt;0,$BX72*$BW72,0)</f>
        <v>0</v>
      </c>
      <c r="BZ72" s="480">
        <f t="shared" ref="BZ72:BZ99" si="149">IF($BW72&lt;0,ABS($BX72*$BW72),0)</f>
        <v>65.400000000000091</v>
      </c>
      <c r="CB72" s="477">
        <f>skemA3!B6</f>
        <v>44710</v>
      </c>
      <c r="CC72" s="66">
        <f t="shared" ref="CC72:CC99" si="150">BW72</f>
        <v>-1</v>
      </c>
      <c r="CD72" s="481">
        <f t="shared" ref="CD72:CD99" si="151">BR72</f>
        <v>230.60000000000014</v>
      </c>
      <c r="CE72" s="480">
        <f t="shared" ref="CE72:CE99" si="152">IF($CC72&gt;0,$CD72*$CC72,0)</f>
        <v>0</v>
      </c>
      <c r="CF72" s="480">
        <f t="shared" ref="CF72:CF99" si="153">IF($CC72&lt;0,ABS($CD72*$CC72),0)</f>
        <v>230.60000000000014</v>
      </c>
    </row>
    <row r="73" spans="2:84">
      <c r="B73" s="477">
        <f>skemA3!B7</f>
        <v>44711</v>
      </c>
      <c r="C73" s="66">
        <f t="shared" si="101"/>
        <v>1</v>
      </c>
      <c r="D73" s="481">
        <f>skemA3!H45</f>
        <v>65.600000000000136</v>
      </c>
      <c r="E73" s="480">
        <f t="shared" si="102"/>
        <v>65.600000000000136</v>
      </c>
      <c r="F73" s="480">
        <f t="shared" si="103"/>
        <v>0</v>
      </c>
      <c r="H73" s="477">
        <f>skemA3!B7</f>
        <v>44711</v>
      </c>
      <c r="I73" s="66">
        <f t="shared" si="104"/>
        <v>1</v>
      </c>
      <c r="J73" s="481">
        <f>skemA3!I45</f>
        <v>215.7000000000005</v>
      </c>
      <c r="K73" s="480">
        <f t="shared" si="105"/>
        <v>215.7000000000005</v>
      </c>
      <c r="L73" s="480">
        <f t="shared" si="106"/>
        <v>0</v>
      </c>
      <c r="N73" s="477">
        <f>skemA3!B7</f>
        <v>44711</v>
      </c>
      <c r="O73" s="66">
        <f t="shared" si="107"/>
        <v>1</v>
      </c>
      <c r="P73" s="481">
        <f t="shared" si="108"/>
        <v>65.600000000000136</v>
      </c>
      <c r="Q73" s="480">
        <f t="shared" si="109"/>
        <v>65.600000000000136</v>
      </c>
      <c r="R73" s="480">
        <f t="shared" si="110"/>
        <v>0</v>
      </c>
      <c r="T73" s="477">
        <f>skemA3!B7</f>
        <v>44711</v>
      </c>
      <c r="U73" s="66">
        <f t="shared" si="111"/>
        <v>1</v>
      </c>
      <c r="V73" s="481">
        <f t="shared" si="112"/>
        <v>215.7000000000005</v>
      </c>
      <c r="W73" s="480">
        <f t="shared" si="113"/>
        <v>215.7000000000005</v>
      </c>
      <c r="X73" s="480">
        <f t="shared" si="114"/>
        <v>0</v>
      </c>
      <c r="Y73" s="483"/>
      <c r="Z73" s="477">
        <f>skemA3!B7</f>
        <v>44711</v>
      </c>
      <c r="AA73" s="66">
        <f t="shared" si="115"/>
        <v>-1</v>
      </c>
      <c r="AB73" s="481">
        <f t="shared" si="116"/>
        <v>65.600000000000136</v>
      </c>
      <c r="AC73" s="480">
        <f t="shared" si="117"/>
        <v>0</v>
      </c>
      <c r="AD73" s="480">
        <f t="shared" si="118"/>
        <v>65.600000000000136</v>
      </c>
      <c r="AE73" s="483"/>
      <c r="AF73" s="477">
        <f>skemA3!B7</f>
        <v>44711</v>
      </c>
      <c r="AG73" s="66">
        <f t="shared" si="119"/>
        <v>-1</v>
      </c>
      <c r="AH73" s="481">
        <f t="shared" si="120"/>
        <v>215.7000000000005</v>
      </c>
      <c r="AI73" s="480">
        <f t="shared" si="121"/>
        <v>0</v>
      </c>
      <c r="AJ73" s="480">
        <f t="shared" si="122"/>
        <v>215.7000000000005</v>
      </c>
      <c r="AL73" s="477">
        <f>skemA3!B7</f>
        <v>44711</v>
      </c>
      <c r="AM73" s="66">
        <f t="shared" si="123"/>
        <v>1</v>
      </c>
      <c r="AN73" s="481">
        <f t="shared" si="124"/>
        <v>65.600000000000136</v>
      </c>
      <c r="AO73" s="480">
        <f t="shared" si="125"/>
        <v>65.600000000000136</v>
      </c>
      <c r="AP73" s="480">
        <f t="shared" si="126"/>
        <v>0</v>
      </c>
      <c r="AR73" s="477">
        <f>skemA3!B7</f>
        <v>44711</v>
      </c>
      <c r="AS73" s="66">
        <f t="shared" si="127"/>
        <v>1</v>
      </c>
      <c r="AT73" s="481">
        <f t="shared" si="128"/>
        <v>215.7000000000005</v>
      </c>
      <c r="AU73" s="480">
        <f t="shared" si="129"/>
        <v>215.7000000000005</v>
      </c>
      <c r="AV73" s="480">
        <f t="shared" si="130"/>
        <v>0</v>
      </c>
      <c r="AX73" s="477">
        <f t="shared" si="100"/>
        <v>44711</v>
      </c>
      <c r="AY73" s="66">
        <f t="shared" si="100"/>
        <v>1</v>
      </c>
      <c r="AZ73" s="481">
        <f t="shared" si="131"/>
        <v>65.600000000000136</v>
      </c>
      <c r="BA73" s="480">
        <f t="shared" si="132"/>
        <v>65.600000000000136</v>
      </c>
      <c r="BB73" s="480">
        <f t="shared" si="133"/>
        <v>0</v>
      </c>
      <c r="BD73" s="477">
        <f>skemA3!B7</f>
        <v>44711</v>
      </c>
      <c r="BE73" s="66">
        <f t="shared" si="134"/>
        <v>1</v>
      </c>
      <c r="BF73" s="481">
        <f t="shared" si="135"/>
        <v>215.7000000000005</v>
      </c>
      <c r="BG73" s="480">
        <f t="shared" si="136"/>
        <v>215.7000000000005</v>
      </c>
      <c r="BH73" s="480">
        <f t="shared" si="137"/>
        <v>0</v>
      </c>
      <c r="BJ73" s="477">
        <f>skemA3!B7</f>
        <v>44711</v>
      </c>
      <c r="BK73" s="66">
        <f t="shared" si="138"/>
        <v>-1</v>
      </c>
      <c r="BL73" s="481">
        <f t="shared" si="139"/>
        <v>65.600000000000136</v>
      </c>
      <c r="BM73" s="480">
        <f t="shared" si="140"/>
        <v>0</v>
      </c>
      <c r="BN73" s="480">
        <f t="shared" si="141"/>
        <v>65.600000000000136</v>
      </c>
      <c r="BP73" s="477">
        <f>skemA3!B40</f>
        <v>0</v>
      </c>
      <c r="BQ73" s="66">
        <f t="shared" si="142"/>
        <v>-1</v>
      </c>
      <c r="BR73" s="481">
        <f t="shared" si="143"/>
        <v>215.7000000000005</v>
      </c>
      <c r="BS73" s="480">
        <f t="shared" si="144"/>
        <v>0</v>
      </c>
      <c r="BT73" s="480">
        <f t="shared" si="145"/>
        <v>215.7000000000005</v>
      </c>
      <c r="BU73" s="486"/>
      <c r="BV73" s="477">
        <f>skemA3!B7</f>
        <v>44711</v>
      </c>
      <c r="BW73" s="66">
        <f t="shared" si="146"/>
        <v>-1</v>
      </c>
      <c r="BX73" s="481">
        <f t="shared" si="147"/>
        <v>65.600000000000136</v>
      </c>
      <c r="BY73" s="480">
        <f t="shared" si="148"/>
        <v>0</v>
      </c>
      <c r="BZ73" s="480">
        <f t="shared" si="149"/>
        <v>65.600000000000136</v>
      </c>
      <c r="CB73" s="477">
        <f>skemA3!B7</f>
        <v>44711</v>
      </c>
      <c r="CC73" s="66">
        <f t="shared" si="150"/>
        <v>-1</v>
      </c>
      <c r="CD73" s="481">
        <f t="shared" si="151"/>
        <v>215.7000000000005</v>
      </c>
      <c r="CE73" s="480">
        <f t="shared" si="152"/>
        <v>0</v>
      </c>
      <c r="CF73" s="480">
        <f t="shared" si="153"/>
        <v>215.7000000000005</v>
      </c>
    </row>
    <row r="74" spans="2:84">
      <c r="B74" s="477">
        <f>skemA3!B8</f>
        <v>44712</v>
      </c>
      <c r="C74" s="66">
        <f t="shared" si="101"/>
        <v>1</v>
      </c>
      <c r="D74" s="481">
        <f>skemA3!H46</f>
        <v>88.499999999999773</v>
      </c>
      <c r="E74" s="480">
        <f t="shared" si="102"/>
        <v>88.499999999999773</v>
      </c>
      <c r="F74" s="480">
        <f t="shared" si="103"/>
        <v>0</v>
      </c>
      <c r="H74" s="477">
        <f>skemA3!B8</f>
        <v>44712</v>
      </c>
      <c r="I74" s="66">
        <f t="shared" si="104"/>
        <v>1</v>
      </c>
      <c r="J74" s="481">
        <f>skemA3!I46</f>
        <v>182.80000000000041</v>
      </c>
      <c r="K74" s="480">
        <f t="shared" si="105"/>
        <v>182.80000000000041</v>
      </c>
      <c r="L74" s="480">
        <f t="shared" si="106"/>
        <v>0</v>
      </c>
      <c r="N74" s="477">
        <f>skemA3!B8</f>
        <v>44712</v>
      </c>
      <c r="O74" s="66">
        <f t="shared" si="107"/>
        <v>1</v>
      </c>
      <c r="P74" s="481">
        <f t="shared" si="108"/>
        <v>88.499999999999773</v>
      </c>
      <c r="Q74" s="480">
        <f t="shared" si="109"/>
        <v>88.499999999999773</v>
      </c>
      <c r="R74" s="480">
        <f t="shared" si="110"/>
        <v>0</v>
      </c>
      <c r="T74" s="477">
        <f>skemA3!B8</f>
        <v>44712</v>
      </c>
      <c r="U74" s="66">
        <f t="shared" si="111"/>
        <v>1</v>
      </c>
      <c r="V74" s="481">
        <f t="shared" si="112"/>
        <v>182.80000000000041</v>
      </c>
      <c r="W74" s="480">
        <f t="shared" si="113"/>
        <v>182.80000000000041</v>
      </c>
      <c r="X74" s="480">
        <f t="shared" si="114"/>
        <v>0</v>
      </c>
      <c r="Y74" s="483"/>
      <c r="Z74" s="477">
        <f>skemA3!B8</f>
        <v>44712</v>
      </c>
      <c r="AA74" s="66">
        <f t="shared" si="115"/>
        <v>-1</v>
      </c>
      <c r="AB74" s="481">
        <f t="shared" si="116"/>
        <v>88.499999999999773</v>
      </c>
      <c r="AC74" s="480">
        <f t="shared" si="117"/>
        <v>0</v>
      </c>
      <c r="AD74" s="480">
        <f t="shared" si="118"/>
        <v>88.499999999999773</v>
      </c>
      <c r="AE74" s="483"/>
      <c r="AF74" s="477">
        <f>skemA3!B8</f>
        <v>44712</v>
      </c>
      <c r="AG74" s="66">
        <f t="shared" si="119"/>
        <v>-1</v>
      </c>
      <c r="AH74" s="481">
        <f t="shared" si="120"/>
        <v>182.80000000000041</v>
      </c>
      <c r="AI74" s="480">
        <f t="shared" si="121"/>
        <v>0</v>
      </c>
      <c r="AJ74" s="480">
        <f t="shared" si="122"/>
        <v>182.80000000000041</v>
      </c>
      <c r="AL74" s="477">
        <f>skemA3!B8</f>
        <v>44712</v>
      </c>
      <c r="AM74" s="66">
        <f t="shared" si="123"/>
        <v>1</v>
      </c>
      <c r="AN74" s="481">
        <f t="shared" si="124"/>
        <v>88.499999999999773</v>
      </c>
      <c r="AO74" s="480">
        <f t="shared" si="125"/>
        <v>88.499999999999773</v>
      </c>
      <c r="AP74" s="480">
        <f t="shared" si="126"/>
        <v>0</v>
      </c>
      <c r="AR74" s="477">
        <f>skemA3!B8</f>
        <v>44712</v>
      </c>
      <c r="AS74" s="66">
        <f t="shared" si="127"/>
        <v>1</v>
      </c>
      <c r="AT74" s="481">
        <f t="shared" si="128"/>
        <v>182.80000000000041</v>
      </c>
      <c r="AU74" s="480">
        <f t="shared" si="129"/>
        <v>182.80000000000041</v>
      </c>
      <c r="AV74" s="480">
        <f t="shared" si="130"/>
        <v>0</v>
      </c>
      <c r="AX74" s="477">
        <f t="shared" si="100"/>
        <v>44712</v>
      </c>
      <c r="AY74" s="66">
        <f t="shared" si="100"/>
        <v>1</v>
      </c>
      <c r="AZ74" s="481">
        <f t="shared" si="131"/>
        <v>88.499999999999773</v>
      </c>
      <c r="BA74" s="480">
        <f t="shared" si="132"/>
        <v>88.499999999999773</v>
      </c>
      <c r="BB74" s="480">
        <f t="shared" si="133"/>
        <v>0</v>
      </c>
      <c r="BD74" s="477">
        <f>skemA3!B8</f>
        <v>44712</v>
      </c>
      <c r="BE74" s="66">
        <f t="shared" si="134"/>
        <v>1</v>
      </c>
      <c r="BF74" s="481">
        <f t="shared" si="135"/>
        <v>182.80000000000041</v>
      </c>
      <c r="BG74" s="480">
        <f t="shared" si="136"/>
        <v>182.80000000000041</v>
      </c>
      <c r="BH74" s="480">
        <f t="shared" si="137"/>
        <v>0</v>
      </c>
      <c r="BJ74" s="477">
        <f>skemA3!B8</f>
        <v>44712</v>
      </c>
      <c r="BK74" s="66">
        <f t="shared" si="138"/>
        <v>-1</v>
      </c>
      <c r="BL74" s="481">
        <f t="shared" si="139"/>
        <v>88.499999999999773</v>
      </c>
      <c r="BM74" s="480">
        <f t="shared" si="140"/>
        <v>0</v>
      </c>
      <c r="BN74" s="480">
        <f t="shared" si="141"/>
        <v>88.499999999999773</v>
      </c>
      <c r="BP74" s="477" t="str">
        <f>skemA3!B41</f>
        <v>Waktu</v>
      </c>
      <c r="BQ74" s="66">
        <f t="shared" si="142"/>
        <v>-1</v>
      </c>
      <c r="BR74" s="481">
        <f t="shared" si="143"/>
        <v>182.80000000000041</v>
      </c>
      <c r="BS74" s="480">
        <f t="shared" si="144"/>
        <v>0</v>
      </c>
      <c r="BT74" s="480">
        <f t="shared" si="145"/>
        <v>182.80000000000041</v>
      </c>
      <c r="BU74" s="486"/>
      <c r="BV74" s="477">
        <f>skemA3!B8</f>
        <v>44712</v>
      </c>
      <c r="BW74" s="66">
        <f t="shared" si="146"/>
        <v>-1</v>
      </c>
      <c r="BX74" s="481">
        <f t="shared" si="147"/>
        <v>88.499999999999773</v>
      </c>
      <c r="BY74" s="480">
        <f t="shared" si="148"/>
        <v>0</v>
      </c>
      <c r="BZ74" s="480">
        <f t="shared" si="149"/>
        <v>88.499999999999773</v>
      </c>
      <c r="CB74" s="477">
        <f>skemA3!B8</f>
        <v>44712</v>
      </c>
      <c r="CC74" s="66">
        <f t="shared" si="150"/>
        <v>-1</v>
      </c>
      <c r="CD74" s="481">
        <f t="shared" si="151"/>
        <v>182.80000000000041</v>
      </c>
      <c r="CE74" s="480">
        <f t="shared" si="152"/>
        <v>0</v>
      </c>
      <c r="CF74" s="480">
        <f t="shared" si="153"/>
        <v>182.80000000000041</v>
      </c>
    </row>
    <row r="75" spans="2:84">
      <c r="B75" s="477">
        <f>skemA3!B9</f>
        <v>44713</v>
      </c>
      <c r="C75" s="66">
        <f t="shared" si="101"/>
        <v>1</v>
      </c>
      <c r="D75" s="481">
        <f>skemA3!H47</f>
        <v>92.900000000000318</v>
      </c>
      <c r="E75" s="480">
        <f t="shared" si="102"/>
        <v>92.900000000000318</v>
      </c>
      <c r="F75" s="480">
        <f t="shared" si="103"/>
        <v>0</v>
      </c>
      <c r="H75" s="477">
        <f>skemA3!B9</f>
        <v>44713</v>
      </c>
      <c r="I75" s="66">
        <f t="shared" si="104"/>
        <v>1</v>
      </c>
      <c r="J75" s="481">
        <f>skemA3!I47</f>
        <v>196.70000000000027</v>
      </c>
      <c r="K75" s="480">
        <f t="shared" si="105"/>
        <v>196.70000000000027</v>
      </c>
      <c r="L75" s="480">
        <f t="shared" si="106"/>
        <v>0</v>
      </c>
      <c r="N75" s="477">
        <f>skemA3!B9</f>
        <v>44713</v>
      </c>
      <c r="O75" s="66">
        <f t="shared" si="107"/>
        <v>-1</v>
      </c>
      <c r="P75" s="481">
        <f t="shared" si="108"/>
        <v>92.900000000000318</v>
      </c>
      <c r="Q75" s="480">
        <f t="shared" si="109"/>
        <v>0</v>
      </c>
      <c r="R75" s="480">
        <f t="shared" si="110"/>
        <v>92.900000000000318</v>
      </c>
      <c r="T75" s="477">
        <f>skemA3!B9</f>
        <v>44713</v>
      </c>
      <c r="U75" s="66">
        <f t="shared" si="111"/>
        <v>-1</v>
      </c>
      <c r="V75" s="481">
        <f t="shared" si="112"/>
        <v>196.70000000000027</v>
      </c>
      <c r="W75" s="480">
        <f t="shared" si="113"/>
        <v>0</v>
      </c>
      <c r="X75" s="480">
        <f t="shared" si="114"/>
        <v>196.70000000000027</v>
      </c>
      <c r="Y75" s="483"/>
      <c r="Z75" s="477">
        <f>skemA3!B9</f>
        <v>44713</v>
      </c>
      <c r="AA75" s="66">
        <f t="shared" si="115"/>
        <v>-1</v>
      </c>
      <c r="AB75" s="481">
        <f t="shared" si="116"/>
        <v>92.900000000000318</v>
      </c>
      <c r="AC75" s="480">
        <f t="shared" si="117"/>
        <v>0</v>
      </c>
      <c r="AD75" s="480">
        <f t="shared" si="118"/>
        <v>92.900000000000318</v>
      </c>
      <c r="AE75" s="483"/>
      <c r="AF75" s="477">
        <f>skemA3!B9</f>
        <v>44713</v>
      </c>
      <c r="AG75" s="66">
        <f t="shared" si="119"/>
        <v>-1</v>
      </c>
      <c r="AH75" s="481">
        <f t="shared" si="120"/>
        <v>196.70000000000027</v>
      </c>
      <c r="AI75" s="480">
        <f t="shared" si="121"/>
        <v>0</v>
      </c>
      <c r="AJ75" s="480">
        <f t="shared" si="122"/>
        <v>196.70000000000027</v>
      </c>
      <c r="AL75" s="477">
        <f>skemA3!B9</f>
        <v>44713</v>
      </c>
      <c r="AM75" s="66">
        <f t="shared" si="123"/>
        <v>1</v>
      </c>
      <c r="AN75" s="481">
        <f t="shared" si="124"/>
        <v>92.900000000000318</v>
      </c>
      <c r="AO75" s="480">
        <f t="shared" si="125"/>
        <v>92.900000000000318</v>
      </c>
      <c r="AP75" s="480">
        <f t="shared" si="126"/>
        <v>0</v>
      </c>
      <c r="AR75" s="477">
        <f>skemA3!B9</f>
        <v>44713</v>
      </c>
      <c r="AS75" s="66">
        <f t="shared" si="127"/>
        <v>1</v>
      </c>
      <c r="AT75" s="481">
        <f t="shared" si="128"/>
        <v>196.70000000000027</v>
      </c>
      <c r="AU75" s="480">
        <f t="shared" si="129"/>
        <v>196.70000000000027</v>
      </c>
      <c r="AV75" s="480">
        <f t="shared" si="130"/>
        <v>0</v>
      </c>
      <c r="AX75" s="477">
        <f t="shared" si="100"/>
        <v>44713</v>
      </c>
      <c r="AY75" s="66">
        <f t="shared" si="100"/>
        <v>1</v>
      </c>
      <c r="AZ75" s="481">
        <f t="shared" si="131"/>
        <v>92.900000000000318</v>
      </c>
      <c r="BA75" s="480">
        <f t="shared" si="132"/>
        <v>92.900000000000318</v>
      </c>
      <c r="BB75" s="480">
        <f t="shared" si="133"/>
        <v>0</v>
      </c>
      <c r="BD75" s="477">
        <f>skemA3!B9</f>
        <v>44713</v>
      </c>
      <c r="BE75" s="66">
        <f t="shared" si="134"/>
        <v>1</v>
      </c>
      <c r="BF75" s="481">
        <f t="shared" si="135"/>
        <v>196.70000000000027</v>
      </c>
      <c r="BG75" s="480">
        <f t="shared" si="136"/>
        <v>196.70000000000027</v>
      </c>
      <c r="BH75" s="480">
        <f t="shared" si="137"/>
        <v>0</v>
      </c>
      <c r="BJ75" s="477">
        <f>skemA3!B9</f>
        <v>44713</v>
      </c>
      <c r="BK75" s="66">
        <f t="shared" si="138"/>
        <v>-1</v>
      </c>
      <c r="BL75" s="481">
        <f t="shared" si="139"/>
        <v>92.900000000000318</v>
      </c>
      <c r="BM75" s="480">
        <f t="shared" si="140"/>
        <v>0</v>
      </c>
      <c r="BN75" s="480">
        <f t="shared" si="141"/>
        <v>92.900000000000318</v>
      </c>
      <c r="BP75" s="477" t="str">
        <f>skemA3!B42</f>
        <v>Tgl</v>
      </c>
      <c r="BQ75" s="66">
        <f t="shared" si="142"/>
        <v>-1</v>
      </c>
      <c r="BR75" s="481">
        <f t="shared" si="143"/>
        <v>196.70000000000027</v>
      </c>
      <c r="BS75" s="480">
        <f t="shared" si="144"/>
        <v>0</v>
      </c>
      <c r="BT75" s="480">
        <f t="shared" si="145"/>
        <v>196.70000000000027</v>
      </c>
      <c r="BU75" s="486"/>
      <c r="BV75" s="477">
        <f>skemA3!B9</f>
        <v>44713</v>
      </c>
      <c r="BW75" s="66">
        <f t="shared" si="146"/>
        <v>1</v>
      </c>
      <c r="BX75" s="481">
        <f t="shared" si="147"/>
        <v>92.900000000000318</v>
      </c>
      <c r="BY75" s="480">
        <f t="shared" si="148"/>
        <v>92.900000000000318</v>
      </c>
      <c r="BZ75" s="480">
        <f t="shared" si="149"/>
        <v>0</v>
      </c>
      <c r="CB75" s="477">
        <f>skemA3!B9</f>
        <v>44713</v>
      </c>
      <c r="CC75" s="66">
        <f t="shared" si="150"/>
        <v>1</v>
      </c>
      <c r="CD75" s="481">
        <f t="shared" si="151"/>
        <v>196.70000000000027</v>
      </c>
      <c r="CE75" s="480">
        <f t="shared" si="152"/>
        <v>196.70000000000027</v>
      </c>
      <c r="CF75" s="480">
        <f t="shared" si="153"/>
        <v>0</v>
      </c>
    </row>
    <row r="76" spans="2:84">
      <c r="B76" s="477">
        <f>skemA3!B10</f>
        <v>44714</v>
      </c>
      <c r="C76" s="66">
        <f t="shared" si="101"/>
        <v>1</v>
      </c>
      <c r="D76" s="481">
        <f>skemA3!H48</f>
        <v>103.20000000000027</v>
      </c>
      <c r="E76" s="480">
        <f t="shared" si="102"/>
        <v>103.20000000000027</v>
      </c>
      <c r="F76" s="480">
        <f t="shared" si="103"/>
        <v>0</v>
      </c>
      <c r="H76" s="477">
        <f>skemA3!B10</f>
        <v>44714</v>
      </c>
      <c r="I76" s="66">
        <f t="shared" si="104"/>
        <v>1</v>
      </c>
      <c r="J76" s="481">
        <f>skemA3!I48</f>
        <v>147.29999999999995</v>
      </c>
      <c r="K76" s="480">
        <f t="shared" si="105"/>
        <v>147.29999999999995</v>
      </c>
      <c r="L76" s="480">
        <f t="shared" si="106"/>
        <v>0</v>
      </c>
      <c r="N76" s="477">
        <f>skemA3!B10</f>
        <v>44714</v>
      </c>
      <c r="O76" s="66">
        <f t="shared" si="107"/>
        <v>-1</v>
      </c>
      <c r="P76" s="481">
        <f t="shared" si="108"/>
        <v>103.20000000000027</v>
      </c>
      <c r="Q76" s="480">
        <f t="shared" si="109"/>
        <v>0</v>
      </c>
      <c r="R76" s="480">
        <f t="shared" si="110"/>
        <v>103.20000000000027</v>
      </c>
      <c r="T76" s="477">
        <f>skemA3!B10</f>
        <v>44714</v>
      </c>
      <c r="U76" s="66">
        <f t="shared" si="111"/>
        <v>-1</v>
      </c>
      <c r="V76" s="481">
        <f t="shared" si="112"/>
        <v>147.29999999999995</v>
      </c>
      <c r="W76" s="480">
        <f t="shared" si="113"/>
        <v>0</v>
      </c>
      <c r="X76" s="480">
        <f t="shared" si="114"/>
        <v>147.29999999999995</v>
      </c>
      <c r="Y76" s="483"/>
      <c r="Z76" s="477">
        <f>skemA3!B10</f>
        <v>44714</v>
      </c>
      <c r="AA76" s="66">
        <f t="shared" si="115"/>
        <v>-1</v>
      </c>
      <c r="AB76" s="481">
        <f t="shared" si="116"/>
        <v>103.20000000000027</v>
      </c>
      <c r="AC76" s="480">
        <f t="shared" si="117"/>
        <v>0</v>
      </c>
      <c r="AD76" s="480">
        <f t="shared" si="118"/>
        <v>103.20000000000027</v>
      </c>
      <c r="AE76" s="483"/>
      <c r="AF76" s="477">
        <f>skemA3!B10</f>
        <v>44714</v>
      </c>
      <c r="AG76" s="66">
        <f t="shared" si="119"/>
        <v>-1</v>
      </c>
      <c r="AH76" s="481">
        <f t="shared" si="120"/>
        <v>147.29999999999995</v>
      </c>
      <c r="AI76" s="480">
        <f t="shared" si="121"/>
        <v>0</v>
      </c>
      <c r="AJ76" s="480">
        <f t="shared" si="122"/>
        <v>147.29999999999995</v>
      </c>
      <c r="AL76" s="477">
        <f>skemA3!B10</f>
        <v>44714</v>
      </c>
      <c r="AM76" s="66">
        <f t="shared" si="123"/>
        <v>1</v>
      </c>
      <c r="AN76" s="481">
        <f t="shared" si="124"/>
        <v>103.20000000000027</v>
      </c>
      <c r="AO76" s="480">
        <f t="shared" si="125"/>
        <v>103.20000000000027</v>
      </c>
      <c r="AP76" s="480">
        <f t="shared" si="126"/>
        <v>0</v>
      </c>
      <c r="AR76" s="477">
        <f>skemA3!B10</f>
        <v>44714</v>
      </c>
      <c r="AS76" s="66">
        <f t="shared" si="127"/>
        <v>1</v>
      </c>
      <c r="AT76" s="481">
        <f t="shared" si="128"/>
        <v>147.29999999999995</v>
      </c>
      <c r="AU76" s="480">
        <f t="shared" si="129"/>
        <v>147.29999999999995</v>
      </c>
      <c r="AV76" s="480">
        <f t="shared" si="130"/>
        <v>0</v>
      </c>
      <c r="AX76" s="477">
        <f t="shared" si="100"/>
        <v>44714</v>
      </c>
      <c r="AY76" s="66">
        <f t="shared" si="100"/>
        <v>-1</v>
      </c>
      <c r="AZ76" s="481">
        <f t="shared" si="131"/>
        <v>103.20000000000027</v>
      </c>
      <c r="BA76" s="480">
        <f t="shared" si="132"/>
        <v>0</v>
      </c>
      <c r="BB76" s="480">
        <f t="shared" si="133"/>
        <v>103.20000000000027</v>
      </c>
      <c r="BD76" s="477">
        <f>skemA3!B10</f>
        <v>44714</v>
      </c>
      <c r="BE76" s="66">
        <f t="shared" si="134"/>
        <v>-1</v>
      </c>
      <c r="BF76" s="481">
        <f t="shared" si="135"/>
        <v>147.29999999999995</v>
      </c>
      <c r="BG76" s="480">
        <f t="shared" si="136"/>
        <v>0</v>
      </c>
      <c r="BH76" s="480">
        <f t="shared" si="137"/>
        <v>147.29999999999995</v>
      </c>
      <c r="BJ76" s="477">
        <f>skemA3!B10</f>
        <v>44714</v>
      </c>
      <c r="BK76" s="66">
        <f t="shared" si="138"/>
        <v>1</v>
      </c>
      <c r="BL76" s="481">
        <f t="shared" si="139"/>
        <v>103.20000000000027</v>
      </c>
      <c r="BM76" s="480">
        <f t="shared" si="140"/>
        <v>103.20000000000027</v>
      </c>
      <c r="BN76" s="480">
        <f t="shared" si="141"/>
        <v>0</v>
      </c>
      <c r="BP76" s="477">
        <f>skemA3!B43</f>
        <v>44709</v>
      </c>
      <c r="BQ76" s="66">
        <f t="shared" si="142"/>
        <v>1</v>
      </c>
      <c r="BR76" s="481">
        <f t="shared" si="143"/>
        <v>147.29999999999995</v>
      </c>
      <c r="BS76" s="480">
        <f t="shared" si="144"/>
        <v>147.29999999999995</v>
      </c>
      <c r="BT76" s="480">
        <f t="shared" si="145"/>
        <v>0</v>
      </c>
      <c r="BU76" s="486"/>
      <c r="BV76" s="477">
        <f>skemA3!B10</f>
        <v>44714</v>
      </c>
      <c r="BW76" s="66">
        <f t="shared" si="146"/>
        <v>1</v>
      </c>
      <c r="BX76" s="481">
        <f t="shared" si="147"/>
        <v>103.20000000000027</v>
      </c>
      <c r="BY76" s="480">
        <f t="shared" si="148"/>
        <v>103.20000000000027</v>
      </c>
      <c r="BZ76" s="480">
        <f t="shared" si="149"/>
        <v>0</v>
      </c>
      <c r="CB76" s="477">
        <f>skemA3!B10</f>
        <v>44714</v>
      </c>
      <c r="CC76" s="66">
        <f t="shared" si="150"/>
        <v>1</v>
      </c>
      <c r="CD76" s="481">
        <f t="shared" si="151"/>
        <v>147.29999999999995</v>
      </c>
      <c r="CE76" s="480">
        <f t="shared" si="152"/>
        <v>147.29999999999995</v>
      </c>
      <c r="CF76" s="480">
        <f t="shared" si="153"/>
        <v>0</v>
      </c>
    </row>
    <row r="77" spans="2:84">
      <c r="B77" s="477">
        <f>skemA3!B11</f>
        <v>44715</v>
      </c>
      <c r="C77" s="66">
        <f t="shared" si="101"/>
        <v>1</v>
      </c>
      <c r="D77" s="481">
        <f>skemA3!H49</f>
        <v>99.200000000000045</v>
      </c>
      <c r="E77" s="480">
        <f t="shared" si="102"/>
        <v>99.200000000000045</v>
      </c>
      <c r="F77" s="480">
        <f t="shared" si="103"/>
        <v>0</v>
      </c>
      <c r="H77" s="477">
        <f>skemA3!B11</f>
        <v>44715</v>
      </c>
      <c r="I77" s="66">
        <f t="shared" si="104"/>
        <v>1</v>
      </c>
      <c r="J77" s="481">
        <f>skemA3!I49</f>
        <v>161.29999999999995</v>
      </c>
      <c r="K77" s="480">
        <f t="shared" si="105"/>
        <v>161.29999999999995</v>
      </c>
      <c r="L77" s="480">
        <f t="shared" si="106"/>
        <v>0</v>
      </c>
      <c r="N77" s="477">
        <f>skemA3!B11</f>
        <v>44715</v>
      </c>
      <c r="O77" s="66">
        <f t="shared" si="107"/>
        <v>-1</v>
      </c>
      <c r="P77" s="481">
        <f t="shared" si="108"/>
        <v>99.200000000000045</v>
      </c>
      <c r="Q77" s="480">
        <f t="shared" si="109"/>
        <v>0</v>
      </c>
      <c r="R77" s="480">
        <f t="shared" si="110"/>
        <v>99.200000000000045</v>
      </c>
      <c r="T77" s="477">
        <f>skemA3!B11</f>
        <v>44715</v>
      </c>
      <c r="U77" s="66">
        <f t="shared" si="111"/>
        <v>-1</v>
      </c>
      <c r="V77" s="481">
        <f t="shared" si="112"/>
        <v>161.29999999999995</v>
      </c>
      <c r="W77" s="480">
        <f t="shared" si="113"/>
        <v>0</v>
      </c>
      <c r="X77" s="480">
        <f t="shared" si="114"/>
        <v>161.29999999999995</v>
      </c>
      <c r="Y77" s="483"/>
      <c r="Z77" s="477">
        <f>skemA3!B11</f>
        <v>44715</v>
      </c>
      <c r="AA77" s="66">
        <f t="shared" si="115"/>
        <v>-1</v>
      </c>
      <c r="AB77" s="481">
        <f t="shared" si="116"/>
        <v>99.200000000000045</v>
      </c>
      <c r="AC77" s="480">
        <f t="shared" si="117"/>
        <v>0</v>
      </c>
      <c r="AD77" s="480">
        <f t="shared" si="118"/>
        <v>99.200000000000045</v>
      </c>
      <c r="AE77" s="483"/>
      <c r="AF77" s="477">
        <f>skemA3!B11</f>
        <v>44715</v>
      </c>
      <c r="AG77" s="66">
        <f t="shared" si="119"/>
        <v>-1</v>
      </c>
      <c r="AH77" s="481">
        <f t="shared" si="120"/>
        <v>161.29999999999995</v>
      </c>
      <c r="AI77" s="480">
        <f t="shared" si="121"/>
        <v>0</v>
      </c>
      <c r="AJ77" s="480">
        <f t="shared" si="122"/>
        <v>161.29999999999995</v>
      </c>
      <c r="AL77" s="477">
        <f>skemA3!B11</f>
        <v>44715</v>
      </c>
      <c r="AM77" s="66">
        <f t="shared" si="123"/>
        <v>1</v>
      </c>
      <c r="AN77" s="481">
        <f t="shared" si="124"/>
        <v>99.200000000000045</v>
      </c>
      <c r="AO77" s="480">
        <f t="shared" si="125"/>
        <v>99.200000000000045</v>
      </c>
      <c r="AP77" s="480">
        <f t="shared" si="126"/>
        <v>0</v>
      </c>
      <c r="AR77" s="477">
        <f>skemA3!B11</f>
        <v>44715</v>
      </c>
      <c r="AS77" s="66">
        <f t="shared" si="127"/>
        <v>1</v>
      </c>
      <c r="AT77" s="481">
        <f t="shared" si="128"/>
        <v>161.29999999999995</v>
      </c>
      <c r="AU77" s="480">
        <f t="shared" si="129"/>
        <v>161.29999999999995</v>
      </c>
      <c r="AV77" s="480">
        <f t="shared" si="130"/>
        <v>0</v>
      </c>
      <c r="AX77" s="477">
        <f t="shared" si="100"/>
        <v>44715</v>
      </c>
      <c r="AY77" s="66">
        <f t="shared" si="100"/>
        <v>-1</v>
      </c>
      <c r="AZ77" s="481">
        <f t="shared" si="131"/>
        <v>99.200000000000045</v>
      </c>
      <c r="BA77" s="480">
        <f t="shared" si="132"/>
        <v>0</v>
      </c>
      <c r="BB77" s="480">
        <f t="shared" si="133"/>
        <v>99.200000000000045</v>
      </c>
      <c r="BD77" s="477">
        <f>skemA3!B11</f>
        <v>44715</v>
      </c>
      <c r="BE77" s="66">
        <f t="shared" si="134"/>
        <v>-1</v>
      </c>
      <c r="BF77" s="481">
        <f t="shared" si="135"/>
        <v>161.29999999999995</v>
      </c>
      <c r="BG77" s="480">
        <f t="shared" si="136"/>
        <v>0</v>
      </c>
      <c r="BH77" s="480">
        <f t="shared" si="137"/>
        <v>161.29999999999995</v>
      </c>
      <c r="BJ77" s="477">
        <f>skemA3!B11</f>
        <v>44715</v>
      </c>
      <c r="BK77" s="66">
        <f t="shared" si="138"/>
        <v>1</v>
      </c>
      <c r="BL77" s="481">
        <f t="shared" si="139"/>
        <v>99.200000000000045</v>
      </c>
      <c r="BM77" s="480">
        <f t="shared" si="140"/>
        <v>99.200000000000045</v>
      </c>
      <c r="BN77" s="480">
        <f t="shared" si="141"/>
        <v>0</v>
      </c>
      <c r="BP77" s="477">
        <f>skemA3!B44</f>
        <v>44710</v>
      </c>
      <c r="BQ77" s="66">
        <f t="shared" si="142"/>
        <v>1</v>
      </c>
      <c r="BR77" s="481">
        <f t="shared" si="143"/>
        <v>161.29999999999995</v>
      </c>
      <c r="BS77" s="480">
        <f t="shared" si="144"/>
        <v>161.29999999999995</v>
      </c>
      <c r="BT77" s="480">
        <f t="shared" si="145"/>
        <v>0</v>
      </c>
      <c r="BU77" s="486"/>
      <c r="BV77" s="477">
        <f>skemA3!B11</f>
        <v>44715</v>
      </c>
      <c r="BW77" s="66">
        <f t="shared" si="146"/>
        <v>1</v>
      </c>
      <c r="BX77" s="481">
        <f t="shared" si="147"/>
        <v>99.200000000000045</v>
      </c>
      <c r="BY77" s="480">
        <f t="shared" si="148"/>
        <v>99.200000000000045</v>
      </c>
      <c r="BZ77" s="480">
        <f t="shared" si="149"/>
        <v>0</v>
      </c>
      <c r="CB77" s="477">
        <f>skemA3!B11</f>
        <v>44715</v>
      </c>
      <c r="CC77" s="66">
        <f t="shared" si="150"/>
        <v>1</v>
      </c>
      <c r="CD77" s="481">
        <f t="shared" si="151"/>
        <v>161.29999999999995</v>
      </c>
      <c r="CE77" s="480">
        <f t="shared" si="152"/>
        <v>161.29999999999995</v>
      </c>
      <c r="CF77" s="480">
        <f t="shared" si="153"/>
        <v>0</v>
      </c>
    </row>
    <row r="78" spans="2:84">
      <c r="B78" s="477">
        <f>skemA3!B12</f>
        <v>44716</v>
      </c>
      <c r="C78" s="66">
        <f t="shared" si="101"/>
        <v>1</v>
      </c>
      <c r="D78" s="481">
        <f>skemA3!H50</f>
        <v>102.30000000000018</v>
      </c>
      <c r="E78" s="480">
        <f t="shared" si="102"/>
        <v>102.30000000000018</v>
      </c>
      <c r="F78" s="480">
        <f t="shared" si="103"/>
        <v>0</v>
      </c>
      <c r="H78" s="477">
        <f>skemA3!B12</f>
        <v>44716</v>
      </c>
      <c r="I78" s="66">
        <f t="shared" si="104"/>
        <v>1</v>
      </c>
      <c r="J78" s="481">
        <f>skemA3!I50</f>
        <v>182.34999999999968</v>
      </c>
      <c r="K78" s="480">
        <f t="shared" si="105"/>
        <v>182.34999999999968</v>
      </c>
      <c r="L78" s="480">
        <f t="shared" si="106"/>
        <v>0</v>
      </c>
      <c r="N78" s="477">
        <f>skemA3!B12</f>
        <v>44716</v>
      </c>
      <c r="O78" s="66">
        <f t="shared" si="107"/>
        <v>-1</v>
      </c>
      <c r="P78" s="481">
        <f t="shared" si="108"/>
        <v>102.30000000000018</v>
      </c>
      <c r="Q78" s="480">
        <f t="shared" si="109"/>
        <v>0</v>
      </c>
      <c r="R78" s="480">
        <f t="shared" si="110"/>
        <v>102.30000000000018</v>
      </c>
      <c r="T78" s="477">
        <f>skemA3!B12</f>
        <v>44716</v>
      </c>
      <c r="U78" s="66">
        <f t="shared" si="111"/>
        <v>-1</v>
      </c>
      <c r="V78" s="481">
        <f t="shared" si="112"/>
        <v>182.34999999999968</v>
      </c>
      <c r="W78" s="480">
        <f t="shared" si="113"/>
        <v>0</v>
      </c>
      <c r="X78" s="480">
        <f t="shared" si="114"/>
        <v>182.34999999999968</v>
      </c>
      <c r="Y78" s="483"/>
      <c r="Z78" s="477">
        <f>skemA3!B12</f>
        <v>44716</v>
      </c>
      <c r="AA78" s="66">
        <f t="shared" si="115"/>
        <v>0</v>
      </c>
      <c r="AB78" s="481">
        <f t="shared" si="116"/>
        <v>102.30000000000018</v>
      </c>
      <c r="AC78" s="480">
        <f t="shared" si="117"/>
        <v>0</v>
      </c>
      <c r="AD78" s="480">
        <f t="shared" si="118"/>
        <v>0</v>
      </c>
      <c r="AE78" s="483"/>
      <c r="AF78" s="477">
        <f>skemA3!B12</f>
        <v>44716</v>
      </c>
      <c r="AG78" s="66">
        <f t="shared" si="119"/>
        <v>0</v>
      </c>
      <c r="AH78" s="481">
        <f t="shared" si="120"/>
        <v>182.34999999999968</v>
      </c>
      <c r="AI78" s="480">
        <f t="shared" si="121"/>
        <v>0</v>
      </c>
      <c r="AJ78" s="480">
        <f t="shared" si="122"/>
        <v>0</v>
      </c>
      <c r="AL78" s="477">
        <f>skemA3!B12</f>
        <v>44716</v>
      </c>
      <c r="AM78" s="66">
        <f t="shared" si="123"/>
        <v>-1</v>
      </c>
      <c r="AN78" s="481">
        <f t="shared" si="124"/>
        <v>102.30000000000018</v>
      </c>
      <c r="AO78" s="480">
        <f t="shared" si="125"/>
        <v>0</v>
      </c>
      <c r="AP78" s="480">
        <f t="shared" si="126"/>
        <v>102.30000000000018</v>
      </c>
      <c r="AR78" s="477">
        <f>skemA3!B12</f>
        <v>44716</v>
      </c>
      <c r="AS78" s="66">
        <f t="shared" si="127"/>
        <v>-1</v>
      </c>
      <c r="AT78" s="481">
        <f t="shared" si="128"/>
        <v>182.34999999999968</v>
      </c>
      <c r="AU78" s="480">
        <f t="shared" si="129"/>
        <v>0</v>
      </c>
      <c r="AV78" s="480">
        <f t="shared" si="130"/>
        <v>182.34999999999968</v>
      </c>
      <c r="AX78" s="477">
        <f t="shared" si="100"/>
        <v>44716</v>
      </c>
      <c r="AY78" s="66">
        <f t="shared" si="100"/>
        <v>-1</v>
      </c>
      <c r="AZ78" s="481">
        <f t="shared" si="131"/>
        <v>102.30000000000018</v>
      </c>
      <c r="BA78" s="480">
        <f t="shared" si="132"/>
        <v>0</v>
      </c>
      <c r="BB78" s="480">
        <f t="shared" si="133"/>
        <v>102.30000000000018</v>
      </c>
      <c r="BD78" s="477">
        <f>skemA3!B12</f>
        <v>44716</v>
      </c>
      <c r="BE78" s="66">
        <f t="shared" si="134"/>
        <v>-1</v>
      </c>
      <c r="BF78" s="481">
        <f t="shared" si="135"/>
        <v>182.34999999999968</v>
      </c>
      <c r="BG78" s="480">
        <f t="shared" si="136"/>
        <v>0</v>
      </c>
      <c r="BH78" s="480">
        <f t="shared" si="137"/>
        <v>182.34999999999968</v>
      </c>
      <c r="BJ78" s="477">
        <f>skemA3!B12</f>
        <v>44716</v>
      </c>
      <c r="BK78" s="66">
        <f t="shared" si="138"/>
        <v>1</v>
      </c>
      <c r="BL78" s="481">
        <f t="shared" si="139"/>
        <v>102.30000000000018</v>
      </c>
      <c r="BM78" s="480">
        <f t="shared" si="140"/>
        <v>102.30000000000018</v>
      </c>
      <c r="BN78" s="480">
        <f t="shared" si="141"/>
        <v>0</v>
      </c>
      <c r="BP78" s="477">
        <f>skemA3!B45</f>
        <v>44711</v>
      </c>
      <c r="BQ78" s="66">
        <f t="shared" si="142"/>
        <v>1</v>
      </c>
      <c r="BR78" s="481">
        <f t="shared" si="143"/>
        <v>182.34999999999968</v>
      </c>
      <c r="BS78" s="480">
        <f t="shared" si="144"/>
        <v>182.34999999999968</v>
      </c>
      <c r="BT78" s="480">
        <f t="shared" si="145"/>
        <v>0</v>
      </c>
      <c r="BU78" s="486"/>
      <c r="BV78" s="477">
        <f>skemA3!B12</f>
        <v>44716</v>
      </c>
      <c r="BW78" s="66">
        <f t="shared" si="146"/>
        <v>0</v>
      </c>
      <c r="BX78" s="481">
        <f t="shared" si="147"/>
        <v>102.30000000000018</v>
      </c>
      <c r="BY78" s="480">
        <f t="shared" si="148"/>
        <v>0</v>
      </c>
      <c r="BZ78" s="480">
        <f t="shared" si="149"/>
        <v>0</v>
      </c>
      <c r="CB78" s="477">
        <f>skemA3!B12</f>
        <v>44716</v>
      </c>
      <c r="CC78" s="66">
        <f t="shared" si="150"/>
        <v>0</v>
      </c>
      <c r="CD78" s="481">
        <f t="shared" si="151"/>
        <v>182.34999999999968</v>
      </c>
      <c r="CE78" s="480">
        <f t="shared" si="152"/>
        <v>0</v>
      </c>
      <c r="CF78" s="480">
        <f t="shared" si="153"/>
        <v>0</v>
      </c>
    </row>
    <row r="79" spans="2:84">
      <c r="B79" s="477">
        <f>skemA3!B13</f>
        <v>44717</v>
      </c>
      <c r="C79" s="66">
        <f t="shared" si="101"/>
        <v>1</v>
      </c>
      <c r="D79" s="481">
        <f>skemA3!H51</f>
        <v>101.50000000000023</v>
      </c>
      <c r="E79" s="480">
        <f t="shared" si="102"/>
        <v>101.50000000000023</v>
      </c>
      <c r="F79" s="480">
        <f t="shared" si="103"/>
        <v>0</v>
      </c>
      <c r="H79" s="477">
        <f>skemA3!B13</f>
        <v>44717</v>
      </c>
      <c r="I79" s="66">
        <f t="shared" si="104"/>
        <v>1</v>
      </c>
      <c r="J79" s="481">
        <f>skemA3!I51</f>
        <v>165.29999999999973</v>
      </c>
      <c r="K79" s="480">
        <f t="shared" si="105"/>
        <v>165.29999999999973</v>
      </c>
      <c r="L79" s="480">
        <f t="shared" si="106"/>
        <v>0</v>
      </c>
      <c r="N79" s="477">
        <f>skemA3!B13</f>
        <v>44717</v>
      </c>
      <c r="O79" s="66">
        <f t="shared" si="107"/>
        <v>-1</v>
      </c>
      <c r="P79" s="481">
        <f t="shared" si="108"/>
        <v>101.50000000000023</v>
      </c>
      <c r="Q79" s="480">
        <f t="shared" si="109"/>
        <v>0</v>
      </c>
      <c r="R79" s="480">
        <f t="shared" si="110"/>
        <v>101.50000000000023</v>
      </c>
      <c r="T79" s="477">
        <f>skemA3!B13</f>
        <v>44717</v>
      </c>
      <c r="U79" s="66">
        <f t="shared" si="111"/>
        <v>-1</v>
      </c>
      <c r="V79" s="481">
        <f t="shared" si="112"/>
        <v>165.29999999999973</v>
      </c>
      <c r="W79" s="480">
        <f t="shared" si="113"/>
        <v>0</v>
      </c>
      <c r="X79" s="480">
        <f t="shared" si="114"/>
        <v>165.29999999999973</v>
      </c>
      <c r="Y79" s="483"/>
      <c r="Z79" s="477">
        <f>skemA3!B13</f>
        <v>44717</v>
      </c>
      <c r="AA79" s="66">
        <f t="shared" si="115"/>
        <v>1</v>
      </c>
      <c r="AB79" s="481">
        <f t="shared" si="116"/>
        <v>101.50000000000023</v>
      </c>
      <c r="AC79" s="480">
        <f t="shared" si="117"/>
        <v>101.50000000000023</v>
      </c>
      <c r="AD79" s="480">
        <f t="shared" si="118"/>
        <v>0</v>
      </c>
      <c r="AE79" s="483"/>
      <c r="AF79" s="477">
        <f>skemA3!B13</f>
        <v>44717</v>
      </c>
      <c r="AG79" s="66">
        <f t="shared" si="119"/>
        <v>1</v>
      </c>
      <c r="AH79" s="481">
        <f t="shared" si="120"/>
        <v>165.29999999999973</v>
      </c>
      <c r="AI79" s="480">
        <f t="shared" si="121"/>
        <v>165.29999999999973</v>
      </c>
      <c r="AJ79" s="480">
        <f t="shared" si="122"/>
        <v>0</v>
      </c>
      <c r="AL79" s="477">
        <f>skemA3!B13</f>
        <v>44717</v>
      </c>
      <c r="AM79" s="66">
        <f t="shared" si="123"/>
        <v>-1</v>
      </c>
      <c r="AN79" s="481">
        <f t="shared" si="124"/>
        <v>101.50000000000023</v>
      </c>
      <c r="AO79" s="480">
        <f t="shared" si="125"/>
        <v>0</v>
      </c>
      <c r="AP79" s="480">
        <f t="shared" si="126"/>
        <v>101.50000000000023</v>
      </c>
      <c r="AR79" s="477">
        <f>skemA3!B13</f>
        <v>44717</v>
      </c>
      <c r="AS79" s="66">
        <f t="shared" si="127"/>
        <v>-1</v>
      </c>
      <c r="AT79" s="481">
        <f t="shared" si="128"/>
        <v>165.29999999999973</v>
      </c>
      <c r="AU79" s="480">
        <f t="shared" si="129"/>
        <v>0</v>
      </c>
      <c r="AV79" s="480">
        <f t="shared" si="130"/>
        <v>165.29999999999973</v>
      </c>
      <c r="AX79" s="477">
        <f t="shared" si="100"/>
        <v>44717</v>
      </c>
      <c r="AY79" s="66">
        <f t="shared" si="100"/>
        <v>-1</v>
      </c>
      <c r="AZ79" s="481">
        <f t="shared" si="131"/>
        <v>101.50000000000023</v>
      </c>
      <c r="BA79" s="480">
        <f t="shared" si="132"/>
        <v>0</v>
      </c>
      <c r="BB79" s="480">
        <f t="shared" si="133"/>
        <v>101.50000000000023</v>
      </c>
      <c r="BD79" s="477">
        <f>skemA3!B13</f>
        <v>44717</v>
      </c>
      <c r="BE79" s="66">
        <f t="shared" si="134"/>
        <v>-1</v>
      </c>
      <c r="BF79" s="481">
        <f t="shared" si="135"/>
        <v>165.29999999999973</v>
      </c>
      <c r="BG79" s="480">
        <f t="shared" si="136"/>
        <v>0</v>
      </c>
      <c r="BH79" s="480">
        <f t="shared" si="137"/>
        <v>165.29999999999973</v>
      </c>
      <c r="BJ79" s="477">
        <f>skemA3!B13</f>
        <v>44717</v>
      </c>
      <c r="BK79" s="66">
        <f t="shared" si="138"/>
        <v>1</v>
      </c>
      <c r="BL79" s="481">
        <f t="shared" si="139"/>
        <v>101.50000000000023</v>
      </c>
      <c r="BM79" s="480">
        <f t="shared" si="140"/>
        <v>101.50000000000023</v>
      </c>
      <c r="BN79" s="480">
        <f t="shared" si="141"/>
        <v>0</v>
      </c>
      <c r="BP79" s="477">
        <f>skemA3!B46</f>
        <v>44712</v>
      </c>
      <c r="BQ79" s="66">
        <f t="shared" si="142"/>
        <v>1</v>
      </c>
      <c r="BR79" s="481">
        <f t="shared" si="143"/>
        <v>165.29999999999973</v>
      </c>
      <c r="BS79" s="480">
        <f t="shared" si="144"/>
        <v>165.29999999999973</v>
      </c>
      <c r="BT79" s="480">
        <f t="shared" si="145"/>
        <v>0</v>
      </c>
      <c r="BU79" s="486"/>
      <c r="BV79" s="477">
        <f>skemA3!B13</f>
        <v>44717</v>
      </c>
      <c r="BW79" s="66">
        <f t="shared" si="146"/>
        <v>-1</v>
      </c>
      <c r="BX79" s="481">
        <f t="shared" si="147"/>
        <v>101.50000000000023</v>
      </c>
      <c r="BY79" s="480">
        <f t="shared" si="148"/>
        <v>0</v>
      </c>
      <c r="BZ79" s="480">
        <f t="shared" si="149"/>
        <v>101.50000000000023</v>
      </c>
      <c r="CB79" s="477">
        <f>skemA3!B13</f>
        <v>44717</v>
      </c>
      <c r="CC79" s="66">
        <f t="shared" si="150"/>
        <v>-1</v>
      </c>
      <c r="CD79" s="481">
        <f t="shared" si="151"/>
        <v>165.29999999999973</v>
      </c>
      <c r="CE79" s="480">
        <f t="shared" si="152"/>
        <v>0</v>
      </c>
      <c r="CF79" s="480">
        <f t="shared" si="153"/>
        <v>165.29999999999973</v>
      </c>
    </row>
    <row r="80" spans="2:84">
      <c r="B80" s="477">
        <f>skemA3!B14</f>
        <v>44718</v>
      </c>
      <c r="C80" s="66">
        <f t="shared" si="101"/>
        <v>1</v>
      </c>
      <c r="D80" s="481">
        <f>skemA3!H52</f>
        <v>109.99999999999977</v>
      </c>
      <c r="E80" s="480">
        <f t="shared" si="102"/>
        <v>109.99999999999977</v>
      </c>
      <c r="F80" s="480">
        <f t="shared" si="103"/>
        <v>0</v>
      </c>
      <c r="H80" s="477">
        <f>skemA3!B14</f>
        <v>44718</v>
      </c>
      <c r="I80" s="66">
        <f t="shared" si="104"/>
        <v>1</v>
      </c>
      <c r="J80" s="481">
        <f>skemA3!I52</f>
        <v>176.79999999999995</v>
      </c>
      <c r="K80" s="480">
        <f t="shared" si="105"/>
        <v>176.79999999999995</v>
      </c>
      <c r="L80" s="480">
        <f t="shared" si="106"/>
        <v>0</v>
      </c>
      <c r="N80" s="477">
        <f>skemA3!B14</f>
        <v>44718</v>
      </c>
      <c r="O80" s="66">
        <f t="shared" si="107"/>
        <v>-1</v>
      </c>
      <c r="P80" s="481">
        <f t="shared" si="108"/>
        <v>109.99999999999977</v>
      </c>
      <c r="Q80" s="480">
        <f t="shared" si="109"/>
        <v>0</v>
      </c>
      <c r="R80" s="480">
        <f t="shared" si="110"/>
        <v>109.99999999999977</v>
      </c>
      <c r="T80" s="477">
        <f>skemA3!B14</f>
        <v>44718</v>
      </c>
      <c r="U80" s="66">
        <f t="shared" si="111"/>
        <v>-1</v>
      </c>
      <c r="V80" s="481">
        <f t="shared" si="112"/>
        <v>176.79999999999995</v>
      </c>
      <c r="W80" s="480">
        <f t="shared" si="113"/>
        <v>0</v>
      </c>
      <c r="X80" s="480">
        <f t="shared" si="114"/>
        <v>176.79999999999995</v>
      </c>
      <c r="Y80" s="483"/>
      <c r="Z80" s="477">
        <f>skemA3!B14</f>
        <v>44718</v>
      </c>
      <c r="AA80" s="66">
        <f t="shared" si="115"/>
        <v>1</v>
      </c>
      <c r="AB80" s="481">
        <f t="shared" si="116"/>
        <v>109.99999999999977</v>
      </c>
      <c r="AC80" s="480">
        <f t="shared" si="117"/>
        <v>109.99999999999977</v>
      </c>
      <c r="AD80" s="480">
        <f t="shared" si="118"/>
        <v>0</v>
      </c>
      <c r="AE80" s="483"/>
      <c r="AF80" s="477">
        <f>skemA3!B14</f>
        <v>44718</v>
      </c>
      <c r="AG80" s="66">
        <f t="shared" si="119"/>
        <v>1</v>
      </c>
      <c r="AH80" s="481">
        <f t="shared" si="120"/>
        <v>176.79999999999995</v>
      </c>
      <c r="AI80" s="480">
        <f t="shared" si="121"/>
        <v>176.79999999999995</v>
      </c>
      <c r="AJ80" s="480">
        <f t="shared" si="122"/>
        <v>0</v>
      </c>
      <c r="AL80" s="477">
        <f>skemA3!B14</f>
        <v>44718</v>
      </c>
      <c r="AM80" s="66">
        <f t="shared" si="123"/>
        <v>-1</v>
      </c>
      <c r="AN80" s="481">
        <f t="shared" si="124"/>
        <v>109.99999999999977</v>
      </c>
      <c r="AO80" s="480">
        <f t="shared" si="125"/>
        <v>0</v>
      </c>
      <c r="AP80" s="480">
        <f t="shared" si="126"/>
        <v>109.99999999999977</v>
      </c>
      <c r="AR80" s="477">
        <f>skemA3!B14</f>
        <v>44718</v>
      </c>
      <c r="AS80" s="66">
        <f t="shared" si="127"/>
        <v>-1</v>
      </c>
      <c r="AT80" s="481">
        <f t="shared" si="128"/>
        <v>176.79999999999995</v>
      </c>
      <c r="AU80" s="480">
        <f t="shared" si="129"/>
        <v>0</v>
      </c>
      <c r="AV80" s="480">
        <f t="shared" si="130"/>
        <v>176.79999999999995</v>
      </c>
      <c r="AX80" s="477">
        <f t="shared" si="100"/>
        <v>44718</v>
      </c>
      <c r="AY80" s="66">
        <f t="shared" si="100"/>
        <v>-1</v>
      </c>
      <c r="AZ80" s="481">
        <f t="shared" si="131"/>
        <v>109.99999999999977</v>
      </c>
      <c r="BA80" s="480">
        <f t="shared" si="132"/>
        <v>0</v>
      </c>
      <c r="BB80" s="480">
        <f t="shared" si="133"/>
        <v>109.99999999999977</v>
      </c>
      <c r="BD80" s="477">
        <f>skemA3!B14</f>
        <v>44718</v>
      </c>
      <c r="BE80" s="66">
        <f t="shared" si="134"/>
        <v>-1</v>
      </c>
      <c r="BF80" s="481">
        <f t="shared" si="135"/>
        <v>176.79999999999995</v>
      </c>
      <c r="BG80" s="480">
        <f t="shared" si="136"/>
        <v>0</v>
      </c>
      <c r="BH80" s="480">
        <f t="shared" si="137"/>
        <v>176.79999999999995</v>
      </c>
      <c r="BJ80" s="477">
        <f>skemA3!B14</f>
        <v>44718</v>
      </c>
      <c r="BK80" s="66">
        <f t="shared" si="138"/>
        <v>-1</v>
      </c>
      <c r="BL80" s="481">
        <f t="shared" si="139"/>
        <v>109.99999999999977</v>
      </c>
      <c r="BM80" s="480">
        <f t="shared" si="140"/>
        <v>0</v>
      </c>
      <c r="BN80" s="480">
        <f t="shared" si="141"/>
        <v>109.99999999999977</v>
      </c>
      <c r="BP80" s="477">
        <f>skemA3!B47</f>
        <v>44713</v>
      </c>
      <c r="BQ80" s="66">
        <f t="shared" si="142"/>
        <v>-1</v>
      </c>
      <c r="BR80" s="481">
        <f t="shared" si="143"/>
        <v>176.79999999999995</v>
      </c>
      <c r="BS80" s="480">
        <f t="shared" si="144"/>
        <v>0</v>
      </c>
      <c r="BT80" s="480">
        <f t="shared" si="145"/>
        <v>176.79999999999995</v>
      </c>
      <c r="BU80" s="486"/>
      <c r="BV80" s="477">
        <f>skemA3!B14</f>
        <v>44718</v>
      </c>
      <c r="BW80" s="66">
        <f t="shared" si="146"/>
        <v>-1</v>
      </c>
      <c r="BX80" s="481">
        <f t="shared" si="147"/>
        <v>109.99999999999977</v>
      </c>
      <c r="BY80" s="480">
        <f t="shared" si="148"/>
        <v>0</v>
      </c>
      <c r="BZ80" s="480">
        <f t="shared" si="149"/>
        <v>109.99999999999977</v>
      </c>
      <c r="CB80" s="477">
        <f>skemA3!B14</f>
        <v>44718</v>
      </c>
      <c r="CC80" s="66">
        <f t="shared" si="150"/>
        <v>-1</v>
      </c>
      <c r="CD80" s="481">
        <f t="shared" si="151"/>
        <v>176.79999999999995</v>
      </c>
      <c r="CE80" s="480">
        <f t="shared" si="152"/>
        <v>0</v>
      </c>
      <c r="CF80" s="480">
        <f t="shared" si="153"/>
        <v>176.79999999999995</v>
      </c>
    </row>
    <row r="81" spans="2:84">
      <c r="B81" s="477">
        <f>skemA3!B15</f>
        <v>44719</v>
      </c>
      <c r="C81" s="66">
        <f t="shared" si="101"/>
        <v>1</v>
      </c>
      <c r="D81" s="481">
        <f>skemA3!H53</f>
        <v>98.900000000000091</v>
      </c>
      <c r="E81" s="480">
        <f t="shared" si="102"/>
        <v>98.900000000000091</v>
      </c>
      <c r="F81" s="480">
        <f t="shared" si="103"/>
        <v>0</v>
      </c>
      <c r="H81" s="477">
        <f>skemA3!B15</f>
        <v>44719</v>
      </c>
      <c r="I81" s="66">
        <f t="shared" si="104"/>
        <v>1</v>
      </c>
      <c r="J81" s="481">
        <f>skemA3!I53</f>
        <v>192.09999999999991</v>
      </c>
      <c r="K81" s="480">
        <f t="shared" si="105"/>
        <v>192.09999999999991</v>
      </c>
      <c r="L81" s="480">
        <f t="shared" si="106"/>
        <v>0</v>
      </c>
      <c r="N81" s="477">
        <f>skemA3!B15</f>
        <v>44719</v>
      </c>
      <c r="O81" s="66">
        <f t="shared" si="107"/>
        <v>-1</v>
      </c>
      <c r="P81" s="481">
        <f t="shared" si="108"/>
        <v>98.900000000000091</v>
      </c>
      <c r="Q81" s="480">
        <f t="shared" si="109"/>
        <v>0</v>
      </c>
      <c r="R81" s="480">
        <f t="shared" si="110"/>
        <v>98.900000000000091</v>
      </c>
      <c r="T81" s="477">
        <f>skemA3!B15</f>
        <v>44719</v>
      </c>
      <c r="U81" s="66">
        <f t="shared" si="111"/>
        <v>-1</v>
      </c>
      <c r="V81" s="481">
        <f t="shared" si="112"/>
        <v>192.09999999999991</v>
      </c>
      <c r="W81" s="480">
        <f t="shared" si="113"/>
        <v>0</v>
      </c>
      <c r="X81" s="480">
        <f t="shared" si="114"/>
        <v>192.09999999999991</v>
      </c>
      <c r="Y81" s="483"/>
      <c r="Z81" s="477">
        <f>skemA3!B15</f>
        <v>44719</v>
      </c>
      <c r="AA81" s="66">
        <f t="shared" si="115"/>
        <v>1</v>
      </c>
      <c r="AB81" s="481">
        <f t="shared" si="116"/>
        <v>98.900000000000091</v>
      </c>
      <c r="AC81" s="480">
        <f t="shared" si="117"/>
        <v>98.900000000000091</v>
      </c>
      <c r="AD81" s="480">
        <f t="shared" si="118"/>
        <v>0</v>
      </c>
      <c r="AE81" s="483"/>
      <c r="AF81" s="477">
        <f>skemA3!B15</f>
        <v>44719</v>
      </c>
      <c r="AG81" s="66">
        <f t="shared" si="119"/>
        <v>1</v>
      </c>
      <c r="AH81" s="481">
        <f t="shared" si="120"/>
        <v>192.09999999999991</v>
      </c>
      <c r="AI81" s="480">
        <f t="shared" si="121"/>
        <v>192.09999999999991</v>
      </c>
      <c r="AJ81" s="480">
        <f t="shared" si="122"/>
        <v>0</v>
      </c>
      <c r="AL81" s="477">
        <f>skemA3!B15</f>
        <v>44719</v>
      </c>
      <c r="AM81" s="66">
        <f t="shared" si="123"/>
        <v>-1</v>
      </c>
      <c r="AN81" s="481">
        <f t="shared" si="124"/>
        <v>98.900000000000091</v>
      </c>
      <c r="AO81" s="480">
        <f t="shared" si="125"/>
        <v>0</v>
      </c>
      <c r="AP81" s="480">
        <f t="shared" si="126"/>
        <v>98.900000000000091</v>
      </c>
      <c r="AR81" s="477">
        <f>skemA3!B15</f>
        <v>44719</v>
      </c>
      <c r="AS81" s="66">
        <f t="shared" si="127"/>
        <v>-1</v>
      </c>
      <c r="AT81" s="481">
        <f t="shared" si="128"/>
        <v>192.09999999999991</v>
      </c>
      <c r="AU81" s="480">
        <f t="shared" si="129"/>
        <v>0</v>
      </c>
      <c r="AV81" s="480">
        <f t="shared" si="130"/>
        <v>192.09999999999991</v>
      </c>
      <c r="AX81" s="477">
        <f t="shared" si="100"/>
        <v>44719</v>
      </c>
      <c r="AY81" s="66">
        <f t="shared" si="100"/>
        <v>1</v>
      </c>
      <c r="AZ81" s="481">
        <f t="shared" si="131"/>
        <v>98.900000000000091</v>
      </c>
      <c r="BA81" s="480">
        <f t="shared" si="132"/>
        <v>98.900000000000091</v>
      </c>
      <c r="BB81" s="480">
        <f t="shared" si="133"/>
        <v>0</v>
      </c>
      <c r="BD81" s="477">
        <f>skemA3!B15</f>
        <v>44719</v>
      </c>
      <c r="BE81" s="66">
        <f t="shared" si="134"/>
        <v>1</v>
      </c>
      <c r="BF81" s="481">
        <f t="shared" si="135"/>
        <v>192.09999999999991</v>
      </c>
      <c r="BG81" s="480">
        <f t="shared" si="136"/>
        <v>192.09999999999991</v>
      </c>
      <c r="BH81" s="480">
        <f t="shared" si="137"/>
        <v>0</v>
      </c>
      <c r="BJ81" s="477">
        <f>skemA3!B15</f>
        <v>44719</v>
      </c>
      <c r="BK81" s="66">
        <f t="shared" si="138"/>
        <v>-1</v>
      </c>
      <c r="BL81" s="481">
        <f t="shared" si="139"/>
        <v>98.900000000000091</v>
      </c>
      <c r="BM81" s="480">
        <f t="shared" si="140"/>
        <v>0</v>
      </c>
      <c r="BN81" s="480">
        <f t="shared" si="141"/>
        <v>98.900000000000091</v>
      </c>
      <c r="BP81" s="477">
        <f>skemA3!B48</f>
        <v>44714</v>
      </c>
      <c r="BQ81" s="66">
        <f t="shared" si="142"/>
        <v>-1</v>
      </c>
      <c r="BR81" s="481">
        <f t="shared" si="143"/>
        <v>192.09999999999991</v>
      </c>
      <c r="BS81" s="480">
        <f t="shared" si="144"/>
        <v>0</v>
      </c>
      <c r="BT81" s="480">
        <f t="shared" si="145"/>
        <v>192.09999999999991</v>
      </c>
      <c r="BU81" s="486"/>
      <c r="BV81" s="477">
        <f>skemA3!B15</f>
        <v>44719</v>
      </c>
      <c r="BW81" s="66">
        <f t="shared" si="146"/>
        <v>-1</v>
      </c>
      <c r="BX81" s="481">
        <f t="shared" si="147"/>
        <v>98.900000000000091</v>
      </c>
      <c r="BY81" s="480">
        <f t="shared" si="148"/>
        <v>0</v>
      </c>
      <c r="BZ81" s="480">
        <f t="shared" si="149"/>
        <v>98.900000000000091</v>
      </c>
      <c r="CB81" s="477">
        <f>skemA3!B15</f>
        <v>44719</v>
      </c>
      <c r="CC81" s="66">
        <f t="shared" si="150"/>
        <v>-1</v>
      </c>
      <c r="CD81" s="481">
        <f t="shared" si="151"/>
        <v>192.09999999999991</v>
      </c>
      <c r="CE81" s="480">
        <f t="shared" si="152"/>
        <v>0</v>
      </c>
      <c r="CF81" s="480">
        <f t="shared" si="153"/>
        <v>192.09999999999991</v>
      </c>
    </row>
    <row r="82" spans="2:84">
      <c r="B82" s="477">
        <f>skemA3!B16</f>
        <v>44720</v>
      </c>
      <c r="C82" s="66">
        <f t="shared" si="101"/>
        <v>1</v>
      </c>
      <c r="D82" s="481">
        <f>skemA3!H54</f>
        <v>88.700000000000045</v>
      </c>
      <c r="E82" s="480">
        <f t="shared" si="102"/>
        <v>88.700000000000045</v>
      </c>
      <c r="F82" s="480">
        <f t="shared" si="103"/>
        <v>0</v>
      </c>
      <c r="H82" s="477">
        <f>skemA3!B16</f>
        <v>44720</v>
      </c>
      <c r="I82" s="66">
        <f t="shared" si="104"/>
        <v>1</v>
      </c>
      <c r="J82" s="481">
        <f>skemA3!I54</f>
        <v>192.09999999999991</v>
      </c>
      <c r="K82" s="480">
        <f t="shared" si="105"/>
        <v>192.09999999999991</v>
      </c>
      <c r="L82" s="480">
        <f t="shared" si="106"/>
        <v>0</v>
      </c>
      <c r="N82" s="477">
        <f>skemA3!B16</f>
        <v>44720</v>
      </c>
      <c r="O82" s="66">
        <f t="shared" si="107"/>
        <v>1</v>
      </c>
      <c r="P82" s="481">
        <f t="shared" si="108"/>
        <v>88.700000000000045</v>
      </c>
      <c r="Q82" s="480">
        <f t="shared" si="109"/>
        <v>88.700000000000045</v>
      </c>
      <c r="R82" s="480">
        <f t="shared" si="110"/>
        <v>0</v>
      </c>
      <c r="T82" s="477">
        <f>skemA3!B16</f>
        <v>44720</v>
      </c>
      <c r="U82" s="66">
        <f t="shared" si="111"/>
        <v>1</v>
      </c>
      <c r="V82" s="481">
        <f t="shared" si="112"/>
        <v>192.09999999999991</v>
      </c>
      <c r="W82" s="480">
        <f t="shared" si="113"/>
        <v>192.09999999999991</v>
      </c>
      <c r="X82" s="480">
        <f t="shared" si="114"/>
        <v>0</v>
      </c>
      <c r="Y82" s="483"/>
      <c r="Z82" s="477">
        <f>skemA3!B16</f>
        <v>44720</v>
      </c>
      <c r="AA82" s="66">
        <f t="shared" si="115"/>
        <v>1</v>
      </c>
      <c r="AB82" s="481">
        <f t="shared" si="116"/>
        <v>88.700000000000045</v>
      </c>
      <c r="AC82" s="480">
        <f t="shared" si="117"/>
        <v>88.700000000000045</v>
      </c>
      <c r="AD82" s="480">
        <f t="shared" si="118"/>
        <v>0</v>
      </c>
      <c r="AE82" s="483"/>
      <c r="AF82" s="477">
        <f>skemA3!B16</f>
        <v>44720</v>
      </c>
      <c r="AG82" s="66">
        <f t="shared" si="119"/>
        <v>1</v>
      </c>
      <c r="AH82" s="481">
        <f t="shared" si="120"/>
        <v>192.09999999999991</v>
      </c>
      <c r="AI82" s="480">
        <f t="shared" si="121"/>
        <v>192.09999999999991</v>
      </c>
      <c r="AJ82" s="480">
        <f t="shared" si="122"/>
        <v>0</v>
      </c>
      <c r="AL82" s="477">
        <f>skemA3!B16</f>
        <v>44720</v>
      </c>
      <c r="AM82" s="66">
        <f t="shared" si="123"/>
        <v>-1</v>
      </c>
      <c r="AN82" s="481">
        <f t="shared" si="124"/>
        <v>88.700000000000045</v>
      </c>
      <c r="AO82" s="480">
        <f t="shared" si="125"/>
        <v>0</v>
      </c>
      <c r="AP82" s="480">
        <f t="shared" si="126"/>
        <v>88.700000000000045</v>
      </c>
      <c r="AR82" s="477">
        <f>skemA3!B16</f>
        <v>44720</v>
      </c>
      <c r="AS82" s="66">
        <f t="shared" si="127"/>
        <v>-1</v>
      </c>
      <c r="AT82" s="481">
        <f t="shared" si="128"/>
        <v>192.09999999999991</v>
      </c>
      <c r="AU82" s="480">
        <f t="shared" si="129"/>
        <v>0</v>
      </c>
      <c r="AV82" s="480">
        <f t="shared" si="130"/>
        <v>192.09999999999991</v>
      </c>
      <c r="AX82" s="477">
        <f t="shared" si="100"/>
        <v>44720</v>
      </c>
      <c r="AY82" s="66">
        <f t="shared" si="100"/>
        <v>1</v>
      </c>
      <c r="AZ82" s="481">
        <f t="shared" si="131"/>
        <v>88.700000000000045</v>
      </c>
      <c r="BA82" s="480">
        <f t="shared" si="132"/>
        <v>88.700000000000045</v>
      </c>
      <c r="BB82" s="480">
        <f t="shared" si="133"/>
        <v>0</v>
      </c>
      <c r="BD82" s="477">
        <f>skemA3!B16</f>
        <v>44720</v>
      </c>
      <c r="BE82" s="66">
        <f t="shared" si="134"/>
        <v>1</v>
      </c>
      <c r="BF82" s="481">
        <f t="shared" si="135"/>
        <v>192.09999999999991</v>
      </c>
      <c r="BG82" s="480">
        <f t="shared" si="136"/>
        <v>192.09999999999991</v>
      </c>
      <c r="BH82" s="480">
        <f t="shared" si="137"/>
        <v>0</v>
      </c>
      <c r="BJ82" s="477">
        <f>skemA3!B16</f>
        <v>44720</v>
      </c>
      <c r="BK82" s="66">
        <f t="shared" si="138"/>
        <v>-1</v>
      </c>
      <c r="BL82" s="481">
        <f t="shared" si="139"/>
        <v>88.700000000000045</v>
      </c>
      <c r="BM82" s="480">
        <f t="shared" si="140"/>
        <v>0</v>
      </c>
      <c r="BN82" s="480">
        <f t="shared" si="141"/>
        <v>88.700000000000045</v>
      </c>
      <c r="BP82" s="477">
        <f>skemA3!B49</f>
        <v>44715</v>
      </c>
      <c r="BQ82" s="66">
        <f t="shared" si="142"/>
        <v>-1</v>
      </c>
      <c r="BR82" s="481">
        <f t="shared" si="143"/>
        <v>192.09999999999991</v>
      </c>
      <c r="BS82" s="480">
        <f t="shared" si="144"/>
        <v>0</v>
      </c>
      <c r="BT82" s="480">
        <f t="shared" si="145"/>
        <v>192.09999999999991</v>
      </c>
      <c r="BU82" s="486"/>
      <c r="BV82" s="477">
        <f>skemA3!B16</f>
        <v>44720</v>
      </c>
      <c r="BW82" s="66">
        <f t="shared" si="146"/>
        <v>1</v>
      </c>
      <c r="BX82" s="481">
        <f t="shared" si="147"/>
        <v>88.700000000000045</v>
      </c>
      <c r="BY82" s="480">
        <f t="shared" si="148"/>
        <v>88.700000000000045</v>
      </c>
      <c r="BZ82" s="480">
        <f t="shared" si="149"/>
        <v>0</v>
      </c>
      <c r="CB82" s="477">
        <f>skemA3!B16</f>
        <v>44720</v>
      </c>
      <c r="CC82" s="66">
        <f t="shared" si="150"/>
        <v>1</v>
      </c>
      <c r="CD82" s="481">
        <f t="shared" si="151"/>
        <v>192.09999999999991</v>
      </c>
      <c r="CE82" s="480">
        <f t="shared" si="152"/>
        <v>192.09999999999991</v>
      </c>
      <c r="CF82" s="480">
        <f t="shared" si="153"/>
        <v>0</v>
      </c>
    </row>
    <row r="83" spans="2:84">
      <c r="B83" s="477">
        <f>skemA3!B17</f>
        <v>44721</v>
      </c>
      <c r="C83" s="66">
        <f t="shared" si="101"/>
        <v>1</v>
      </c>
      <c r="D83" s="481">
        <f>skemA3!H55</f>
        <v>105.5</v>
      </c>
      <c r="E83" s="480">
        <f t="shared" si="102"/>
        <v>105.5</v>
      </c>
      <c r="F83" s="480">
        <f t="shared" si="103"/>
        <v>0</v>
      </c>
      <c r="H83" s="477">
        <f>skemA3!B17</f>
        <v>44721</v>
      </c>
      <c r="I83" s="66">
        <f t="shared" si="104"/>
        <v>1</v>
      </c>
      <c r="J83" s="481">
        <f>skemA3!I55</f>
        <v>191.40000000000009</v>
      </c>
      <c r="K83" s="480">
        <f t="shared" si="105"/>
        <v>191.40000000000009</v>
      </c>
      <c r="L83" s="480">
        <f t="shared" si="106"/>
        <v>0</v>
      </c>
      <c r="N83" s="477">
        <f>skemA3!B17</f>
        <v>44721</v>
      </c>
      <c r="O83" s="66">
        <f t="shared" si="107"/>
        <v>1</v>
      </c>
      <c r="P83" s="481">
        <f t="shared" si="108"/>
        <v>105.5</v>
      </c>
      <c r="Q83" s="480">
        <f t="shared" si="109"/>
        <v>105.5</v>
      </c>
      <c r="R83" s="480">
        <f t="shared" si="110"/>
        <v>0</v>
      </c>
      <c r="T83" s="477">
        <f>skemA3!B17</f>
        <v>44721</v>
      </c>
      <c r="U83" s="66">
        <f t="shared" si="111"/>
        <v>1</v>
      </c>
      <c r="V83" s="481">
        <f t="shared" si="112"/>
        <v>191.40000000000009</v>
      </c>
      <c r="W83" s="480">
        <f t="shared" si="113"/>
        <v>191.40000000000009</v>
      </c>
      <c r="X83" s="480">
        <f t="shared" si="114"/>
        <v>0</v>
      </c>
      <c r="Y83" s="483"/>
      <c r="Z83" s="477">
        <f>skemA3!B17</f>
        <v>44721</v>
      </c>
      <c r="AA83" s="66">
        <f t="shared" si="115"/>
        <v>1</v>
      </c>
      <c r="AB83" s="481">
        <f t="shared" si="116"/>
        <v>105.5</v>
      </c>
      <c r="AC83" s="480">
        <f t="shared" si="117"/>
        <v>105.5</v>
      </c>
      <c r="AD83" s="480">
        <f t="shared" si="118"/>
        <v>0</v>
      </c>
      <c r="AE83" s="483"/>
      <c r="AF83" s="477">
        <f>skemA3!B17</f>
        <v>44721</v>
      </c>
      <c r="AG83" s="66">
        <f t="shared" si="119"/>
        <v>1</v>
      </c>
      <c r="AH83" s="481">
        <f t="shared" si="120"/>
        <v>191.40000000000009</v>
      </c>
      <c r="AI83" s="480">
        <f t="shared" si="121"/>
        <v>191.40000000000009</v>
      </c>
      <c r="AJ83" s="480">
        <f t="shared" si="122"/>
        <v>0</v>
      </c>
      <c r="AL83" s="477">
        <f>skemA3!B17</f>
        <v>44721</v>
      </c>
      <c r="AM83" s="66">
        <f t="shared" si="123"/>
        <v>1</v>
      </c>
      <c r="AN83" s="481">
        <f t="shared" si="124"/>
        <v>105.5</v>
      </c>
      <c r="AO83" s="480">
        <f t="shared" si="125"/>
        <v>105.5</v>
      </c>
      <c r="AP83" s="480">
        <f t="shared" si="126"/>
        <v>0</v>
      </c>
      <c r="AR83" s="477">
        <f>skemA3!B17</f>
        <v>44721</v>
      </c>
      <c r="AS83" s="66">
        <f t="shared" si="127"/>
        <v>1</v>
      </c>
      <c r="AT83" s="481">
        <f t="shared" si="128"/>
        <v>191.40000000000009</v>
      </c>
      <c r="AU83" s="480">
        <f t="shared" si="129"/>
        <v>191.40000000000009</v>
      </c>
      <c r="AV83" s="480">
        <f t="shared" si="130"/>
        <v>0</v>
      </c>
      <c r="AX83" s="477">
        <f t="shared" si="100"/>
        <v>44721</v>
      </c>
      <c r="AY83" s="66">
        <f t="shared" si="100"/>
        <v>1</v>
      </c>
      <c r="AZ83" s="481">
        <f t="shared" si="131"/>
        <v>105.5</v>
      </c>
      <c r="BA83" s="480">
        <f t="shared" si="132"/>
        <v>105.5</v>
      </c>
      <c r="BB83" s="480">
        <f t="shared" si="133"/>
        <v>0</v>
      </c>
      <c r="BD83" s="477">
        <f>skemA3!B17</f>
        <v>44721</v>
      </c>
      <c r="BE83" s="66">
        <f t="shared" si="134"/>
        <v>1</v>
      </c>
      <c r="BF83" s="481">
        <f t="shared" si="135"/>
        <v>191.40000000000009</v>
      </c>
      <c r="BG83" s="480">
        <f t="shared" si="136"/>
        <v>191.40000000000009</v>
      </c>
      <c r="BH83" s="480">
        <f t="shared" si="137"/>
        <v>0</v>
      </c>
      <c r="BJ83" s="477">
        <f>skemA3!B17</f>
        <v>44721</v>
      </c>
      <c r="BK83" s="66">
        <f t="shared" si="138"/>
        <v>-1</v>
      </c>
      <c r="BL83" s="481">
        <f t="shared" si="139"/>
        <v>105.5</v>
      </c>
      <c r="BM83" s="480">
        <f t="shared" si="140"/>
        <v>0</v>
      </c>
      <c r="BN83" s="480">
        <f t="shared" si="141"/>
        <v>105.5</v>
      </c>
      <c r="BP83" s="477">
        <f>skemA3!B50</f>
        <v>44716</v>
      </c>
      <c r="BQ83" s="66">
        <f t="shared" si="142"/>
        <v>-1</v>
      </c>
      <c r="BR83" s="481">
        <f t="shared" si="143"/>
        <v>191.40000000000009</v>
      </c>
      <c r="BS83" s="480">
        <f t="shared" si="144"/>
        <v>0</v>
      </c>
      <c r="BT83" s="480">
        <f t="shared" si="145"/>
        <v>191.40000000000009</v>
      </c>
      <c r="BU83" s="486"/>
      <c r="BV83" s="477">
        <f>skemA3!B17</f>
        <v>44721</v>
      </c>
      <c r="BW83" s="66">
        <f t="shared" si="146"/>
        <v>1</v>
      </c>
      <c r="BX83" s="481">
        <f t="shared" si="147"/>
        <v>105.5</v>
      </c>
      <c r="BY83" s="480">
        <f t="shared" si="148"/>
        <v>105.5</v>
      </c>
      <c r="BZ83" s="480">
        <f t="shared" si="149"/>
        <v>0</v>
      </c>
      <c r="CB83" s="477">
        <f>skemA3!B17</f>
        <v>44721</v>
      </c>
      <c r="CC83" s="66">
        <f t="shared" si="150"/>
        <v>1</v>
      </c>
      <c r="CD83" s="481">
        <f t="shared" si="151"/>
        <v>191.40000000000009</v>
      </c>
      <c r="CE83" s="480">
        <f t="shared" si="152"/>
        <v>191.40000000000009</v>
      </c>
      <c r="CF83" s="480">
        <f t="shared" si="153"/>
        <v>0</v>
      </c>
    </row>
    <row r="84" spans="2:84">
      <c r="B84" s="477">
        <f>skemA3!B18</f>
        <v>44722</v>
      </c>
      <c r="C84" s="66">
        <f t="shared" si="101"/>
        <v>1</v>
      </c>
      <c r="D84" s="481">
        <f>skemA3!H56</f>
        <v>90.300000000000182</v>
      </c>
      <c r="E84" s="480">
        <f t="shared" si="102"/>
        <v>90.300000000000182</v>
      </c>
      <c r="F84" s="480">
        <f t="shared" si="103"/>
        <v>0</v>
      </c>
      <c r="H84" s="477">
        <f>skemA3!B18</f>
        <v>44722</v>
      </c>
      <c r="I84" s="66">
        <f t="shared" si="104"/>
        <v>1</v>
      </c>
      <c r="J84" s="481">
        <f>skemA3!I56</f>
        <v>203.50000000000023</v>
      </c>
      <c r="K84" s="480">
        <f t="shared" si="105"/>
        <v>203.50000000000023</v>
      </c>
      <c r="L84" s="480">
        <f t="shared" si="106"/>
        <v>0</v>
      </c>
      <c r="N84" s="477">
        <f>skemA3!B18</f>
        <v>44722</v>
      </c>
      <c r="O84" s="66">
        <f t="shared" si="107"/>
        <v>1</v>
      </c>
      <c r="P84" s="481">
        <f t="shared" si="108"/>
        <v>90.300000000000182</v>
      </c>
      <c r="Q84" s="480">
        <f t="shared" si="109"/>
        <v>90.300000000000182</v>
      </c>
      <c r="R84" s="480">
        <f t="shared" si="110"/>
        <v>0</v>
      </c>
      <c r="T84" s="477">
        <f>skemA3!B18</f>
        <v>44722</v>
      </c>
      <c r="U84" s="66">
        <f t="shared" si="111"/>
        <v>1</v>
      </c>
      <c r="V84" s="481">
        <f t="shared" si="112"/>
        <v>203.50000000000023</v>
      </c>
      <c r="W84" s="480">
        <f t="shared" si="113"/>
        <v>203.50000000000023</v>
      </c>
      <c r="X84" s="480">
        <f t="shared" si="114"/>
        <v>0</v>
      </c>
      <c r="Y84" s="483"/>
      <c r="Z84" s="477">
        <f>skemA3!B18</f>
        <v>44722</v>
      </c>
      <c r="AA84" s="66">
        <f t="shared" si="115"/>
        <v>1</v>
      </c>
      <c r="AB84" s="481">
        <f t="shared" si="116"/>
        <v>90.300000000000182</v>
      </c>
      <c r="AC84" s="480">
        <f t="shared" si="117"/>
        <v>90.300000000000182</v>
      </c>
      <c r="AD84" s="480">
        <f t="shared" si="118"/>
        <v>0</v>
      </c>
      <c r="AE84" s="483"/>
      <c r="AF84" s="477">
        <f>skemA3!B18</f>
        <v>44722</v>
      </c>
      <c r="AG84" s="66">
        <f t="shared" si="119"/>
        <v>1</v>
      </c>
      <c r="AH84" s="481">
        <f t="shared" si="120"/>
        <v>203.50000000000023</v>
      </c>
      <c r="AI84" s="480">
        <f t="shared" si="121"/>
        <v>203.50000000000023</v>
      </c>
      <c r="AJ84" s="480">
        <f t="shared" si="122"/>
        <v>0</v>
      </c>
      <c r="AL84" s="477">
        <f>skemA3!B18</f>
        <v>44722</v>
      </c>
      <c r="AM84" s="66">
        <f t="shared" si="123"/>
        <v>1</v>
      </c>
      <c r="AN84" s="481">
        <f t="shared" si="124"/>
        <v>90.300000000000182</v>
      </c>
      <c r="AO84" s="480">
        <f t="shared" si="125"/>
        <v>90.300000000000182</v>
      </c>
      <c r="AP84" s="480">
        <f t="shared" si="126"/>
        <v>0</v>
      </c>
      <c r="AR84" s="477">
        <f>skemA3!B18</f>
        <v>44722</v>
      </c>
      <c r="AS84" s="66">
        <f t="shared" si="127"/>
        <v>1</v>
      </c>
      <c r="AT84" s="481">
        <f t="shared" si="128"/>
        <v>203.50000000000023</v>
      </c>
      <c r="AU84" s="480">
        <f t="shared" si="129"/>
        <v>203.50000000000023</v>
      </c>
      <c r="AV84" s="480">
        <f t="shared" si="130"/>
        <v>0</v>
      </c>
      <c r="AX84" s="477">
        <f t="shared" si="100"/>
        <v>44722</v>
      </c>
      <c r="AY84" s="66">
        <f t="shared" si="100"/>
        <v>1</v>
      </c>
      <c r="AZ84" s="481">
        <f t="shared" si="131"/>
        <v>90.300000000000182</v>
      </c>
      <c r="BA84" s="480">
        <f t="shared" si="132"/>
        <v>90.300000000000182</v>
      </c>
      <c r="BB84" s="480">
        <f t="shared" si="133"/>
        <v>0</v>
      </c>
      <c r="BD84" s="477">
        <f>skemA3!B18</f>
        <v>44722</v>
      </c>
      <c r="BE84" s="66">
        <f t="shared" si="134"/>
        <v>1</v>
      </c>
      <c r="BF84" s="481">
        <f t="shared" si="135"/>
        <v>203.50000000000023</v>
      </c>
      <c r="BG84" s="480">
        <f t="shared" si="136"/>
        <v>203.50000000000023</v>
      </c>
      <c r="BH84" s="480">
        <f t="shared" si="137"/>
        <v>0</v>
      </c>
      <c r="BJ84" s="477">
        <f>skemA3!B18</f>
        <v>44722</v>
      </c>
      <c r="BK84" s="66">
        <f t="shared" si="138"/>
        <v>1</v>
      </c>
      <c r="BL84" s="481">
        <f t="shared" si="139"/>
        <v>90.300000000000182</v>
      </c>
      <c r="BM84" s="480">
        <f t="shared" si="140"/>
        <v>90.300000000000182</v>
      </c>
      <c r="BN84" s="480">
        <f t="shared" si="141"/>
        <v>0</v>
      </c>
      <c r="BP84" s="477">
        <f>skemA3!B51</f>
        <v>44717</v>
      </c>
      <c r="BQ84" s="66">
        <f t="shared" si="142"/>
        <v>1</v>
      </c>
      <c r="BR84" s="481">
        <f t="shared" si="143"/>
        <v>203.50000000000023</v>
      </c>
      <c r="BS84" s="480">
        <f t="shared" si="144"/>
        <v>203.50000000000023</v>
      </c>
      <c r="BT84" s="480">
        <f t="shared" si="145"/>
        <v>0</v>
      </c>
      <c r="BU84" s="486"/>
      <c r="BV84" s="477">
        <f>skemA3!B18</f>
        <v>44722</v>
      </c>
      <c r="BW84" s="66">
        <f t="shared" si="146"/>
        <v>1</v>
      </c>
      <c r="BX84" s="481">
        <f t="shared" si="147"/>
        <v>90.300000000000182</v>
      </c>
      <c r="BY84" s="480">
        <f t="shared" si="148"/>
        <v>90.300000000000182</v>
      </c>
      <c r="BZ84" s="480">
        <f t="shared" si="149"/>
        <v>0</v>
      </c>
      <c r="CB84" s="477">
        <f>skemA3!B18</f>
        <v>44722</v>
      </c>
      <c r="CC84" s="66">
        <f t="shared" si="150"/>
        <v>1</v>
      </c>
      <c r="CD84" s="481">
        <f t="shared" si="151"/>
        <v>203.50000000000023</v>
      </c>
      <c r="CE84" s="480">
        <f t="shared" si="152"/>
        <v>203.50000000000023</v>
      </c>
      <c r="CF84" s="480">
        <f t="shared" si="153"/>
        <v>0</v>
      </c>
    </row>
    <row r="85" spans="2:84">
      <c r="B85" s="477">
        <f>skemA3!B19</f>
        <v>44723</v>
      </c>
      <c r="C85" s="66">
        <f t="shared" si="101"/>
        <v>1</v>
      </c>
      <c r="D85" s="481">
        <f>skemA3!H57</f>
        <v>109.10000000000036</v>
      </c>
      <c r="E85" s="480">
        <f t="shared" si="102"/>
        <v>109.10000000000036</v>
      </c>
      <c r="F85" s="480">
        <f t="shared" si="103"/>
        <v>0</v>
      </c>
      <c r="H85" s="477">
        <f>skemA3!B19</f>
        <v>44723</v>
      </c>
      <c r="I85" s="66">
        <f t="shared" si="104"/>
        <v>1</v>
      </c>
      <c r="J85" s="481">
        <f>skemA3!I57</f>
        <v>224.10000000000014</v>
      </c>
      <c r="K85" s="480">
        <f t="shared" si="105"/>
        <v>224.10000000000014</v>
      </c>
      <c r="L85" s="480">
        <f t="shared" si="106"/>
        <v>0</v>
      </c>
      <c r="N85" s="477">
        <f>skemA3!B19</f>
        <v>44723</v>
      </c>
      <c r="O85" s="66">
        <f t="shared" si="107"/>
        <v>1</v>
      </c>
      <c r="P85" s="481">
        <f t="shared" si="108"/>
        <v>109.10000000000036</v>
      </c>
      <c r="Q85" s="480">
        <f t="shared" si="109"/>
        <v>109.10000000000036</v>
      </c>
      <c r="R85" s="480">
        <f t="shared" si="110"/>
        <v>0</v>
      </c>
      <c r="T85" s="477">
        <f>skemA3!B19</f>
        <v>44723</v>
      </c>
      <c r="U85" s="66">
        <f t="shared" si="111"/>
        <v>1</v>
      </c>
      <c r="V85" s="481">
        <f t="shared" si="112"/>
        <v>224.10000000000014</v>
      </c>
      <c r="W85" s="480">
        <f t="shared" si="113"/>
        <v>224.10000000000014</v>
      </c>
      <c r="X85" s="480">
        <f t="shared" si="114"/>
        <v>0</v>
      </c>
      <c r="Y85" s="483"/>
      <c r="Z85" s="477">
        <f>skemA3!B19</f>
        <v>44723</v>
      </c>
      <c r="AA85" s="66">
        <f t="shared" si="115"/>
        <v>0</v>
      </c>
      <c r="AB85" s="481">
        <f t="shared" si="116"/>
        <v>109.10000000000036</v>
      </c>
      <c r="AC85" s="480">
        <f t="shared" si="117"/>
        <v>0</v>
      </c>
      <c r="AD85" s="480">
        <f t="shared" si="118"/>
        <v>0</v>
      </c>
      <c r="AE85" s="483"/>
      <c r="AF85" s="477">
        <f>skemA3!B19</f>
        <v>44723</v>
      </c>
      <c r="AG85" s="66">
        <f t="shared" si="119"/>
        <v>0</v>
      </c>
      <c r="AH85" s="481">
        <f t="shared" si="120"/>
        <v>224.10000000000014</v>
      </c>
      <c r="AI85" s="480">
        <f t="shared" si="121"/>
        <v>0</v>
      </c>
      <c r="AJ85" s="480">
        <f t="shared" si="122"/>
        <v>0</v>
      </c>
      <c r="AL85" s="477">
        <f>skemA3!B19</f>
        <v>44723</v>
      </c>
      <c r="AM85" s="66">
        <f t="shared" si="123"/>
        <v>1</v>
      </c>
      <c r="AN85" s="481">
        <f t="shared" si="124"/>
        <v>109.10000000000036</v>
      </c>
      <c r="AO85" s="480">
        <f t="shared" si="125"/>
        <v>109.10000000000036</v>
      </c>
      <c r="AP85" s="480">
        <f t="shared" si="126"/>
        <v>0</v>
      </c>
      <c r="AR85" s="477">
        <f>skemA3!B19</f>
        <v>44723</v>
      </c>
      <c r="AS85" s="66">
        <f t="shared" si="127"/>
        <v>1</v>
      </c>
      <c r="AT85" s="481">
        <f t="shared" si="128"/>
        <v>224.10000000000014</v>
      </c>
      <c r="AU85" s="480">
        <f t="shared" si="129"/>
        <v>224.10000000000014</v>
      </c>
      <c r="AV85" s="480">
        <f t="shared" si="130"/>
        <v>0</v>
      </c>
      <c r="AX85" s="477">
        <f t="shared" si="100"/>
        <v>44723</v>
      </c>
      <c r="AY85" s="66">
        <f t="shared" si="100"/>
        <v>0</v>
      </c>
      <c r="AZ85" s="481">
        <f t="shared" si="131"/>
        <v>109.10000000000036</v>
      </c>
      <c r="BA85" s="480">
        <f t="shared" si="132"/>
        <v>0</v>
      </c>
      <c r="BB85" s="480">
        <f t="shared" si="133"/>
        <v>0</v>
      </c>
      <c r="BD85" s="477">
        <f>skemA3!B19</f>
        <v>44723</v>
      </c>
      <c r="BE85" s="66">
        <f t="shared" si="134"/>
        <v>0</v>
      </c>
      <c r="BF85" s="481">
        <f t="shared" si="135"/>
        <v>224.10000000000014</v>
      </c>
      <c r="BG85" s="480">
        <f t="shared" si="136"/>
        <v>0</v>
      </c>
      <c r="BH85" s="480">
        <f t="shared" si="137"/>
        <v>0</v>
      </c>
      <c r="BJ85" s="477">
        <f>skemA3!B19</f>
        <v>44723</v>
      </c>
      <c r="BK85" s="66">
        <f t="shared" si="138"/>
        <v>1</v>
      </c>
      <c r="BL85" s="481">
        <f t="shared" si="139"/>
        <v>109.10000000000036</v>
      </c>
      <c r="BM85" s="480">
        <f t="shared" si="140"/>
        <v>109.10000000000036</v>
      </c>
      <c r="BN85" s="480">
        <f t="shared" si="141"/>
        <v>0</v>
      </c>
      <c r="BP85" s="477">
        <f>skemA3!B52</f>
        <v>44718</v>
      </c>
      <c r="BQ85" s="66">
        <f t="shared" si="142"/>
        <v>1</v>
      </c>
      <c r="BR85" s="481">
        <f t="shared" si="143"/>
        <v>224.10000000000014</v>
      </c>
      <c r="BS85" s="480">
        <f t="shared" si="144"/>
        <v>224.10000000000014</v>
      </c>
      <c r="BT85" s="480">
        <f t="shared" si="145"/>
        <v>0</v>
      </c>
      <c r="BU85" s="486"/>
      <c r="BV85" s="477">
        <f>skemA3!B19</f>
        <v>44723</v>
      </c>
      <c r="BW85" s="66">
        <f t="shared" si="146"/>
        <v>0</v>
      </c>
      <c r="BX85" s="481">
        <f t="shared" si="147"/>
        <v>109.10000000000036</v>
      </c>
      <c r="BY85" s="480">
        <f t="shared" si="148"/>
        <v>0</v>
      </c>
      <c r="BZ85" s="480">
        <f t="shared" si="149"/>
        <v>0</v>
      </c>
      <c r="CB85" s="477">
        <f>skemA3!B19</f>
        <v>44723</v>
      </c>
      <c r="CC85" s="66">
        <f t="shared" si="150"/>
        <v>0</v>
      </c>
      <c r="CD85" s="481">
        <f t="shared" si="151"/>
        <v>224.10000000000014</v>
      </c>
      <c r="CE85" s="480">
        <f t="shared" si="152"/>
        <v>0</v>
      </c>
      <c r="CF85" s="480">
        <f t="shared" si="153"/>
        <v>0</v>
      </c>
    </row>
    <row r="86" spans="2:84">
      <c r="B86" s="477">
        <f>skemA3!B20</f>
        <v>44724</v>
      </c>
      <c r="C86" s="66">
        <f t="shared" si="101"/>
        <v>1</v>
      </c>
      <c r="D86" s="481">
        <f>skemA3!H58</f>
        <v>105.80000000000018</v>
      </c>
      <c r="E86" s="480">
        <f t="shared" si="102"/>
        <v>105.80000000000018</v>
      </c>
      <c r="F86" s="480">
        <f t="shared" si="103"/>
        <v>0</v>
      </c>
      <c r="H86" s="477">
        <f>skemA3!B20</f>
        <v>44724</v>
      </c>
      <c r="I86" s="66">
        <f t="shared" si="104"/>
        <v>1</v>
      </c>
      <c r="J86" s="481">
        <f>skemA3!I58</f>
        <v>235.09999999999991</v>
      </c>
      <c r="K86" s="480">
        <f t="shared" si="105"/>
        <v>235.09999999999991</v>
      </c>
      <c r="L86" s="480">
        <f t="shared" si="106"/>
        <v>0</v>
      </c>
      <c r="N86" s="477">
        <f>skemA3!B20</f>
        <v>44724</v>
      </c>
      <c r="O86" s="66">
        <f t="shared" si="107"/>
        <v>1</v>
      </c>
      <c r="P86" s="481">
        <f t="shared" si="108"/>
        <v>105.80000000000018</v>
      </c>
      <c r="Q86" s="480">
        <f t="shared" si="109"/>
        <v>105.80000000000018</v>
      </c>
      <c r="R86" s="480">
        <f t="shared" si="110"/>
        <v>0</v>
      </c>
      <c r="T86" s="477">
        <f>skemA3!B20</f>
        <v>44724</v>
      </c>
      <c r="U86" s="66">
        <f t="shared" si="111"/>
        <v>1</v>
      </c>
      <c r="V86" s="481">
        <f t="shared" si="112"/>
        <v>235.09999999999991</v>
      </c>
      <c r="W86" s="480">
        <f t="shared" si="113"/>
        <v>235.09999999999991</v>
      </c>
      <c r="X86" s="480">
        <f t="shared" si="114"/>
        <v>0</v>
      </c>
      <c r="Y86" s="483"/>
      <c r="Z86" s="477">
        <f>skemA3!B20</f>
        <v>44724</v>
      </c>
      <c r="AA86" s="66">
        <f t="shared" si="115"/>
        <v>-1</v>
      </c>
      <c r="AB86" s="481">
        <f t="shared" si="116"/>
        <v>105.80000000000018</v>
      </c>
      <c r="AC86" s="480">
        <f t="shared" si="117"/>
        <v>0</v>
      </c>
      <c r="AD86" s="480">
        <f t="shared" si="118"/>
        <v>105.80000000000018</v>
      </c>
      <c r="AE86" s="483"/>
      <c r="AF86" s="477">
        <f>skemA3!B20</f>
        <v>44724</v>
      </c>
      <c r="AG86" s="66">
        <f t="shared" si="119"/>
        <v>-1</v>
      </c>
      <c r="AH86" s="481">
        <f t="shared" si="120"/>
        <v>235.09999999999991</v>
      </c>
      <c r="AI86" s="480">
        <f t="shared" si="121"/>
        <v>0</v>
      </c>
      <c r="AJ86" s="480">
        <f t="shared" si="122"/>
        <v>235.09999999999991</v>
      </c>
      <c r="AL86" s="477">
        <f>skemA3!B20</f>
        <v>44724</v>
      </c>
      <c r="AM86" s="66">
        <f t="shared" si="123"/>
        <v>1</v>
      </c>
      <c r="AN86" s="481">
        <f t="shared" si="124"/>
        <v>105.80000000000018</v>
      </c>
      <c r="AO86" s="480">
        <f t="shared" si="125"/>
        <v>105.80000000000018</v>
      </c>
      <c r="AP86" s="480">
        <f t="shared" si="126"/>
        <v>0</v>
      </c>
      <c r="AR86" s="477">
        <f>skemA3!B20</f>
        <v>44724</v>
      </c>
      <c r="AS86" s="66">
        <f t="shared" si="127"/>
        <v>1</v>
      </c>
      <c r="AT86" s="481">
        <f t="shared" si="128"/>
        <v>235.09999999999991</v>
      </c>
      <c r="AU86" s="480">
        <f t="shared" si="129"/>
        <v>235.09999999999991</v>
      </c>
      <c r="AV86" s="480">
        <f t="shared" si="130"/>
        <v>0</v>
      </c>
      <c r="AX86" s="477">
        <f t="shared" si="100"/>
        <v>44724</v>
      </c>
      <c r="AY86" s="66">
        <f t="shared" si="100"/>
        <v>-1</v>
      </c>
      <c r="AZ86" s="481">
        <f t="shared" si="131"/>
        <v>105.80000000000018</v>
      </c>
      <c r="BA86" s="480">
        <f t="shared" si="132"/>
        <v>0</v>
      </c>
      <c r="BB86" s="480">
        <f t="shared" si="133"/>
        <v>105.80000000000018</v>
      </c>
      <c r="BD86" s="477">
        <f>skemA3!B20</f>
        <v>44724</v>
      </c>
      <c r="BE86" s="66">
        <f t="shared" si="134"/>
        <v>-1</v>
      </c>
      <c r="BF86" s="481">
        <f t="shared" si="135"/>
        <v>235.09999999999991</v>
      </c>
      <c r="BG86" s="480">
        <f t="shared" si="136"/>
        <v>0</v>
      </c>
      <c r="BH86" s="480">
        <f t="shared" si="137"/>
        <v>235.09999999999991</v>
      </c>
      <c r="BJ86" s="477">
        <f>skemA3!B20</f>
        <v>44724</v>
      </c>
      <c r="BK86" s="66">
        <f t="shared" si="138"/>
        <v>1</v>
      </c>
      <c r="BL86" s="481">
        <f t="shared" si="139"/>
        <v>105.80000000000018</v>
      </c>
      <c r="BM86" s="480">
        <f t="shared" si="140"/>
        <v>105.80000000000018</v>
      </c>
      <c r="BN86" s="480">
        <f t="shared" si="141"/>
        <v>0</v>
      </c>
      <c r="BP86" s="477">
        <f>skemA3!B53</f>
        <v>44719</v>
      </c>
      <c r="BQ86" s="66">
        <f t="shared" si="142"/>
        <v>1</v>
      </c>
      <c r="BR86" s="481">
        <f t="shared" si="143"/>
        <v>235.09999999999991</v>
      </c>
      <c r="BS86" s="480">
        <f t="shared" si="144"/>
        <v>235.09999999999991</v>
      </c>
      <c r="BT86" s="480">
        <f t="shared" si="145"/>
        <v>0</v>
      </c>
      <c r="BU86" s="486"/>
      <c r="BV86" s="477">
        <f>skemA3!B20</f>
        <v>44724</v>
      </c>
      <c r="BW86" s="66">
        <f t="shared" si="146"/>
        <v>-1</v>
      </c>
      <c r="BX86" s="481">
        <f t="shared" si="147"/>
        <v>105.80000000000018</v>
      </c>
      <c r="BY86" s="480">
        <f t="shared" si="148"/>
        <v>0</v>
      </c>
      <c r="BZ86" s="480">
        <f t="shared" si="149"/>
        <v>105.80000000000018</v>
      </c>
      <c r="CB86" s="477">
        <f>skemA3!B20</f>
        <v>44724</v>
      </c>
      <c r="CC86" s="66">
        <f t="shared" si="150"/>
        <v>-1</v>
      </c>
      <c r="CD86" s="481">
        <f t="shared" si="151"/>
        <v>235.09999999999991</v>
      </c>
      <c r="CE86" s="480">
        <f t="shared" si="152"/>
        <v>0</v>
      </c>
      <c r="CF86" s="480">
        <f t="shared" si="153"/>
        <v>235.09999999999991</v>
      </c>
    </row>
    <row r="87" spans="2:84">
      <c r="B87" s="477">
        <f>skemA3!B21</f>
        <v>44725</v>
      </c>
      <c r="C87" s="66">
        <f t="shared" si="101"/>
        <v>1</v>
      </c>
      <c r="D87" s="481">
        <f>skemA3!H59</f>
        <v>90.700000000000045</v>
      </c>
      <c r="E87" s="480">
        <f t="shared" si="102"/>
        <v>90.700000000000045</v>
      </c>
      <c r="F87" s="480">
        <f t="shared" si="103"/>
        <v>0</v>
      </c>
      <c r="H87" s="477">
        <f>skemA3!B21</f>
        <v>44725</v>
      </c>
      <c r="I87" s="66">
        <f t="shared" si="104"/>
        <v>1</v>
      </c>
      <c r="J87" s="481">
        <f>skemA3!I59</f>
        <v>255.09999999999991</v>
      </c>
      <c r="K87" s="480">
        <f t="shared" si="105"/>
        <v>255.09999999999991</v>
      </c>
      <c r="L87" s="480">
        <f t="shared" si="106"/>
        <v>0</v>
      </c>
      <c r="N87" s="477">
        <f>skemA3!B21</f>
        <v>44725</v>
      </c>
      <c r="O87" s="66">
        <f t="shared" si="107"/>
        <v>1</v>
      </c>
      <c r="P87" s="481">
        <f t="shared" si="108"/>
        <v>90.700000000000045</v>
      </c>
      <c r="Q87" s="480">
        <f t="shared" si="109"/>
        <v>90.700000000000045</v>
      </c>
      <c r="R87" s="480">
        <f t="shared" si="110"/>
        <v>0</v>
      </c>
      <c r="T87" s="477">
        <f>skemA3!B21</f>
        <v>44725</v>
      </c>
      <c r="U87" s="66">
        <f t="shared" si="111"/>
        <v>1</v>
      </c>
      <c r="V87" s="481">
        <f t="shared" si="112"/>
        <v>255.09999999999991</v>
      </c>
      <c r="W87" s="480">
        <f t="shared" si="113"/>
        <v>255.09999999999991</v>
      </c>
      <c r="X87" s="480">
        <f t="shared" si="114"/>
        <v>0</v>
      </c>
      <c r="Y87" s="483"/>
      <c r="Z87" s="477">
        <f>skemA3!B21</f>
        <v>44725</v>
      </c>
      <c r="AA87" s="66">
        <f t="shared" si="115"/>
        <v>-1</v>
      </c>
      <c r="AB87" s="481">
        <f t="shared" si="116"/>
        <v>90.700000000000045</v>
      </c>
      <c r="AC87" s="480">
        <f t="shared" si="117"/>
        <v>0</v>
      </c>
      <c r="AD87" s="480">
        <f t="shared" si="118"/>
        <v>90.700000000000045</v>
      </c>
      <c r="AE87" s="483"/>
      <c r="AF87" s="477">
        <f>skemA3!B21</f>
        <v>44725</v>
      </c>
      <c r="AG87" s="66">
        <f t="shared" si="119"/>
        <v>-1</v>
      </c>
      <c r="AH87" s="481">
        <f t="shared" si="120"/>
        <v>255.09999999999991</v>
      </c>
      <c r="AI87" s="480">
        <f t="shared" si="121"/>
        <v>0</v>
      </c>
      <c r="AJ87" s="480">
        <f t="shared" si="122"/>
        <v>255.09999999999991</v>
      </c>
      <c r="AL87" s="477">
        <f>skemA3!B21</f>
        <v>44725</v>
      </c>
      <c r="AM87" s="66">
        <f t="shared" si="123"/>
        <v>1</v>
      </c>
      <c r="AN87" s="481">
        <f t="shared" si="124"/>
        <v>90.700000000000045</v>
      </c>
      <c r="AO87" s="480">
        <f t="shared" si="125"/>
        <v>90.700000000000045</v>
      </c>
      <c r="AP87" s="480">
        <f t="shared" si="126"/>
        <v>0</v>
      </c>
      <c r="AR87" s="477">
        <f>skemA3!B21</f>
        <v>44725</v>
      </c>
      <c r="AS87" s="66">
        <f t="shared" si="127"/>
        <v>1</v>
      </c>
      <c r="AT87" s="481">
        <f t="shared" si="128"/>
        <v>255.09999999999991</v>
      </c>
      <c r="AU87" s="480">
        <f t="shared" si="129"/>
        <v>255.09999999999991</v>
      </c>
      <c r="AV87" s="480">
        <f t="shared" si="130"/>
        <v>0</v>
      </c>
      <c r="AX87" s="477">
        <f t="shared" si="100"/>
        <v>44725</v>
      </c>
      <c r="AY87" s="66">
        <f t="shared" si="100"/>
        <v>-1</v>
      </c>
      <c r="AZ87" s="481">
        <f t="shared" si="131"/>
        <v>90.700000000000045</v>
      </c>
      <c r="BA87" s="480">
        <f t="shared" si="132"/>
        <v>0</v>
      </c>
      <c r="BB87" s="480">
        <f t="shared" si="133"/>
        <v>90.700000000000045</v>
      </c>
      <c r="BD87" s="477">
        <f>skemA3!B21</f>
        <v>44725</v>
      </c>
      <c r="BE87" s="66">
        <f t="shared" si="134"/>
        <v>-1</v>
      </c>
      <c r="BF87" s="481">
        <f t="shared" si="135"/>
        <v>255.09999999999991</v>
      </c>
      <c r="BG87" s="480">
        <f t="shared" si="136"/>
        <v>0</v>
      </c>
      <c r="BH87" s="480">
        <f t="shared" si="137"/>
        <v>255.09999999999991</v>
      </c>
      <c r="BJ87" s="477">
        <f>skemA3!B21</f>
        <v>44725</v>
      </c>
      <c r="BK87" s="66">
        <f t="shared" si="138"/>
        <v>-1</v>
      </c>
      <c r="BL87" s="481">
        <f t="shared" si="139"/>
        <v>90.700000000000045</v>
      </c>
      <c r="BM87" s="480">
        <f t="shared" si="140"/>
        <v>0</v>
      </c>
      <c r="BN87" s="480">
        <f t="shared" si="141"/>
        <v>90.700000000000045</v>
      </c>
      <c r="BP87" s="477">
        <f>skemA3!B54</f>
        <v>44720</v>
      </c>
      <c r="BQ87" s="66">
        <f t="shared" si="142"/>
        <v>-1</v>
      </c>
      <c r="BR87" s="481">
        <f t="shared" si="143"/>
        <v>255.09999999999991</v>
      </c>
      <c r="BS87" s="480">
        <f t="shared" si="144"/>
        <v>0</v>
      </c>
      <c r="BT87" s="480">
        <f t="shared" si="145"/>
        <v>255.09999999999991</v>
      </c>
      <c r="BU87" s="486"/>
      <c r="BV87" s="477">
        <f>skemA3!B21</f>
        <v>44725</v>
      </c>
      <c r="BW87" s="66">
        <f t="shared" si="146"/>
        <v>-1</v>
      </c>
      <c r="BX87" s="481">
        <f t="shared" si="147"/>
        <v>90.700000000000045</v>
      </c>
      <c r="BY87" s="480">
        <f t="shared" si="148"/>
        <v>0</v>
      </c>
      <c r="BZ87" s="480">
        <f t="shared" si="149"/>
        <v>90.700000000000045</v>
      </c>
      <c r="CB87" s="477">
        <f>skemA3!B21</f>
        <v>44725</v>
      </c>
      <c r="CC87" s="66">
        <f t="shared" si="150"/>
        <v>-1</v>
      </c>
      <c r="CD87" s="481">
        <f t="shared" si="151"/>
        <v>255.09999999999991</v>
      </c>
      <c r="CE87" s="480">
        <f t="shared" si="152"/>
        <v>0</v>
      </c>
      <c r="CF87" s="480">
        <f t="shared" si="153"/>
        <v>255.09999999999991</v>
      </c>
    </row>
    <row r="88" spans="2:84">
      <c r="B88" s="477">
        <f>skemA3!B22</f>
        <v>44726</v>
      </c>
      <c r="C88" s="66">
        <f t="shared" si="101"/>
        <v>1</v>
      </c>
      <c r="D88" s="481">
        <f>skemA3!H60</f>
        <v>74.599999999999909</v>
      </c>
      <c r="E88" s="480">
        <f t="shared" si="102"/>
        <v>74.599999999999909</v>
      </c>
      <c r="F88" s="480">
        <f t="shared" si="103"/>
        <v>0</v>
      </c>
      <c r="H88" s="477">
        <f>skemA3!B22</f>
        <v>44726</v>
      </c>
      <c r="I88" s="66">
        <f t="shared" si="104"/>
        <v>1</v>
      </c>
      <c r="J88" s="481">
        <f>skemA3!I60</f>
        <v>230.80000000000041</v>
      </c>
      <c r="K88" s="480">
        <f t="shared" si="105"/>
        <v>230.80000000000041</v>
      </c>
      <c r="L88" s="480">
        <f t="shared" si="106"/>
        <v>0</v>
      </c>
      <c r="N88" s="477">
        <f>skemA3!B22</f>
        <v>44726</v>
      </c>
      <c r="O88" s="66">
        <f t="shared" si="107"/>
        <v>1</v>
      </c>
      <c r="P88" s="481">
        <f t="shared" si="108"/>
        <v>74.599999999999909</v>
      </c>
      <c r="Q88" s="480">
        <f t="shared" si="109"/>
        <v>74.599999999999909</v>
      </c>
      <c r="R88" s="480">
        <f t="shared" si="110"/>
        <v>0</v>
      </c>
      <c r="T88" s="477">
        <f>skemA3!B22</f>
        <v>44726</v>
      </c>
      <c r="U88" s="66">
        <f t="shared" si="111"/>
        <v>1</v>
      </c>
      <c r="V88" s="481">
        <f t="shared" si="112"/>
        <v>230.80000000000041</v>
      </c>
      <c r="W88" s="480">
        <f t="shared" si="113"/>
        <v>230.80000000000041</v>
      </c>
      <c r="X88" s="480">
        <f t="shared" si="114"/>
        <v>0</v>
      </c>
      <c r="Y88" s="483"/>
      <c r="Z88" s="477">
        <f>skemA3!B22</f>
        <v>44726</v>
      </c>
      <c r="AA88" s="66">
        <f t="shared" si="115"/>
        <v>-1</v>
      </c>
      <c r="AB88" s="481">
        <f t="shared" si="116"/>
        <v>74.599999999999909</v>
      </c>
      <c r="AC88" s="480">
        <f t="shared" si="117"/>
        <v>0</v>
      </c>
      <c r="AD88" s="480">
        <f t="shared" si="118"/>
        <v>74.599999999999909</v>
      </c>
      <c r="AE88" s="483"/>
      <c r="AF88" s="477">
        <f>skemA3!B22</f>
        <v>44726</v>
      </c>
      <c r="AG88" s="66">
        <f t="shared" si="119"/>
        <v>-1</v>
      </c>
      <c r="AH88" s="481">
        <f t="shared" si="120"/>
        <v>230.80000000000041</v>
      </c>
      <c r="AI88" s="480">
        <f t="shared" si="121"/>
        <v>0</v>
      </c>
      <c r="AJ88" s="480">
        <f t="shared" si="122"/>
        <v>230.80000000000041</v>
      </c>
      <c r="AL88" s="477">
        <f>skemA3!B22</f>
        <v>44726</v>
      </c>
      <c r="AM88" s="66">
        <f t="shared" si="123"/>
        <v>-1</v>
      </c>
      <c r="AN88" s="481">
        <f t="shared" si="124"/>
        <v>74.599999999999909</v>
      </c>
      <c r="AO88" s="480">
        <f t="shared" si="125"/>
        <v>0</v>
      </c>
      <c r="AP88" s="480">
        <f t="shared" si="126"/>
        <v>74.599999999999909</v>
      </c>
      <c r="AR88" s="477">
        <f>skemA3!B22</f>
        <v>44726</v>
      </c>
      <c r="AS88" s="66">
        <f t="shared" si="127"/>
        <v>-1</v>
      </c>
      <c r="AT88" s="481">
        <f t="shared" si="128"/>
        <v>230.80000000000041</v>
      </c>
      <c r="AU88" s="480">
        <f t="shared" si="129"/>
        <v>0</v>
      </c>
      <c r="AV88" s="480">
        <f t="shared" si="130"/>
        <v>230.80000000000041</v>
      </c>
      <c r="AX88" s="477">
        <f t="shared" si="100"/>
        <v>44726</v>
      </c>
      <c r="AY88" s="66">
        <f t="shared" si="100"/>
        <v>-1</v>
      </c>
      <c r="AZ88" s="481">
        <f t="shared" si="131"/>
        <v>74.599999999999909</v>
      </c>
      <c r="BA88" s="480">
        <f t="shared" si="132"/>
        <v>0</v>
      </c>
      <c r="BB88" s="480">
        <f t="shared" si="133"/>
        <v>74.599999999999909</v>
      </c>
      <c r="BD88" s="477">
        <f>skemA3!B22</f>
        <v>44726</v>
      </c>
      <c r="BE88" s="66">
        <f t="shared" si="134"/>
        <v>-1</v>
      </c>
      <c r="BF88" s="481">
        <f t="shared" si="135"/>
        <v>230.80000000000041</v>
      </c>
      <c r="BG88" s="480">
        <f t="shared" si="136"/>
        <v>0</v>
      </c>
      <c r="BH88" s="480">
        <f t="shared" si="137"/>
        <v>230.80000000000041</v>
      </c>
      <c r="BJ88" s="477">
        <f>skemA3!B22</f>
        <v>44726</v>
      </c>
      <c r="BK88" s="66">
        <f t="shared" si="138"/>
        <v>-1</v>
      </c>
      <c r="BL88" s="481">
        <f t="shared" si="139"/>
        <v>74.599999999999909</v>
      </c>
      <c r="BM88" s="480">
        <f t="shared" si="140"/>
        <v>0</v>
      </c>
      <c r="BN88" s="480">
        <f t="shared" si="141"/>
        <v>74.599999999999909</v>
      </c>
      <c r="BP88" s="477">
        <f>skemA3!B55</f>
        <v>44721</v>
      </c>
      <c r="BQ88" s="66">
        <f t="shared" si="142"/>
        <v>-1</v>
      </c>
      <c r="BR88" s="481">
        <f t="shared" si="143"/>
        <v>230.80000000000041</v>
      </c>
      <c r="BS88" s="480">
        <f t="shared" si="144"/>
        <v>0</v>
      </c>
      <c r="BT88" s="480">
        <f t="shared" si="145"/>
        <v>230.80000000000041</v>
      </c>
      <c r="BU88" s="486"/>
      <c r="BV88" s="477">
        <f>skemA3!B22</f>
        <v>44726</v>
      </c>
      <c r="BW88" s="66">
        <f t="shared" si="146"/>
        <v>-1</v>
      </c>
      <c r="BX88" s="481">
        <f t="shared" si="147"/>
        <v>74.599999999999909</v>
      </c>
      <c r="BY88" s="480">
        <f t="shared" si="148"/>
        <v>0</v>
      </c>
      <c r="BZ88" s="480">
        <f t="shared" si="149"/>
        <v>74.599999999999909</v>
      </c>
      <c r="CB88" s="477">
        <f>skemA3!B22</f>
        <v>44726</v>
      </c>
      <c r="CC88" s="66">
        <f t="shared" si="150"/>
        <v>-1</v>
      </c>
      <c r="CD88" s="481">
        <f t="shared" si="151"/>
        <v>230.80000000000041</v>
      </c>
      <c r="CE88" s="480">
        <f t="shared" si="152"/>
        <v>0</v>
      </c>
      <c r="CF88" s="480">
        <f t="shared" si="153"/>
        <v>230.80000000000041</v>
      </c>
    </row>
    <row r="89" spans="2:84">
      <c r="B89" s="477">
        <f>skemA3!B23</f>
        <v>44727</v>
      </c>
      <c r="C89" s="66">
        <f t="shared" si="101"/>
        <v>1</v>
      </c>
      <c r="D89" s="481">
        <f>skemA3!H61</f>
        <v>82.000000000000227</v>
      </c>
      <c r="E89" s="480">
        <f t="shared" si="102"/>
        <v>82.000000000000227</v>
      </c>
      <c r="F89" s="480">
        <f t="shared" si="103"/>
        <v>0</v>
      </c>
      <c r="H89" s="477">
        <f>skemA3!B23</f>
        <v>44727</v>
      </c>
      <c r="I89" s="66">
        <f t="shared" si="104"/>
        <v>1</v>
      </c>
      <c r="J89" s="481">
        <f>skemA3!I61</f>
        <v>197.69999999999982</v>
      </c>
      <c r="K89" s="480">
        <f t="shared" si="105"/>
        <v>197.69999999999982</v>
      </c>
      <c r="L89" s="480">
        <f t="shared" si="106"/>
        <v>0</v>
      </c>
      <c r="N89" s="477">
        <f>skemA3!B23</f>
        <v>44727</v>
      </c>
      <c r="O89" s="66">
        <f t="shared" si="107"/>
        <v>-1</v>
      </c>
      <c r="P89" s="481">
        <f t="shared" si="108"/>
        <v>82.000000000000227</v>
      </c>
      <c r="Q89" s="480">
        <f t="shared" si="109"/>
        <v>0</v>
      </c>
      <c r="R89" s="480">
        <f t="shared" si="110"/>
        <v>82.000000000000227</v>
      </c>
      <c r="T89" s="477">
        <f>skemA3!B23</f>
        <v>44727</v>
      </c>
      <c r="U89" s="66">
        <f t="shared" si="111"/>
        <v>-1</v>
      </c>
      <c r="V89" s="481">
        <f t="shared" si="112"/>
        <v>197.69999999999982</v>
      </c>
      <c r="W89" s="480">
        <f t="shared" si="113"/>
        <v>0</v>
      </c>
      <c r="X89" s="480">
        <f t="shared" si="114"/>
        <v>197.69999999999982</v>
      </c>
      <c r="Y89" s="483"/>
      <c r="Z89" s="477">
        <f>skemA3!B23</f>
        <v>44727</v>
      </c>
      <c r="AA89" s="66">
        <f t="shared" si="115"/>
        <v>-1</v>
      </c>
      <c r="AB89" s="481">
        <f t="shared" si="116"/>
        <v>82.000000000000227</v>
      </c>
      <c r="AC89" s="480">
        <f t="shared" si="117"/>
        <v>0</v>
      </c>
      <c r="AD89" s="480">
        <f t="shared" si="118"/>
        <v>82.000000000000227</v>
      </c>
      <c r="AE89" s="483"/>
      <c r="AF89" s="477">
        <f>skemA3!B23</f>
        <v>44727</v>
      </c>
      <c r="AG89" s="66">
        <f t="shared" si="119"/>
        <v>-1</v>
      </c>
      <c r="AH89" s="481">
        <f t="shared" si="120"/>
        <v>197.69999999999982</v>
      </c>
      <c r="AI89" s="480">
        <f t="shared" si="121"/>
        <v>0</v>
      </c>
      <c r="AJ89" s="480">
        <f t="shared" si="122"/>
        <v>197.69999999999982</v>
      </c>
      <c r="AL89" s="477">
        <f>skemA3!B23</f>
        <v>44727</v>
      </c>
      <c r="AM89" s="66">
        <f t="shared" si="123"/>
        <v>-1</v>
      </c>
      <c r="AN89" s="481">
        <f t="shared" si="124"/>
        <v>82.000000000000227</v>
      </c>
      <c r="AO89" s="480">
        <f t="shared" si="125"/>
        <v>0</v>
      </c>
      <c r="AP89" s="480">
        <f t="shared" si="126"/>
        <v>82.000000000000227</v>
      </c>
      <c r="AR89" s="477">
        <f>skemA3!B23</f>
        <v>44727</v>
      </c>
      <c r="AS89" s="66">
        <f t="shared" si="127"/>
        <v>-1</v>
      </c>
      <c r="AT89" s="481">
        <f t="shared" si="128"/>
        <v>197.69999999999982</v>
      </c>
      <c r="AU89" s="480">
        <f t="shared" si="129"/>
        <v>0</v>
      </c>
      <c r="AV89" s="480">
        <f t="shared" si="130"/>
        <v>197.69999999999982</v>
      </c>
      <c r="AX89" s="477">
        <f t="shared" si="100"/>
        <v>44727</v>
      </c>
      <c r="AY89" s="66">
        <f t="shared" si="100"/>
        <v>-1</v>
      </c>
      <c r="AZ89" s="481">
        <f t="shared" si="131"/>
        <v>82.000000000000227</v>
      </c>
      <c r="BA89" s="480">
        <f t="shared" si="132"/>
        <v>0</v>
      </c>
      <c r="BB89" s="480">
        <f t="shared" si="133"/>
        <v>82.000000000000227</v>
      </c>
      <c r="BD89" s="477">
        <f>skemA3!B23</f>
        <v>44727</v>
      </c>
      <c r="BE89" s="66">
        <f t="shared" si="134"/>
        <v>-1</v>
      </c>
      <c r="BF89" s="481">
        <f t="shared" si="135"/>
        <v>197.69999999999982</v>
      </c>
      <c r="BG89" s="480">
        <f t="shared" si="136"/>
        <v>0</v>
      </c>
      <c r="BH89" s="480">
        <f t="shared" si="137"/>
        <v>197.69999999999982</v>
      </c>
      <c r="BJ89" s="477">
        <f>skemA3!B23</f>
        <v>44727</v>
      </c>
      <c r="BK89" s="66">
        <f t="shared" si="138"/>
        <v>-1</v>
      </c>
      <c r="BL89" s="481">
        <f t="shared" si="139"/>
        <v>82.000000000000227</v>
      </c>
      <c r="BM89" s="480">
        <f t="shared" si="140"/>
        <v>0</v>
      </c>
      <c r="BN89" s="480">
        <f t="shared" si="141"/>
        <v>82.000000000000227</v>
      </c>
      <c r="BP89" s="477">
        <f>skemA3!B56</f>
        <v>44722</v>
      </c>
      <c r="BQ89" s="66">
        <f t="shared" si="142"/>
        <v>-1</v>
      </c>
      <c r="BR89" s="481">
        <f t="shared" si="143"/>
        <v>197.69999999999982</v>
      </c>
      <c r="BS89" s="480">
        <f t="shared" si="144"/>
        <v>0</v>
      </c>
      <c r="BT89" s="480">
        <f t="shared" si="145"/>
        <v>197.69999999999982</v>
      </c>
      <c r="BU89" s="486"/>
      <c r="BV89" s="477">
        <f>skemA3!B23</f>
        <v>44727</v>
      </c>
      <c r="BW89" s="66">
        <f t="shared" si="146"/>
        <v>1</v>
      </c>
      <c r="BX89" s="481">
        <f t="shared" si="147"/>
        <v>82.000000000000227</v>
      </c>
      <c r="BY89" s="480">
        <f t="shared" si="148"/>
        <v>82.000000000000227</v>
      </c>
      <c r="BZ89" s="480">
        <f t="shared" si="149"/>
        <v>0</v>
      </c>
      <c r="CB89" s="477">
        <f>skemA3!B23</f>
        <v>44727</v>
      </c>
      <c r="CC89" s="66">
        <f t="shared" si="150"/>
        <v>1</v>
      </c>
      <c r="CD89" s="481">
        <f t="shared" si="151"/>
        <v>197.69999999999982</v>
      </c>
      <c r="CE89" s="480">
        <f t="shared" si="152"/>
        <v>197.69999999999982</v>
      </c>
      <c r="CF89" s="480">
        <f t="shared" si="153"/>
        <v>0</v>
      </c>
    </row>
    <row r="90" spans="2:84">
      <c r="B90" s="477">
        <f>skemA3!B24</f>
        <v>44728</v>
      </c>
      <c r="C90" s="66">
        <f t="shared" si="101"/>
        <v>1</v>
      </c>
      <c r="D90" s="481">
        <f>skemA3!H62</f>
        <v>109.70000000000005</v>
      </c>
      <c r="E90" s="480">
        <f t="shared" si="102"/>
        <v>109.70000000000005</v>
      </c>
      <c r="F90" s="480">
        <f t="shared" si="103"/>
        <v>0</v>
      </c>
      <c r="H90" s="477">
        <f>skemA3!B24</f>
        <v>44728</v>
      </c>
      <c r="I90" s="66">
        <f t="shared" si="104"/>
        <v>1</v>
      </c>
      <c r="J90" s="481">
        <f>skemA3!I62</f>
        <v>193.80000000000018</v>
      </c>
      <c r="K90" s="480">
        <f t="shared" si="105"/>
        <v>193.80000000000018</v>
      </c>
      <c r="L90" s="480">
        <f t="shared" si="106"/>
        <v>0</v>
      </c>
      <c r="N90" s="477">
        <f>skemA3!B24</f>
        <v>44728</v>
      </c>
      <c r="O90" s="66">
        <f t="shared" si="107"/>
        <v>-1</v>
      </c>
      <c r="P90" s="481">
        <f t="shared" si="108"/>
        <v>109.70000000000005</v>
      </c>
      <c r="Q90" s="480">
        <f t="shared" si="109"/>
        <v>0</v>
      </c>
      <c r="R90" s="480">
        <f t="shared" si="110"/>
        <v>109.70000000000005</v>
      </c>
      <c r="T90" s="477">
        <f>skemA3!B24</f>
        <v>44728</v>
      </c>
      <c r="U90" s="66">
        <f t="shared" si="111"/>
        <v>-1</v>
      </c>
      <c r="V90" s="481">
        <f t="shared" si="112"/>
        <v>193.80000000000018</v>
      </c>
      <c r="W90" s="480">
        <f t="shared" si="113"/>
        <v>0</v>
      </c>
      <c r="X90" s="480">
        <f t="shared" si="114"/>
        <v>193.80000000000018</v>
      </c>
      <c r="Y90" s="483"/>
      <c r="Z90" s="477">
        <f>skemA3!B24</f>
        <v>44728</v>
      </c>
      <c r="AA90" s="66">
        <f t="shared" si="115"/>
        <v>-1</v>
      </c>
      <c r="AB90" s="481">
        <f t="shared" si="116"/>
        <v>109.70000000000005</v>
      </c>
      <c r="AC90" s="480">
        <f t="shared" si="117"/>
        <v>0</v>
      </c>
      <c r="AD90" s="480">
        <f t="shared" si="118"/>
        <v>109.70000000000005</v>
      </c>
      <c r="AE90" s="483"/>
      <c r="AF90" s="477">
        <f>skemA3!B24</f>
        <v>44728</v>
      </c>
      <c r="AG90" s="66">
        <f t="shared" si="119"/>
        <v>-1</v>
      </c>
      <c r="AH90" s="481">
        <f t="shared" si="120"/>
        <v>193.80000000000018</v>
      </c>
      <c r="AI90" s="480">
        <f t="shared" si="121"/>
        <v>0</v>
      </c>
      <c r="AJ90" s="480">
        <f t="shared" si="122"/>
        <v>193.80000000000018</v>
      </c>
      <c r="AL90" s="477">
        <f>skemA3!B24</f>
        <v>44728</v>
      </c>
      <c r="AM90" s="66">
        <f t="shared" si="123"/>
        <v>-1</v>
      </c>
      <c r="AN90" s="481">
        <f t="shared" si="124"/>
        <v>109.70000000000005</v>
      </c>
      <c r="AO90" s="480">
        <f t="shared" si="125"/>
        <v>0</v>
      </c>
      <c r="AP90" s="480">
        <f t="shared" si="126"/>
        <v>109.70000000000005</v>
      </c>
      <c r="AR90" s="477">
        <f>skemA3!B24</f>
        <v>44728</v>
      </c>
      <c r="AS90" s="66">
        <f t="shared" si="127"/>
        <v>-1</v>
      </c>
      <c r="AT90" s="481">
        <f t="shared" si="128"/>
        <v>193.80000000000018</v>
      </c>
      <c r="AU90" s="480">
        <f t="shared" si="129"/>
        <v>0</v>
      </c>
      <c r="AV90" s="480">
        <f t="shared" si="130"/>
        <v>193.80000000000018</v>
      </c>
      <c r="AX90" s="477">
        <f t="shared" si="100"/>
        <v>44728</v>
      </c>
      <c r="AY90" s="66">
        <f t="shared" si="100"/>
        <v>1</v>
      </c>
      <c r="AZ90" s="481">
        <f t="shared" si="131"/>
        <v>109.70000000000005</v>
      </c>
      <c r="BA90" s="480">
        <f t="shared" si="132"/>
        <v>109.70000000000005</v>
      </c>
      <c r="BB90" s="480">
        <f t="shared" si="133"/>
        <v>0</v>
      </c>
      <c r="BD90" s="477">
        <f>skemA3!B24</f>
        <v>44728</v>
      </c>
      <c r="BE90" s="66">
        <f t="shared" si="134"/>
        <v>1</v>
      </c>
      <c r="BF90" s="481">
        <f t="shared" si="135"/>
        <v>193.80000000000018</v>
      </c>
      <c r="BG90" s="480">
        <f t="shared" si="136"/>
        <v>193.80000000000018</v>
      </c>
      <c r="BH90" s="480">
        <f t="shared" si="137"/>
        <v>0</v>
      </c>
      <c r="BJ90" s="477">
        <f>skemA3!B24</f>
        <v>44728</v>
      </c>
      <c r="BK90" s="66">
        <f t="shared" si="138"/>
        <v>-1</v>
      </c>
      <c r="BL90" s="481">
        <f t="shared" si="139"/>
        <v>109.70000000000005</v>
      </c>
      <c r="BM90" s="480">
        <f t="shared" si="140"/>
        <v>0</v>
      </c>
      <c r="BN90" s="480">
        <f t="shared" si="141"/>
        <v>109.70000000000005</v>
      </c>
      <c r="BP90" s="477">
        <f>skemA3!B57</f>
        <v>44723</v>
      </c>
      <c r="BQ90" s="66">
        <f t="shared" si="142"/>
        <v>-1</v>
      </c>
      <c r="BR90" s="481">
        <f t="shared" si="143"/>
        <v>193.80000000000018</v>
      </c>
      <c r="BS90" s="480">
        <f t="shared" si="144"/>
        <v>0</v>
      </c>
      <c r="BT90" s="480">
        <f t="shared" si="145"/>
        <v>193.80000000000018</v>
      </c>
      <c r="BU90" s="486"/>
      <c r="BV90" s="477">
        <f>skemA3!B24</f>
        <v>44728</v>
      </c>
      <c r="BW90" s="66">
        <f t="shared" si="146"/>
        <v>1</v>
      </c>
      <c r="BX90" s="481">
        <f t="shared" si="147"/>
        <v>109.70000000000005</v>
      </c>
      <c r="BY90" s="480">
        <f t="shared" si="148"/>
        <v>109.70000000000005</v>
      </c>
      <c r="BZ90" s="480">
        <f t="shared" si="149"/>
        <v>0</v>
      </c>
      <c r="CB90" s="477">
        <f>skemA3!B24</f>
        <v>44728</v>
      </c>
      <c r="CC90" s="66">
        <f t="shared" si="150"/>
        <v>1</v>
      </c>
      <c r="CD90" s="481">
        <f t="shared" si="151"/>
        <v>193.80000000000018</v>
      </c>
      <c r="CE90" s="480">
        <f t="shared" si="152"/>
        <v>193.80000000000018</v>
      </c>
      <c r="CF90" s="480">
        <f t="shared" si="153"/>
        <v>0</v>
      </c>
    </row>
    <row r="91" spans="2:84">
      <c r="B91" s="477">
        <f>skemA3!B25</f>
        <v>44729</v>
      </c>
      <c r="C91" s="66">
        <f t="shared" si="101"/>
        <v>1</v>
      </c>
      <c r="D91" s="481">
        <f>skemA3!H63</f>
        <v>106.70000000000005</v>
      </c>
      <c r="E91" s="480">
        <f t="shared" si="102"/>
        <v>106.70000000000005</v>
      </c>
      <c r="F91" s="480">
        <f t="shared" si="103"/>
        <v>0</v>
      </c>
      <c r="H91" s="477">
        <f>skemA3!B25</f>
        <v>44729</v>
      </c>
      <c r="I91" s="66">
        <f t="shared" si="104"/>
        <v>1</v>
      </c>
      <c r="J91" s="481">
        <f>skemA3!I63</f>
        <v>191.79999999999995</v>
      </c>
      <c r="K91" s="480">
        <f t="shared" si="105"/>
        <v>191.79999999999995</v>
      </c>
      <c r="L91" s="480">
        <f t="shared" si="106"/>
        <v>0</v>
      </c>
      <c r="N91" s="477">
        <f>skemA3!B25</f>
        <v>44729</v>
      </c>
      <c r="O91" s="66">
        <f t="shared" si="107"/>
        <v>-1</v>
      </c>
      <c r="P91" s="481">
        <f t="shared" si="108"/>
        <v>106.70000000000005</v>
      </c>
      <c r="Q91" s="480">
        <f t="shared" si="109"/>
        <v>0</v>
      </c>
      <c r="R91" s="480">
        <f t="shared" si="110"/>
        <v>106.70000000000005</v>
      </c>
      <c r="T91" s="477">
        <f>skemA3!B25</f>
        <v>44729</v>
      </c>
      <c r="U91" s="66">
        <f t="shared" si="111"/>
        <v>-1</v>
      </c>
      <c r="V91" s="481">
        <f t="shared" si="112"/>
        <v>191.79999999999995</v>
      </c>
      <c r="W91" s="480">
        <f t="shared" si="113"/>
        <v>0</v>
      </c>
      <c r="X91" s="480">
        <f t="shared" si="114"/>
        <v>191.79999999999995</v>
      </c>
      <c r="Y91" s="483"/>
      <c r="Z91" s="477">
        <f>skemA3!B25</f>
        <v>44729</v>
      </c>
      <c r="AA91" s="66">
        <f t="shared" si="115"/>
        <v>-1</v>
      </c>
      <c r="AB91" s="481">
        <f t="shared" si="116"/>
        <v>106.70000000000005</v>
      </c>
      <c r="AC91" s="480">
        <f t="shared" si="117"/>
        <v>0</v>
      </c>
      <c r="AD91" s="480">
        <f t="shared" si="118"/>
        <v>106.70000000000005</v>
      </c>
      <c r="AE91" s="483"/>
      <c r="AF91" s="477">
        <f>skemA3!B25</f>
        <v>44729</v>
      </c>
      <c r="AG91" s="66">
        <f t="shared" si="119"/>
        <v>-1</v>
      </c>
      <c r="AH91" s="481">
        <f t="shared" si="120"/>
        <v>191.79999999999995</v>
      </c>
      <c r="AI91" s="480">
        <f t="shared" si="121"/>
        <v>0</v>
      </c>
      <c r="AJ91" s="480">
        <f t="shared" si="122"/>
        <v>191.79999999999995</v>
      </c>
      <c r="AL91" s="477">
        <f>skemA3!B25</f>
        <v>44729</v>
      </c>
      <c r="AM91" s="66">
        <f t="shared" si="123"/>
        <v>-1</v>
      </c>
      <c r="AN91" s="481">
        <f t="shared" si="124"/>
        <v>106.70000000000005</v>
      </c>
      <c r="AO91" s="480">
        <f t="shared" si="125"/>
        <v>0</v>
      </c>
      <c r="AP91" s="480">
        <f t="shared" si="126"/>
        <v>106.70000000000005</v>
      </c>
      <c r="AR91" s="477">
        <f>skemA3!B25</f>
        <v>44729</v>
      </c>
      <c r="AS91" s="66">
        <f t="shared" si="127"/>
        <v>-1</v>
      </c>
      <c r="AT91" s="481">
        <f t="shared" si="128"/>
        <v>191.79999999999995</v>
      </c>
      <c r="AU91" s="480">
        <f t="shared" si="129"/>
        <v>0</v>
      </c>
      <c r="AV91" s="480">
        <f t="shared" si="130"/>
        <v>191.79999999999995</v>
      </c>
      <c r="AX91" s="477">
        <f t="shared" si="100"/>
        <v>44729</v>
      </c>
      <c r="AY91" s="66">
        <f t="shared" si="100"/>
        <v>1</v>
      </c>
      <c r="AZ91" s="481">
        <f t="shared" si="131"/>
        <v>106.70000000000005</v>
      </c>
      <c r="BA91" s="480">
        <f t="shared" si="132"/>
        <v>106.70000000000005</v>
      </c>
      <c r="BB91" s="480">
        <f t="shared" si="133"/>
        <v>0</v>
      </c>
      <c r="BD91" s="477">
        <f>skemA3!B25</f>
        <v>44729</v>
      </c>
      <c r="BE91" s="66">
        <f t="shared" si="134"/>
        <v>1</v>
      </c>
      <c r="BF91" s="481">
        <f t="shared" si="135"/>
        <v>191.79999999999995</v>
      </c>
      <c r="BG91" s="480">
        <f t="shared" si="136"/>
        <v>191.79999999999995</v>
      </c>
      <c r="BH91" s="480">
        <f t="shared" si="137"/>
        <v>0</v>
      </c>
      <c r="BJ91" s="477">
        <f>skemA3!B25</f>
        <v>44729</v>
      </c>
      <c r="BK91" s="66">
        <f t="shared" si="138"/>
        <v>1</v>
      </c>
      <c r="BL91" s="481">
        <f t="shared" si="139"/>
        <v>106.70000000000005</v>
      </c>
      <c r="BM91" s="480">
        <f t="shared" si="140"/>
        <v>106.70000000000005</v>
      </c>
      <c r="BN91" s="480">
        <f t="shared" si="141"/>
        <v>0</v>
      </c>
      <c r="BP91" s="477">
        <f>skemA3!B58</f>
        <v>44724</v>
      </c>
      <c r="BQ91" s="66">
        <f t="shared" si="142"/>
        <v>1</v>
      </c>
      <c r="BR91" s="481">
        <f t="shared" si="143"/>
        <v>191.79999999999995</v>
      </c>
      <c r="BS91" s="480">
        <f t="shared" si="144"/>
        <v>191.79999999999995</v>
      </c>
      <c r="BT91" s="480">
        <f t="shared" si="145"/>
        <v>0</v>
      </c>
      <c r="BU91" s="486"/>
      <c r="BV91" s="477">
        <f>skemA3!B25</f>
        <v>44729</v>
      </c>
      <c r="BW91" s="66">
        <f t="shared" si="146"/>
        <v>1</v>
      </c>
      <c r="BX91" s="481">
        <f t="shared" si="147"/>
        <v>106.70000000000005</v>
      </c>
      <c r="BY91" s="480">
        <f t="shared" si="148"/>
        <v>106.70000000000005</v>
      </c>
      <c r="BZ91" s="480">
        <f t="shared" si="149"/>
        <v>0</v>
      </c>
      <c r="CB91" s="477">
        <f>skemA3!B25</f>
        <v>44729</v>
      </c>
      <c r="CC91" s="66">
        <f t="shared" si="150"/>
        <v>1</v>
      </c>
      <c r="CD91" s="481">
        <f t="shared" si="151"/>
        <v>191.79999999999995</v>
      </c>
      <c r="CE91" s="480">
        <f t="shared" si="152"/>
        <v>191.79999999999995</v>
      </c>
      <c r="CF91" s="480">
        <f t="shared" si="153"/>
        <v>0</v>
      </c>
    </row>
    <row r="92" spans="2:84">
      <c r="B92" s="477">
        <f>skemA3!B26</f>
        <v>44730</v>
      </c>
      <c r="C92" s="66">
        <f t="shared" si="101"/>
        <v>1</v>
      </c>
      <c r="D92" s="481">
        <f>skemA3!H64</f>
        <v>119.10000000000014</v>
      </c>
      <c r="E92" s="480">
        <f t="shared" si="102"/>
        <v>119.10000000000014</v>
      </c>
      <c r="F92" s="480">
        <f t="shared" si="103"/>
        <v>0</v>
      </c>
      <c r="H92" s="477">
        <f>skemA3!B26</f>
        <v>44730</v>
      </c>
      <c r="I92" s="66">
        <f t="shared" si="104"/>
        <v>1</v>
      </c>
      <c r="J92" s="481">
        <f>skemA3!I64</f>
        <v>154.50000000000045</v>
      </c>
      <c r="K92" s="480">
        <f t="shared" si="105"/>
        <v>154.50000000000045</v>
      </c>
      <c r="L92" s="480">
        <f t="shared" si="106"/>
        <v>0</v>
      </c>
      <c r="N92" s="477">
        <f>skemA3!B26</f>
        <v>44730</v>
      </c>
      <c r="O92" s="66">
        <f t="shared" si="107"/>
        <v>-1</v>
      </c>
      <c r="P92" s="481">
        <f t="shared" si="108"/>
        <v>119.10000000000014</v>
      </c>
      <c r="Q92" s="480">
        <f t="shared" si="109"/>
        <v>0</v>
      </c>
      <c r="R92" s="480">
        <f t="shared" si="110"/>
        <v>119.10000000000014</v>
      </c>
      <c r="T92" s="477">
        <f>skemA3!B26</f>
        <v>44730</v>
      </c>
      <c r="U92" s="66">
        <f t="shared" si="111"/>
        <v>-1</v>
      </c>
      <c r="V92" s="481">
        <f t="shared" si="112"/>
        <v>154.50000000000045</v>
      </c>
      <c r="W92" s="480">
        <f t="shared" si="113"/>
        <v>0</v>
      </c>
      <c r="X92" s="480">
        <f t="shared" si="114"/>
        <v>154.50000000000045</v>
      </c>
      <c r="Y92" s="483"/>
      <c r="Z92" s="477">
        <f>skemA3!B26</f>
        <v>44730</v>
      </c>
      <c r="AA92" s="66">
        <f t="shared" si="115"/>
        <v>0</v>
      </c>
      <c r="AB92" s="481">
        <f t="shared" si="116"/>
        <v>119.10000000000014</v>
      </c>
      <c r="AC92" s="480">
        <f t="shared" si="117"/>
        <v>0</v>
      </c>
      <c r="AD92" s="480">
        <f t="shared" si="118"/>
        <v>0</v>
      </c>
      <c r="AE92" s="483"/>
      <c r="AF92" s="477">
        <f>skemA3!B26</f>
        <v>44730</v>
      </c>
      <c r="AG92" s="66">
        <f t="shared" si="119"/>
        <v>0</v>
      </c>
      <c r="AH92" s="481">
        <f t="shared" si="120"/>
        <v>154.50000000000045</v>
      </c>
      <c r="AI92" s="480">
        <f t="shared" si="121"/>
        <v>0</v>
      </c>
      <c r="AJ92" s="480">
        <f t="shared" si="122"/>
        <v>0</v>
      </c>
      <c r="AL92" s="477">
        <f>skemA3!B26</f>
        <v>44730</v>
      </c>
      <c r="AM92" s="66">
        <f t="shared" si="123"/>
        <v>-1</v>
      </c>
      <c r="AN92" s="481">
        <f t="shared" si="124"/>
        <v>119.10000000000014</v>
      </c>
      <c r="AO92" s="480">
        <f t="shared" si="125"/>
        <v>0</v>
      </c>
      <c r="AP92" s="480">
        <f t="shared" si="126"/>
        <v>119.10000000000014</v>
      </c>
      <c r="AR92" s="477">
        <f>skemA3!B26</f>
        <v>44730</v>
      </c>
      <c r="AS92" s="66">
        <f t="shared" si="127"/>
        <v>-1</v>
      </c>
      <c r="AT92" s="481">
        <f t="shared" si="128"/>
        <v>154.50000000000045</v>
      </c>
      <c r="AU92" s="480">
        <f t="shared" si="129"/>
        <v>0</v>
      </c>
      <c r="AV92" s="480">
        <f t="shared" si="130"/>
        <v>154.50000000000045</v>
      </c>
      <c r="AX92" s="477">
        <f t="shared" si="100"/>
        <v>44730</v>
      </c>
      <c r="AY92" s="66">
        <f t="shared" si="100"/>
        <v>1</v>
      </c>
      <c r="AZ92" s="481">
        <f t="shared" si="131"/>
        <v>119.10000000000014</v>
      </c>
      <c r="BA92" s="480">
        <f t="shared" si="132"/>
        <v>119.10000000000014</v>
      </c>
      <c r="BB92" s="480">
        <f t="shared" si="133"/>
        <v>0</v>
      </c>
      <c r="BD92" s="477">
        <f>skemA3!B26</f>
        <v>44730</v>
      </c>
      <c r="BE92" s="66">
        <f t="shared" si="134"/>
        <v>1</v>
      </c>
      <c r="BF92" s="481">
        <f t="shared" si="135"/>
        <v>154.50000000000045</v>
      </c>
      <c r="BG92" s="480">
        <f t="shared" si="136"/>
        <v>154.50000000000045</v>
      </c>
      <c r="BH92" s="480">
        <f t="shared" si="137"/>
        <v>0</v>
      </c>
      <c r="BJ92" s="477">
        <f>skemA3!B26</f>
        <v>44730</v>
      </c>
      <c r="BK92" s="66">
        <f t="shared" si="138"/>
        <v>1</v>
      </c>
      <c r="BL92" s="481">
        <f t="shared" si="139"/>
        <v>119.10000000000014</v>
      </c>
      <c r="BM92" s="480">
        <f t="shared" si="140"/>
        <v>119.10000000000014</v>
      </c>
      <c r="BN92" s="480">
        <f t="shared" si="141"/>
        <v>0</v>
      </c>
      <c r="BP92" s="477">
        <f>skemA3!B59</f>
        <v>44725</v>
      </c>
      <c r="BQ92" s="66">
        <f t="shared" si="142"/>
        <v>1</v>
      </c>
      <c r="BR92" s="481">
        <f t="shared" si="143"/>
        <v>154.50000000000045</v>
      </c>
      <c r="BS92" s="480">
        <f t="shared" si="144"/>
        <v>154.50000000000045</v>
      </c>
      <c r="BT92" s="480">
        <f t="shared" si="145"/>
        <v>0</v>
      </c>
      <c r="BU92" s="486"/>
      <c r="BV92" s="477">
        <f>skemA3!B26</f>
        <v>44730</v>
      </c>
      <c r="BW92" s="66">
        <f t="shared" si="146"/>
        <v>0</v>
      </c>
      <c r="BX92" s="481">
        <f t="shared" si="147"/>
        <v>119.10000000000014</v>
      </c>
      <c r="BY92" s="480">
        <f t="shared" si="148"/>
        <v>0</v>
      </c>
      <c r="BZ92" s="480">
        <f t="shared" si="149"/>
        <v>0</v>
      </c>
      <c r="CB92" s="477">
        <f>skemA3!B26</f>
        <v>44730</v>
      </c>
      <c r="CC92" s="66">
        <f t="shared" si="150"/>
        <v>0</v>
      </c>
      <c r="CD92" s="481">
        <f t="shared" si="151"/>
        <v>154.50000000000045</v>
      </c>
      <c r="CE92" s="480">
        <f t="shared" si="152"/>
        <v>0</v>
      </c>
      <c r="CF92" s="480">
        <f t="shared" si="153"/>
        <v>0</v>
      </c>
    </row>
    <row r="93" spans="2:84">
      <c r="B93" s="477">
        <f>skemA3!B27</f>
        <v>44731</v>
      </c>
      <c r="C93" s="66">
        <f t="shared" si="101"/>
        <v>1</v>
      </c>
      <c r="D93" s="481">
        <f>skemA3!H65</f>
        <v>125.80000000000018</v>
      </c>
      <c r="E93" s="480">
        <f t="shared" si="102"/>
        <v>125.80000000000018</v>
      </c>
      <c r="F93" s="480">
        <f t="shared" si="103"/>
        <v>0</v>
      </c>
      <c r="H93" s="477">
        <f>skemA3!B27</f>
        <v>44731</v>
      </c>
      <c r="I93" s="66">
        <f t="shared" si="104"/>
        <v>1</v>
      </c>
      <c r="J93" s="481">
        <f>skemA3!I65</f>
        <v>199.70000000000027</v>
      </c>
      <c r="K93" s="480">
        <f t="shared" si="105"/>
        <v>199.70000000000027</v>
      </c>
      <c r="L93" s="480">
        <f t="shared" si="106"/>
        <v>0</v>
      </c>
      <c r="N93" s="477">
        <f>skemA3!B27</f>
        <v>44731</v>
      </c>
      <c r="O93" s="66">
        <f t="shared" si="107"/>
        <v>-1</v>
      </c>
      <c r="P93" s="481">
        <f t="shared" si="108"/>
        <v>125.80000000000018</v>
      </c>
      <c r="Q93" s="480">
        <f t="shared" si="109"/>
        <v>0</v>
      </c>
      <c r="R93" s="480">
        <f t="shared" si="110"/>
        <v>125.80000000000018</v>
      </c>
      <c r="T93" s="477">
        <f>skemA3!B27</f>
        <v>44731</v>
      </c>
      <c r="U93" s="66">
        <f t="shared" si="111"/>
        <v>-1</v>
      </c>
      <c r="V93" s="481">
        <f t="shared" si="112"/>
        <v>199.70000000000027</v>
      </c>
      <c r="W93" s="480">
        <f t="shared" si="113"/>
        <v>0</v>
      </c>
      <c r="X93" s="480">
        <f t="shared" si="114"/>
        <v>199.70000000000027</v>
      </c>
      <c r="Y93" s="483"/>
      <c r="Z93" s="477">
        <f>skemA3!B27</f>
        <v>44731</v>
      </c>
      <c r="AA93" s="66">
        <f t="shared" si="115"/>
        <v>1</v>
      </c>
      <c r="AB93" s="481">
        <f t="shared" si="116"/>
        <v>125.80000000000018</v>
      </c>
      <c r="AC93" s="480">
        <f t="shared" si="117"/>
        <v>125.80000000000018</v>
      </c>
      <c r="AD93" s="480">
        <f t="shared" si="118"/>
        <v>0</v>
      </c>
      <c r="AE93" s="483"/>
      <c r="AF93" s="477">
        <f>skemA3!B27</f>
        <v>44731</v>
      </c>
      <c r="AG93" s="66">
        <f t="shared" si="119"/>
        <v>1</v>
      </c>
      <c r="AH93" s="481">
        <f t="shared" si="120"/>
        <v>199.70000000000027</v>
      </c>
      <c r="AI93" s="480">
        <f t="shared" si="121"/>
        <v>199.70000000000027</v>
      </c>
      <c r="AJ93" s="480">
        <f t="shared" si="122"/>
        <v>0</v>
      </c>
      <c r="AL93" s="477">
        <f>skemA3!B27</f>
        <v>44731</v>
      </c>
      <c r="AM93" s="66">
        <f t="shared" si="123"/>
        <v>1</v>
      </c>
      <c r="AN93" s="481">
        <f t="shared" si="124"/>
        <v>125.80000000000018</v>
      </c>
      <c r="AO93" s="480">
        <f t="shared" si="125"/>
        <v>125.80000000000018</v>
      </c>
      <c r="AP93" s="480">
        <f t="shared" si="126"/>
        <v>0</v>
      </c>
      <c r="AR93" s="477">
        <f>skemA3!B27</f>
        <v>44731</v>
      </c>
      <c r="AS93" s="66">
        <f t="shared" si="127"/>
        <v>1</v>
      </c>
      <c r="AT93" s="481">
        <f t="shared" si="128"/>
        <v>199.70000000000027</v>
      </c>
      <c r="AU93" s="480">
        <f t="shared" si="129"/>
        <v>199.70000000000027</v>
      </c>
      <c r="AV93" s="480">
        <f t="shared" si="130"/>
        <v>0</v>
      </c>
      <c r="AX93" s="477">
        <f t="shared" si="100"/>
        <v>44731</v>
      </c>
      <c r="AY93" s="66">
        <f t="shared" si="100"/>
        <v>1</v>
      </c>
      <c r="AZ93" s="481">
        <f t="shared" si="131"/>
        <v>125.80000000000018</v>
      </c>
      <c r="BA93" s="480">
        <f t="shared" si="132"/>
        <v>125.80000000000018</v>
      </c>
      <c r="BB93" s="480">
        <f t="shared" si="133"/>
        <v>0</v>
      </c>
      <c r="BD93" s="477">
        <f>skemA3!B27</f>
        <v>44731</v>
      </c>
      <c r="BE93" s="66">
        <f t="shared" si="134"/>
        <v>1</v>
      </c>
      <c r="BF93" s="481">
        <f t="shared" si="135"/>
        <v>199.70000000000027</v>
      </c>
      <c r="BG93" s="480">
        <f t="shared" si="136"/>
        <v>199.70000000000027</v>
      </c>
      <c r="BH93" s="480">
        <f t="shared" si="137"/>
        <v>0</v>
      </c>
      <c r="BJ93" s="477">
        <f>skemA3!B27</f>
        <v>44731</v>
      </c>
      <c r="BK93" s="66">
        <f t="shared" si="138"/>
        <v>1</v>
      </c>
      <c r="BL93" s="481">
        <f t="shared" si="139"/>
        <v>125.80000000000018</v>
      </c>
      <c r="BM93" s="480">
        <f t="shared" si="140"/>
        <v>125.80000000000018</v>
      </c>
      <c r="BN93" s="480">
        <f t="shared" si="141"/>
        <v>0</v>
      </c>
      <c r="BP93" s="477">
        <f>skemA3!B60</f>
        <v>44726</v>
      </c>
      <c r="BQ93" s="66">
        <f t="shared" si="142"/>
        <v>1</v>
      </c>
      <c r="BR93" s="481">
        <f t="shared" si="143"/>
        <v>199.70000000000027</v>
      </c>
      <c r="BS93" s="480">
        <f t="shared" si="144"/>
        <v>199.70000000000027</v>
      </c>
      <c r="BT93" s="480">
        <f t="shared" si="145"/>
        <v>0</v>
      </c>
      <c r="BU93" s="486"/>
      <c r="BV93" s="477">
        <f>skemA3!B27</f>
        <v>44731</v>
      </c>
      <c r="BW93" s="66">
        <f t="shared" si="146"/>
        <v>-1</v>
      </c>
      <c r="BX93" s="481">
        <f t="shared" si="147"/>
        <v>125.80000000000018</v>
      </c>
      <c r="BY93" s="480">
        <f t="shared" si="148"/>
        <v>0</v>
      </c>
      <c r="BZ93" s="480">
        <f t="shared" si="149"/>
        <v>125.80000000000018</v>
      </c>
      <c r="CB93" s="477">
        <f>skemA3!B27</f>
        <v>44731</v>
      </c>
      <c r="CC93" s="66">
        <f t="shared" si="150"/>
        <v>-1</v>
      </c>
      <c r="CD93" s="481">
        <f t="shared" si="151"/>
        <v>199.70000000000027</v>
      </c>
      <c r="CE93" s="480">
        <f t="shared" si="152"/>
        <v>0</v>
      </c>
      <c r="CF93" s="480">
        <f t="shared" si="153"/>
        <v>199.70000000000027</v>
      </c>
    </row>
    <row r="94" spans="2:84">
      <c r="B94" s="477">
        <f>skemA3!B28</f>
        <v>44732</v>
      </c>
      <c r="C94" s="66">
        <f t="shared" si="101"/>
        <v>1</v>
      </c>
      <c r="D94" s="481">
        <f>skemA3!H66</f>
        <v>106.70000000000005</v>
      </c>
      <c r="E94" s="480">
        <f t="shared" si="102"/>
        <v>106.70000000000005</v>
      </c>
      <c r="F94" s="480">
        <f t="shared" si="103"/>
        <v>0</v>
      </c>
      <c r="H94" s="477">
        <f>skemA3!B28</f>
        <v>44732</v>
      </c>
      <c r="I94" s="66">
        <f t="shared" si="104"/>
        <v>1</v>
      </c>
      <c r="J94" s="481">
        <f>skemA3!I66</f>
        <v>214.59999999999945</v>
      </c>
      <c r="K94" s="480">
        <f t="shared" si="105"/>
        <v>214.59999999999945</v>
      </c>
      <c r="L94" s="480">
        <f t="shared" si="106"/>
        <v>0</v>
      </c>
      <c r="N94" s="477">
        <f>skemA3!B28</f>
        <v>44732</v>
      </c>
      <c r="O94" s="66">
        <f t="shared" si="107"/>
        <v>-1</v>
      </c>
      <c r="P94" s="481">
        <f t="shared" si="108"/>
        <v>106.70000000000005</v>
      </c>
      <c r="Q94" s="480">
        <f t="shared" si="109"/>
        <v>0</v>
      </c>
      <c r="R94" s="480">
        <f t="shared" si="110"/>
        <v>106.70000000000005</v>
      </c>
      <c r="T94" s="477">
        <f>skemA3!B28</f>
        <v>44732</v>
      </c>
      <c r="U94" s="66">
        <f t="shared" si="111"/>
        <v>-1</v>
      </c>
      <c r="V94" s="481">
        <f t="shared" si="112"/>
        <v>214.59999999999945</v>
      </c>
      <c r="W94" s="480">
        <f t="shared" si="113"/>
        <v>0</v>
      </c>
      <c r="X94" s="480">
        <f t="shared" si="114"/>
        <v>214.59999999999945</v>
      </c>
      <c r="Y94" s="483"/>
      <c r="Z94" s="477">
        <f>skemA3!B28</f>
        <v>44732</v>
      </c>
      <c r="AA94" s="66">
        <f t="shared" si="115"/>
        <v>1</v>
      </c>
      <c r="AB94" s="481">
        <f t="shared" si="116"/>
        <v>106.70000000000005</v>
      </c>
      <c r="AC94" s="480">
        <f t="shared" si="117"/>
        <v>106.70000000000005</v>
      </c>
      <c r="AD94" s="480">
        <f t="shared" si="118"/>
        <v>0</v>
      </c>
      <c r="AE94" s="483"/>
      <c r="AF94" s="477">
        <f>skemA3!B28</f>
        <v>44732</v>
      </c>
      <c r="AG94" s="66">
        <f t="shared" si="119"/>
        <v>1</v>
      </c>
      <c r="AH94" s="481">
        <f t="shared" si="120"/>
        <v>214.59999999999945</v>
      </c>
      <c r="AI94" s="480">
        <f t="shared" si="121"/>
        <v>214.59999999999945</v>
      </c>
      <c r="AJ94" s="480">
        <f t="shared" si="122"/>
        <v>0</v>
      </c>
      <c r="AL94" s="477">
        <f>skemA3!B28</f>
        <v>44732</v>
      </c>
      <c r="AM94" s="66">
        <f t="shared" si="123"/>
        <v>1</v>
      </c>
      <c r="AN94" s="481">
        <f t="shared" si="124"/>
        <v>106.70000000000005</v>
      </c>
      <c r="AO94" s="480">
        <f t="shared" si="125"/>
        <v>106.70000000000005</v>
      </c>
      <c r="AP94" s="480">
        <f t="shared" si="126"/>
        <v>0</v>
      </c>
      <c r="AR94" s="477">
        <f>skemA3!B28</f>
        <v>44732</v>
      </c>
      <c r="AS94" s="66">
        <f t="shared" si="127"/>
        <v>1</v>
      </c>
      <c r="AT94" s="481">
        <f t="shared" si="128"/>
        <v>214.59999999999945</v>
      </c>
      <c r="AU94" s="480">
        <f t="shared" si="129"/>
        <v>214.59999999999945</v>
      </c>
      <c r="AV94" s="480">
        <f t="shared" si="130"/>
        <v>0</v>
      </c>
      <c r="AX94" s="477">
        <f t="shared" si="100"/>
        <v>44732</v>
      </c>
      <c r="AY94" s="66">
        <f t="shared" si="100"/>
        <v>1</v>
      </c>
      <c r="AZ94" s="481">
        <f t="shared" si="131"/>
        <v>106.70000000000005</v>
      </c>
      <c r="BA94" s="480">
        <f t="shared" si="132"/>
        <v>106.70000000000005</v>
      </c>
      <c r="BB94" s="480">
        <f t="shared" si="133"/>
        <v>0</v>
      </c>
      <c r="BD94" s="477">
        <f>skemA3!B28</f>
        <v>44732</v>
      </c>
      <c r="BE94" s="66">
        <f t="shared" si="134"/>
        <v>1</v>
      </c>
      <c r="BF94" s="481">
        <f t="shared" si="135"/>
        <v>214.59999999999945</v>
      </c>
      <c r="BG94" s="480">
        <f t="shared" si="136"/>
        <v>214.59999999999945</v>
      </c>
      <c r="BH94" s="480">
        <f t="shared" si="137"/>
        <v>0</v>
      </c>
      <c r="BJ94" s="477">
        <f>skemA3!B28</f>
        <v>44732</v>
      </c>
      <c r="BK94" s="66">
        <f t="shared" si="138"/>
        <v>1</v>
      </c>
      <c r="BL94" s="481">
        <f t="shared" si="139"/>
        <v>106.70000000000005</v>
      </c>
      <c r="BM94" s="480">
        <f t="shared" si="140"/>
        <v>106.70000000000005</v>
      </c>
      <c r="BN94" s="480">
        <f t="shared" si="141"/>
        <v>0</v>
      </c>
      <c r="BP94" s="477">
        <f>skemA3!B61</f>
        <v>44727</v>
      </c>
      <c r="BQ94" s="66">
        <f t="shared" si="142"/>
        <v>1</v>
      </c>
      <c r="BR94" s="481">
        <f t="shared" si="143"/>
        <v>214.59999999999945</v>
      </c>
      <c r="BS94" s="480">
        <f t="shared" si="144"/>
        <v>214.59999999999945</v>
      </c>
      <c r="BT94" s="480">
        <f t="shared" si="145"/>
        <v>0</v>
      </c>
      <c r="BU94" s="486"/>
      <c r="BV94" s="477">
        <f>skemA3!B28</f>
        <v>44732</v>
      </c>
      <c r="BW94" s="66">
        <f t="shared" si="146"/>
        <v>-1</v>
      </c>
      <c r="BX94" s="481">
        <f t="shared" si="147"/>
        <v>106.70000000000005</v>
      </c>
      <c r="BY94" s="480">
        <f t="shared" si="148"/>
        <v>0</v>
      </c>
      <c r="BZ94" s="480">
        <f t="shared" si="149"/>
        <v>106.70000000000005</v>
      </c>
      <c r="CB94" s="477">
        <f>skemA3!B28</f>
        <v>44732</v>
      </c>
      <c r="CC94" s="66">
        <f t="shared" si="150"/>
        <v>-1</v>
      </c>
      <c r="CD94" s="481">
        <f t="shared" si="151"/>
        <v>214.59999999999945</v>
      </c>
      <c r="CE94" s="480">
        <f t="shared" si="152"/>
        <v>0</v>
      </c>
      <c r="CF94" s="480">
        <f t="shared" si="153"/>
        <v>214.59999999999945</v>
      </c>
    </row>
    <row r="95" spans="2:84">
      <c r="B95" s="477">
        <f>skemA3!B29</f>
        <v>44733</v>
      </c>
      <c r="C95" s="66">
        <f t="shared" si="101"/>
        <v>1</v>
      </c>
      <c r="D95" s="481">
        <f>skemA3!H67</f>
        <v>86.200000000000273</v>
      </c>
      <c r="E95" s="480">
        <f t="shared" si="102"/>
        <v>86.200000000000273</v>
      </c>
      <c r="F95" s="480">
        <f t="shared" si="103"/>
        <v>0</v>
      </c>
      <c r="H95" s="477">
        <f>skemA3!B29</f>
        <v>44733</v>
      </c>
      <c r="I95" s="66">
        <f t="shared" si="104"/>
        <v>1</v>
      </c>
      <c r="J95" s="481">
        <f>skemA3!I67</f>
        <v>204.10000000000036</v>
      </c>
      <c r="K95" s="480">
        <f t="shared" si="105"/>
        <v>204.10000000000036</v>
      </c>
      <c r="L95" s="480">
        <f t="shared" si="106"/>
        <v>0</v>
      </c>
      <c r="N95" s="477">
        <f>skemA3!B29</f>
        <v>44733</v>
      </c>
      <c r="O95" s="66">
        <f t="shared" si="107"/>
        <v>-1</v>
      </c>
      <c r="P95" s="481">
        <f t="shared" si="108"/>
        <v>86.200000000000273</v>
      </c>
      <c r="Q95" s="480">
        <f t="shared" si="109"/>
        <v>0</v>
      </c>
      <c r="R95" s="480">
        <f t="shared" si="110"/>
        <v>86.200000000000273</v>
      </c>
      <c r="T95" s="477">
        <f>skemA3!B29</f>
        <v>44733</v>
      </c>
      <c r="U95" s="66">
        <f t="shared" si="111"/>
        <v>-1</v>
      </c>
      <c r="V95" s="481">
        <f t="shared" si="112"/>
        <v>204.10000000000036</v>
      </c>
      <c r="W95" s="480">
        <f t="shared" si="113"/>
        <v>0</v>
      </c>
      <c r="X95" s="480">
        <f t="shared" si="114"/>
        <v>204.10000000000036</v>
      </c>
      <c r="Y95" s="483"/>
      <c r="Z95" s="477">
        <f>skemA3!B29</f>
        <v>44733</v>
      </c>
      <c r="AA95" s="66">
        <f t="shared" si="115"/>
        <v>1</v>
      </c>
      <c r="AB95" s="481">
        <f t="shared" si="116"/>
        <v>86.200000000000273</v>
      </c>
      <c r="AC95" s="480">
        <f t="shared" si="117"/>
        <v>86.200000000000273</v>
      </c>
      <c r="AD95" s="480">
        <f t="shared" si="118"/>
        <v>0</v>
      </c>
      <c r="AE95" s="483"/>
      <c r="AF95" s="477">
        <f>skemA3!B29</f>
        <v>44733</v>
      </c>
      <c r="AG95" s="66">
        <f t="shared" si="119"/>
        <v>1</v>
      </c>
      <c r="AH95" s="481">
        <f t="shared" si="120"/>
        <v>204.10000000000036</v>
      </c>
      <c r="AI95" s="480">
        <f t="shared" si="121"/>
        <v>204.10000000000036</v>
      </c>
      <c r="AJ95" s="480">
        <f t="shared" si="122"/>
        <v>0</v>
      </c>
      <c r="AL95" s="477">
        <f>skemA3!B29</f>
        <v>44733</v>
      </c>
      <c r="AM95" s="66">
        <f t="shared" si="123"/>
        <v>1</v>
      </c>
      <c r="AN95" s="481">
        <f t="shared" si="124"/>
        <v>86.200000000000273</v>
      </c>
      <c r="AO95" s="480">
        <f t="shared" si="125"/>
        <v>86.200000000000273</v>
      </c>
      <c r="AP95" s="480">
        <f t="shared" si="126"/>
        <v>0</v>
      </c>
      <c r="AR95" s="477">
        <f>skemA3!B29</f>
        <v>44733</v>
      </c>
      <c r="AS95" s="66">
        <f t="shared" si="127"/>
        <v>1</v>
      </c>
      <c r="AT95" s="481">
        <f t="shared" si="128"/>
        <v>204.10000000000036</v>
      </c>
      <c r="AU95" s="480">
        <f t="shared" si="129"/>
        <v>204.10000000000036</v>
      </c>
      <c r="AV95" s="480">
        <f t="shared" si="130"/>
        <v>0</v>
      </c>
      <c r="AX95" s="477">
        <f t="shared" si="100"/>
        <v>44733</v>
      </c>
      <c r="AY95" s="66">
        <f t="shared" si="100"/>
        <v>-1</v>
      </c>
      <c r="AZ95" s="481">
        <f t="shared" si="131"/>
        <v>86.200000000000273</v>
      </c>
      <c r="BA95" s="480">
        <f t="shared" si="132"/>
        <v>0</v>
      </c>
      <c r="BB95" s="480">
        <f t="shared" si="133"/>
        <v>86.200000000000273</v>
      </c>
      <c r="BD95" s="477">
        <f>skemA3!B29</f>
        <v>44733</v>
      </c>
      <c r="BE95" s="66">
        <f t="shared" si="134"/>
        <v>-1</v>
      </c>
      <c r="BF95" s="481">
        <f t="shared" si="135"/>
        <v>204.10000000000036</v>
      </c>
      <c r="BG95" s="480">
        <f t="shared" si="136"/>
        <v>0</v>
      </c>
      <c r="BH95" s="480">
        <f t="shared" si="137"/>
        <v>204.10000000000036</v>
      </c>
      <c r="BJ95" s="477">
        <f>skemA3!B29</f>
        <v>44733</v>
      </c>
      <c r="BK95" s="66">
        <f t="shared" si="138"/>
        <v>-1</v>
      </c>
      <c r="BL95" s="481">
        <f t="shared" si="139"/>
        <v>86.200000000000273</v>
      </c>
      <c r="BM95" s="480">
        <f t="shared" si="140"/>
        <v>0</v>
      </c>
      <c r="BN95" s="480">
        <f t="shared" si="141"/>
        <v>86.200000000000273</v>
      </c>
      <c r="BP95" s="477">
        <f>skemA3!B62</f>
        <v>44728</v>
      </c>
      <c r="BQ95" s="66">
        <f t="shared" si="142"/>
        <v>-1</v>
      </c>
      <c r="BR95" s="481">
        <f t="shared" si="143"/>
        <v>204.10000000000036</v>
      </c>
      <c r="BS95" s="480">
        <f t="shared" si="144"/>
        <v>0</v>
      </c>
      <c r="BT95" s="480">
        <f t="shared" si="145"/>
        <v>204.10000000000036</v>
      </c>
      <c r="BU95" s="486"/>
      <c r="BV95" s="477">
        <f>skemA3!B29</f>
        <v>44733</v>
      </c>
      <c r="BW95" s="66">
        <f t="shared" si="146"/>
        <v>-1</v>
      </c>
      <c r="BX95" s="481">
        <f t="shared" si="147"/>
        <v>86.200000000000273</v>
      </c>
      <c r="BY95" s="480">
        <f t="shared" si="148"/>
        <v>0</v>
      </c>
      <c r="BZ95" s="480">
        <f t="shared" si="149"/>
        <v>86.200000000000273</v>
      </c>
      <c r="CB95" s="477">
        <f>skemA3!B29</f>
        <v>44733</v>
      </c>
      <c r="CC95" s="66">
        <f t="shared" si="150"/>
        <v>-1</v>
      </c>
      <c r="CD95" s="481">
        <f t="shared" si="151"/>
        <v>204.10000000000036</v>
      </c>
      <c r="CE95" s="480">
        <f t="shared" si="152"/>
        <v>0</v>
      </c>
      <c r="CF95" s="480">
        <f t="shared" si="153"/>
        <v>204.10000000000036</v>
      </c>
    </row>
    <row r="96" spans="2:84">
      <c r="B96" s="477">
        <f>skemA3!B30</f>
        <v>44734</v>
      </c>
      <c r="C96" s="66">
        <f t="shared" si="101"/>
        <v>1</v>
      </c>
      <c r="D96" s="481">
        <f>skemA3!H68</f>
        <v>108.09999999999991</v>
      </c>
      <c r="E96" s="480">
        <f t="shared" si="102"/>
        <v>108.09999999999991</v>
      </c>
      <c r="F96" s="480">
        <f t="shared" si="103"/>
        <v>0</v>
      </c>
      <c r="H96" s="477">
        <f>skemA3!B30</f>
        <v>44734</v>
      </c>
      <c r="I96" s="66">
        <f t="shared" si="104"/>
        <v>1</v>
      </c>
      <c r="J96" s="481">
        <f>skemA3!I68</f>
        <v>182.70000000000027</v>
      </c>
      <c r="K96" s="480">
        <f t="shared" si="105"/>
        <v>182.70000000000027</v>
      </c>
      <c r="L96" s="480">
        <f t="shared" si="106"/>
        <v>0</v>
      </c>
      <c r="N96" s="477">
        <f>skemA3!B30</f>
        <v>44734</v>
      </c>
      <c r="O96" s="66">
        <f t="shared" si="107"/>
        <v>1</v>
      </c>
      <c r="P96" s="481">
        <f t="shared" si="108"/>
        <v>108.09999999999991</v>
      </c>
      <c r="Q96" s="480">
        <f t="shared" si="109"/>
        <v>108.09999999999991</v>
      </c>
      <c r="R96" s="480">
        <f t="shared" si="110"/>
        <v>0</v>
      </c>
      <c r="T96" s="477">
        <f>skemA3!B30</f>
        <v>44734</v>
      </c>
      <c r="U96" s="66">
        <f t="shared" si="111"/>
        <v>1</v>
      </c>
      <c r="V96" s="481">
        <f t="shared" si="112"/>
        <v>182.70000000000027</v>
      </c>
      <c r="W96" s="480">
        <f t="shared" si="113"/>
        <v>182.70000000000027</v>
      </c>
      <c r="X96" s="480">
        <f t="shared" si="114"/>
        <v>0</v>
      </c>
      <c r="Y96" s="483"/>
      <c r="Z96" s="477">
        <f>skemA3!B30</f>
        <v>44734</v>
      </c>
      <c r="AA96" s="66">
        <f t="shared" si="115"/>
        <v>1</v>
      </c>
      <c r="AB96" s="481">
        <f t="shared" si="116"/>
        <v>108.09999999999991</v>
      </c>
      <c r="AC96" s="480">
        <f t="shared" si="117"/>
        <v>108.09999999999991</v>
      </c>
      <c r="AD96" s="480">
        <f t="shared" si="118"/>
        <v>0</v>
      </c>
      <c r="AE96" s="483"/>
      <c r="AF96" s="477">
        <f>skemA3!B30</f>
        <v>44734</v>
      </c>
      <c r="AG96" s="66">
        <f t="shared" si="119"/>
        <v>1</v>
      </c>
      <c r="AH96" s="481">
        <f t="shared" si="120"/>
        <v>182.70000000000027</v>
      </c>
      <c r="AI96" s="480">
        <f t="shared" si="121"/>
        <v>182.70000000000027</v>
      </c>
      <c r="AJ96" s="480">
        <f t="shared" si="122"/>
        <v>0</v>
      </c>
      <c r="AL96" s="477">
        <f>skemA3!B30</f>
        <v>44734</v>
      </c>
      <c r="AM96" s="66">
        <f t="shared" si="123"/>
        <v>1</v>
      </c>
      <c r="AN96" s="481">
        <f t="shared" si="124"/>
        <v>108.09999999999991</v>
      </c>
      <c r="AO96" s="480">
        <f t="shared" si="125"/>
        <v>108.09999999999991</v>
      </c>
      <c r="AP96" s="480">
        <f t="shared" si="126"/>
        <v>0</v>
      </c>
      <c r="AR96" s="477">
        <f>skemA3!B30</f>
        <v>44734</v>
      </c>
      <c r="AS96" s="66">
        <f t="shared" si="127"/>
        <v>1</v>
      </c>
      <c r="AT96" s="481">
        <f t="shared" si="128"/>
        <v>182.70000000000027</v>
      </c>
      <c r="AU96" s="480">
        <f t="shared" si="129"/>
        <v>182.70000000000027</v>
      </c>
      <c r="AV96" s="480">
        <f t="shared" si="130"/>
        <v>0</v>
      </c>
      <c r="AX96" s="477">
        <f t="shared" si="100"/>
        <v>44734</v>
      </c>
      <c r="AY96" s="66">
        <f t="shared" si="100"/>
        <v>-1</v>
      </c>
      <c r="AZ96" s="481">
        <f t="shared" si="131"/>
        <v>108.09999999999991</v>
      </c>
      <c r="BA96" s="480">
        <f t="shared" si="132"/>
        <v>0</v>
      </c>
      <c r="BB96" s="480">
        <f t="shared" si="133"/>
        <v>108.09999999999991</v>
      </c>
      <c r="BD96" s="477">
        <f>skemA3!B30</f>
        <v>44734</v>
      </c>
      <c r="BE96" s="66">
        <f t="shared" si="134"/>
        <v>-1</v>
      </c>
      <c r="BF96" s="481">
        <f t="shared" si="135"/>
        <v>182.70000000000027</v>
      </c>
      <c r="BG96" s="480">
        <f t="shared" si="136"/>
        <v>0</v>
      </c>
      <c r="BH96" s="480">
        <f t="shared" si="137"/>
        <v>182.70000000000027</v>
      </c>
      <c r="BJ96" s="477">
        <f>skemA3!B30</f>
        <v>44734</v>
      </c>
      <c r="BK96" s="66">
        <f t="shared" si="138"/>
        <v>-1</v>
      </c>
      <c r="BL96" s="481">
        <f t="shared" si="139"/>
        <v>108.09999999999991</v>
      </c>
      <c r="BM96" s="480">
        <f t="shared" si="140"/>
        <v>0</v>
      </c>
      <c r="BN96" s="480">
        <f t="shared" si="141"/>
        <v>108.09999999999991</v>
      </c>
      <c r="BP96" s="477">
        <f>skemA3!B63</f>
        <v>44729</v>
      </c>
      <c r="BQ96" s="66">
        <f t="shared" si="142"/>
        <v>-1</v>
      </c>
      <c r="BR96" s="481">
        <f t="shared" si="143"/>
        <v>182.70000000000027</v>
      </c>
      <c r="BS96" s="480">
        <f t="shared" si="144"/>
        <v>0</v>
      </c>
      <c r="BT96" s="480">
        <f t="shared" si="145"/>
        <v>182.70000000000027</v>
      </c>
      <c r="BU96" s="486"/>
      <c r="BV96" s="477">
        <f>skemA3!B30</f>
        <v>44734</v>
      </c>
      <c r="BW96" s="66">
        <f t="shared" si="146"/>
        <v>1</v>
      </c>
      <c r="BX96" s="481">
        <f t="shared" si="147"/>
        <v>108.09999999999991</v>
      </c>
      <c r="BY96" s="480">
        <f t="shared" si="148"/>
        <v>108.09999999999991</v>
      </c>
      <c r="BZ96" s="480">
        <f t="shared" si="149"/>
        <v>0</v>
      </c>
      <c r="CB96" s="477">
        <f>skemA3!B30</f>
        <v>44734</v>
      </c>
      <c r="CC96" s="66">
        <f t="shared" si="150"/>
        <v>1</v>
      </c>
      <c r="CD96" s="481">
        <f t="shared" si="151"/>
        <v>182.70000000000027</v>
      </c>
      <c r="CE96" s="480">
        <f t="shared" si="152"/>
        <v>182.70000000000027</v>
      </c>
      <c r="CF96" s="480">
        <f t="shared" si="153"/>
        <v>0</v>
      </c>
    </row>
    <row r="97" spans="2:84">
      <c r="B97" s="477">
        <f>skemA3!B31</f>
        <v>44735</v>
      </c>
      <c r="C97" s="66">
        <f t="shared" si="101"/>
        <v>1</v>
      </c>
      <c r="D97" s="481">
        <f>skemA3!H69</f>
        <v>93.700000000000273</v>
      </c>
      <c r="E97" s="480">
        <f t="shared" si="102"/>
        <v>93.700000000000273</v>
      </c>
      <c r="F97" s="480">
        <f t="shared" si="103"/>
        <v>0</v>
      </c>
      <c r="H97" s="477">
        <f>skemA3!B31</f>
        <v>44735</v>
      </c>
      <c r="I97" s="66">
        <f t="shared" si="104"/>
        <v>1</v>
      </c>
      <c r="J97" s="481">
        <f>skemA3!I69</f>
        <v>206.39999999999986</v>
      </c>
      <c r="K97" s="480">
        <f t="shared" si="105"/>
        <v>206.39999999999986</v>
      </c>
      <c r="L97" s="480">
        <f t="shared" si="106"/>
        <v>0</v>
      </c>
      <c r="N97" s="477">
        <f>skemA3!B31</f>
        <v>44735</v>
      </c>
      <c r="O97" s="66">
        <f t="shared" si="107"/>
        <v>1</v>
      </c>
      <c r="P97" s="481">
        <f t="shared" si="108"/>
        <v>93.700000000000273</v>
      </c>
      <c r="Q97" s="480">
        <f t="shared" si="109"/>
        <v>93.700000000000273</v>
      </c>
      <c r="R97" s="480">
        <f t="shared" si="110"/>
        <v>0</v>
      </c>
      <c r="T97" s="477">
        <f>skemA3!B31</f>
        <v>44735</v>
      </c>
      <c r="U97" s="66">
        <f t="shared" si="111"/>
        <v>1</v>
      </c>
      <c r="V97" s="481">
        <f t="shared" si="112"/>
        <v>206.39999999999986</v>
      </c>
      <c r="W97" s="480">
        <f t="shared" si="113"/>
        <v>206.39999999999986</v>
      </c>
      <c r="X97" s="480">
        <f t="shared" si="114"/>
        <v>0</v>
      </c>
      <c r="Y97" s="483"/>
      <c r="Z97" s="477">
        <f>skemA3!B31</f>
        <v>44735</v>
      </c>
      <c r="AA97" s="66">
        <f t="shared" si="115"/>
        <v>1</v>
      </c>
      <c r="AB97" s="481">
        <f t="shared" si="116"/>
        <v>93.700000000000273</v>
      </c>
      <c r="AC97" s="480">
        <f t="shared" si="117"/>
        <v>93.700000000000273</v>
      </c>
      <c r="AD97" s="480">
        <f t="shared" si="118"/>
        <v>0</v>
      </c>
      <c r="AE97" s="483"/>
      <c r="AF97" s="477">
        <f>skemA3!B31</f>
        <v>44735</v>
      </c>
      <c r="AG97" s="66">
        <f t="shared" si="119"/>
        <v>1</v>
      </c>
      <c r="AH97" s="481">
        <f t="shared" si="120"/>
        <v>206.39999999999986</v>
      </c>
      <c r="AI97" s="480">
        <f t="shared" si="121"/>
        <v>206.39999999999986</v>
      </c>
      <c r="AJ97" s="480">
        <f t="shared" si="122"/>
        <v>0</v>
      </c>
      <c r="AL97" s="477">
        <f>skemA3!B31</f>
        <v>44735</v>
      </c>
      <c r="AM97" s="66">
        <f t="shared" si="123"/>
        <v>1</v>
      </c>
      <c r="AN97" s="481">
        <f t="shared" si="124"/>
        <v>93.700000000000273</v>
      </c>
      <c r="AO97" s="480">
        <f t="shared" si="125"/>
        <v>93.700000000000273</v>
      </c>
      <c r="AP97" s="480">
        <f t="shared" si="126"/>
        <v>0</v>
      </c>
      <c r="AR97" s="477">
        <f>skemA3!B31</f>
        <v>44735</v>
      </c>
      <c r="AS97" s="66">
        <f t="shared" si="127"/>
        <v>1</v>
      </c>
      <c r="AT97" s="481">
        <f t="shared" si="128"/>
        <v>206.39999999999986</v>
      </c>
      <c r="AU97" s="480">
        <f t="shared" si="129"/>
        <v>206.39999999999986</v>
      </c>
      <c r="AV97" s="480">
        <f t="shared" si="130"/>
        <v>0</v>
      </c>
      <c r="AX97" s="477">
        <f t="shared" si="100"/>
        <v>44735</v>
      </c>
      <c r="AY97" s="66">
        <f t="shared" si="100"/>
        <v>-1</v>
      </c>
      <c r="AZ97" s="481">
        <f t="shared" si="131"/>
        <v>93.700000000000273</v>
      </c>
      <c r="BA97" s="480">
        <f t="shared" si="132"/>
        <v>0</v>
      </c>
      <c r="BB97" s="480">
        <f t="shared" si="133"/>
        <v>93.700000000000273</v>
      </c>
      <c r="BD97" s="477">
        <f>skemA3!B31</f>
        <v>44735</v>
      </c>
      <c r="BE97" s="66">
        <f t="shared" si="134"/>
        <v>-1</v>
      </c>
      <c r="BF97" s="481">
        <f t="shared" si="135"/>
        <v>206.39999999999986</v>
      </c>
      <c r="BG97" s="480">
        <f t="shared" si="136"/>
        <v>0</v>
      </c>
      <c r="BH97" s="480">
        <f t="shared" si="137"/>
        <v>206.39999999999986</v>
      </c>
      <c r="BJ97" s="477">
        <f>skemA3!B31</f>
        <v>44735</v>
      </c>
      <c r="BK97" s="66">
        <f t="shared" si="138"/>
        <v>-1</v>
      </c>
      <c r="BL97" s="481">
        <f t="shared" si="139"/>
        <v>93.700000000000273</v>
      </c>
      <c r="BM97" s="480">
        <f t="shared" si="140"/>
        <v>0</v>
      </c>
      <c r="BN97" s="480">
        <f t="shared" si="141"/>
        <v>93.700000000000273</v>
      </c>
      <c r="BP97" s="477">
        <f>skemA3!B64</f>
        <v>44730</v>
      </c>
      <c r="BQ97" s="66">
        <f t="shared" si="142"/>
        <v>-1</v>
      </c>
      <c r="BR97" s="481">
        <f t="shared" si="143"/>
        <v>206.39999999999986</v>
      </c>
      <c r="BS97" s="480">
        <f t="shared" si="144"/>
        <v>0</v>
      </c>
      <c r="BT97" s="480">
        <f t="shared" si="145"/>
        <v>206.39999999999986</v>
      </c>
      <c r="BU97" s="486"/>
      <c r="BV97" s="477">
        <f>skemA3!B31</f>
        <v>44735</v>
      </c>
      <c r="BW97" s="66">
        <f t="shared" si="146"/>
        <v>1</v>
      </c>
      <c r="BX97" s="481">
        <f t="shared" si="147"/>
        <v>93.700000000000273</v>
      </c>
      <c r="BY97" s="480">
        <f t="shared" si="148"/>
        <v>93.700000000000273</v>
      </c>
      <c r="BZ97" s="480">
        <f t="shared" si="149"/>
        <v>0</v>
      </c>
      <c r="CB97" s="477">
        <f>skemA3!B31</f>
        <v>44735</v>
      </c>
      <c r="CC97" s="66">
        <f t="shared" si="150"/>
        <v>1</v>
      </c>
      <c r="CD97" s="481">
        <f t="shared" si="151"/>
        <v>206.39999999999986</v>
      </c>
      <c r="CE97" s="480">
        <f t="shared" si="152"/>
        <v>206.39999999999986</v>
      </c>
      <c r="CF97" s="480">
        <f t="shared" si="153"/>
        <v>0</v>
      </c>
    </row>
    <row r="98" spans="2:84">
      <c r="B98" s="477">
        <f>skemA3!B32</f>
        <v>44736</v>
      </c>
      <c r="C98" s="66">
        <f t="shared" si="101"/>
        <v>1</v>
      </c>
      <c r="D98" s="481">
        <f>skemA3!H70</f>
        <v>112.99999999999977</v>
      </c>
      <c r="E98" s="480">
        <f t="shared" si="102"/>
        <v>112.99999999999977</v>
      </c>
      <c r="F98" s="480">
        <f t="shared" si="103"/>
        <v>0</v>
      </c>
      <c r="H98" s="477">
        <f>skemA3!B32</f>
        <v>44736</v>
      </c>
      <c r="I98" s="66">
        <f t="shared" si="104"/>
        <v>1</v>
      </c>
      <c r="J98" s="481">
        <f>skemA3!I70</f>
        <v>196.7999999999995</v>
      </c>
      <c r="K98" s="480">
        <f t="shared" si="105"/>
        <v>196.7999999999995</v>
      </c>
      <c r="L98" s="480">
        <f t="shared" si="106"/>
        <v>0</v>
      </c>
      <c r="N98" s="477">
        <f>skemA3!B32</f>
        <v>44736</v>
      </c>
      <c r="O98" s="66">
        <f t="shared" si="107"/>
        <v>1</v>
      </c>
      <c r="P98" s="481">
        <f t="shared" si="108"/>
        <v>112.99999999999977</v>
      </c>
      <c r="Q98" s="480">
        <f t="shared" si="109"/>
        <v>112.99999999999977</v>
      </c>
      <c r="R98" s="480">
        <f t="shared" si="110"/>
        <v>0</v>
      </c>
      <c r="T98" s="477">
        <f>skemA3!B32</f>
        <v>44736</v>
      </c>
      <c r="U98" s="66">
        <f t="shared" si="111"/>
        <v>1</v>
      </c>
      <c r="V98" s="481">
        <f t="shared" si="112"/>
        <v>196.7999999999995</v>
      </c>
      <c r="W98" s="480">
        <f t="shared" si="113"/>
        <v>196.7999999999995</v>
      </c>
      <c r="X98" s="480">
        <f t="shared" si="114"/>
        <v>0</v>
      </c>
      <c r="Y98" s="483"/>
      <c r="Z98" s="477">
        <f>skemA3!B32</f>
        <v>44736</v>
      </c>
      <c r="AA98" s="66">
        <f t="shared" si="115"/>
        <v>1</v>
      </c>
      <c r="AB98" s="481">
        <f t="shared" si="116"/>
        <v>112.99999999999977</v>
      </c>
      <c r="AC98" s="480">
        <f t="shared" si="117"/>
        <v>112.99999999999977</v>
      </c>
      <c r="AD98" s="480">
        <f t="shared" si="118"/>
        <v>0</v>
      </c>
      <c r="AE98" s="483"/>
      <c r="AF98" s="477">
        <f>skemA3!B32</f>
        <v>44736</v>
      </c>
      <c r="AG98" s="66">
        <f t="shared" si="119"/>
        <v>1</v>
      </c>
      <c r="AH98" s="481">
        <f t="shared" si="120"/>
        <v>196.7999999999995</v>
      </c>
      <c r="AI98" s="480">
        <f t="shared" si="121"/>
        <v>196.7999999999995</v>
      </c>
      <c r="AJ98" s="480">
        <f t="shared" si="122"/>
        <v>0</v>
      </c>
      <c r="AL98" s="477">
        <f>skemA3!B32</f>
        <v>44736</v>
      </c>
      <c r="AM98" s="66">
        <f t="shared" si="123"/>
        <v>-1</v>
      </c>
      <c r="AN98" s="481">
        <f t="shared" si="124"/>
        <v>112.99999999999977</v>
      </c>
      <c r="AO98" s="480">
        <f t="shared" si="125"/>
        <v>0</v>
      </c>
      <c r="AP98" s="480">
        <f t="shared" si="126"/>
        <v>112.99999999999977</v>
      </c>
      <c r="AR98" s="477">
        <f>skemA3!B32</f>
        <v>44736</v>
      </c>
      <c r="AS98" s="66">
        <f t="shared" si="127"/>
        <v>-1</v>
      </c>
      <c r="AT98" s="481">
        <f t="shared" si="128"/>
        <v>196.7999999999995</v>
      </c>
      <c r="AU98" s="480">
        <f t="shared" si="129"/>
        <v>0</v>
      </c>
      <c r="AV98" s="480">
        <f t="shared" si="130"/>
        <v>196.7999999999995</v>
      </c>
      <c r="AX98" s="477">
        <f t="shared" si="100"/>
        <v>44736</v>
      </c>
      <c r="AY98" s="66">
        <f t="shared" si="100"/>
        <v>-1</v>
      </c>
      <c r="AZ98" s="481">
        <f t="shared" si="131"/>
        <v>112.99999999999977</v>
      </c>
      <c r="BA98" s="480">
        <f t="shared" si="132"/>
        <v>0</v>
      </c>
      <c r="BB98" s="480">
        <f t="shared" si="133"/>
        <v>112.99999999999977</v>
      </c>
      <c r="BD98" s="477">
        <f>skemA3!B32</f>
        <v>44736</v>
      </c>
      <c r="BE98" s="66">
        <f t="shared" si="134"/>
        <v>-1</v>
      </c>
      <c r="BF98" s="481">
        <f t="shared" si="135"/>
        <v>196.7999999999995</v>
      </c>
      <c r="BG98" s="480">
        <f t="shared" si="136"/>
        <v>0</v>
      </c>
      <c r="BH98" s="480">
        <f t="shared" si="137"/>
        <v>196.7999999999995</v>
      </c>
      <c r="BJ98" s="477">
        <f>skemA3!B32</f>
        <v>44736</v>
      </c>
      <c r="BK98" s="66">
        <f t="shared" si="138"/>
        <v>1</v>
      </c>
      <c r="BL98" s="481">
        <f t="shared" si="139"/>
        <v>112.99999999999977</v>
      </c>
      <c r="BM98" s="480">
        <f t="shared" si="140"/>
        <v>112.99999999999977</v>
      </c>
      <c r="BN98" s="480">
        <f t="shared" si="141"/>
        <v>0</v>
      </c>
      <c r="BP98" s="477">
        <f>skemA3!B65</f>
        <v>44731</v>
      </c>
      <c r="BQ98" s="66">
        <f t="shared" si="142"/>
        <v>1</v>
      </c>
      <c r="BR98" s="481">
        <f t="shared" si="143"/>
        <v>196.7999999999995</v>
      </c>
      <c r="BS98" s="480">
        <f t="shared" si="144"/>
        <v>196.7999999999995</v>
      </c>
      <c r="BT98" s="480">
        <f t="shared" si="145"/>
        <v>0</v>
      </c>
      <c r="BU98" s="486"/>
      <c r="BV98" s="477">
        <f>skemA3!B32</f>
        <v>44736</v>
      </c>
      <c r="BW98" s="66">
        <f t="shared" si="146"/>
        <v>1</v>
      </c>
      <c r="BX98" s="481">
        <f t="shared" si="147"/>
        <v>112.99999999999977</v>
      </c>
      <c r="BY98" s="480">
        <f t="shared" si="148"/>
        <v>112.99999999999977</v>
      </c>
      <c r="BZ98" s="480">
        <f t="shared" si="149"/>
        <v>0</v>
      </c>
      <c r="CB98" s="477">
        <f>skemA3!B32</f>
        <v>44736</v>
      </c>
      <c r="CC98" s="66">
        <f t="shared" si="150"/>
        <v>1</v>
      </c>
      <c r="CD98" s="481">
        <f t="shared" si="151"/>
        <v>196.7999999999995</v>
      </c>
      <c r="CE98" s="480">
        <f t="shared" si="152"/>
        <v>196.7999999999995</v>
      </c>
      <c r="CF98" s="480">
        <f t="shared" si="153"/>
        <v>0</v>
      </c>
    </row>
    <row r="99" spans="2:84">
      <c r="B99" s="477">
        <f>skemA3!B33</f>
        <v>44737</v>
      </c>
      <c r="C99" s="66">
        <f t="shared" si="101"/>
        <v>1</v>
      </c>
      <c r="D99" s="481">
        <f>skemA3!H71</f>
        <v>94.299999999999955</v>
      </c>
      <c r="E99" s="480">
        <f t="shared" si="102"/>
        <v>94.299999999999955</v>
      </c>
      <c r="F99" s="480">
        <f t="shared" si="103"/>
        <v>0</v>
      </c>
      <c r="H99" s="477">
        <f>skemA3!B33</f>
        <v>44737</v>
      </c>
      <c r="I99" s="66">
        <f t="shared" si="104"/>
        <v>1</v>
      </c>
      <c r="J99" s="481">
        <f>skemA3!I71</f>
        <v>246.30000000000018</v>
      </c>
      <c r="K99" s="480">
        <f t="shared" si="105"/>
        <v>246.30000000000018</v>
      </c>
      <c r="L99" s="480">
        <f t="shared" si="106"/>
        <v>0</v>
      </c>
      <c r="N99" s="477">
        <f>skemA3!B33</f>
        <v>44737</v>
      </c>
      <c r="O99" s="66">
        <f t="shared" si="107"/>
        <v>1</v>
      </c>
      <c r="P99" s="481">
        <f t="shared" si="108"/>
        <v>94.299999999999955</v>
      </c>
      <c r="Q99" s="480">
        <f t="shared" si="109"/>
        <v>94.299999999999955</v>
      </c>
      <c r="R99" s="480">
        <f t="shared" si="110"/>
        <v>0</v>
      </c>
      <c r="T99" s="477">
        <f>skemA3!B33</f>
        <v>44737</v>
      </c>
      <c r="U99" s="66">
        <f t="shared" si="111"/>
        <v>1</v>
      </c>
      <c r="V99" s="481">
        <f t="shared" si="112"/>
        <v>246.30000000000018</v>
      </c>
      <c r="W99" s="480">
        <f t="shared" si="113"/>
        <v>246.30000000000018</v>
      </c>
      <c r="X99" s="480">
        <f t="shared" si="114"/>
        <v>0</v>
      </c>
      <c r="Y99" s="483"/>
      <c r="Z99" s="477">
        <f>skemA3!B33</f>
        <v>44737</v>
      </c>
      <c r="AA99" s="66">
        <f t="shared" si="115"/>
        <v>0</v>
      </c>
      <c r="AB99" s="481">
        <f t="shared" si="116"/>
        <v>94.299999999999955</v>
      </c>
      <c r="AC99" s="480">
        <f t="shared" si="117"/>
        <v>0</v>
      </c>
      <c r="AD99" s="480">
        <f t="shared" si="118"/>
        <v>0</v>
      </c>
      <c r="AE99" s="483"/>
      <c r="AF99" s="477">
        <f>skemA3!B33</f>
        <v>44737</v>
      </c>
      <c r="AG99" s="66">
        <f t="shared" si="119"/>
        <v>0</v>
      </c>
      <c r="AH99" s="481">
        <f t="shared" si="120"/>
        <v>246.30000000000018</v>
      </c>
      <c r="AI99" s="480">
        <f t="shared" si="121"/>
        <v>0</v>
      </c>
      <c r="AJ99" s="480">
        <f t="shared" si="122"/>
        <v>0</v>
      </c>
      <c r="AL99" s="477">
        <f>skemA3!B33</f>
        <v>44737</v>
      </c>
      <c r="AM99" s="66">
        <f t="shared" si="123"/>
        <v>-1</v>
      </c>
      <c r="AN99" s="481">
        <f t="shared" si="124"/>
        <v>94.299999999999955</v>
      </c>
      <c r="AO99" s="480">
        <f t="shared" si="125"/>
        <v>0</v>
      </c>
      <c r="AP99" s="480">
        <f t="shared" si="126"/>
        <v>94.299999999999955</v>
      </c>
      <c r="AR99" s="477">
        <f>skemA3!B33</f>
        <v>44737</v>
      </c>
      <c r="AS99" s="66">
        <f t="shared" si="127"/>
        <v>-1</v>
      </c>
      <c r="AT99" s="481">
        <f t="shared" si="128"/>
        <v>246.30000000000018</v>
      </c>
      <c r="AU99" s="480">
        <f t="shared" si="129"/>
        <v>0</v>
      </c>
      <c r="AV99" s="480">
        <f t="shared" si="130"/>
        <v>246.30000000000018</v>
      </c>
      <c r="AX99" s="477">
        <f t="shared" si="100"/>
        <v>44737</v>
      </c>
      <c r="AY99" s="66">
        <f t="shared" si="100"/>
        <v>-1</v>
      </c>
      <c r="AZ99" s="481">
        <f t="shared" si="131"/>
        <v>94.299999999999955</v>
      </c>
      <c r="BA99" s="480">
        <f t="shared" si="132"/>
        <v>0</v>
      </c>
      <c r="BB99" s="480">
        <f t="shared" si="133"/>
        <v>94.299999999999955</v>
      </c>
      <c r="BD99" s="477">
        <f>skemA3!B33</f>
        <v>44737</v>
      </c>
      <c r="BE99" s="66">
        <f t="shared" si="134"/>
        <v>-1</v>
      </c>
      <c r="BF99" s="481">
        <f t="shared" si="135"/>
        <v>246.30000000000018</v>
      </c>
      <c r="BG99" s="480">
        <f t="shared" si="136"/>
        <v>0</v>
      </c>
      <c r="BH99" s="480">
        <f t="shared" si="137"/>
        <v>246.30000000000018</v>
      </c>
      <c r="BJ99" s="477">
        <f>skemA3!B33</f>
        <v>44737</v>
      </c>
      <c r="BK99" s="66">
        <f t="shared" si="138"/>
        <v>1</v>
      </c>
      <c r="BL99" s="481">
        <f t="shared" si="139"/>
        <v>94.299999999999955</v>
      </c>
      <c r="BM99" s="480">
        <f t="shared" si="140"/>
        <v>94.299999999999955</v>
      </c>
      <c r="BN99" s="480">
        <f t="shared" si="141"/>
        <v>0</v>
      </c>
      <c r="BP99" s="477">
        <f>skemA3!B66</f>
        <v>44732</v>
      </c>
      <c r="BQ99" s="66">
        <f t="shared" si="142"/>
        <v>1</v>
      </c>
      <c r="BR99" s="481">
        <f t="shared" si="143"/>
        <v>246.30000000000018</v>
      </c>
      <c r="BS99" s="480">
        <f t="shared" si="144"/>
        <v>246.30000000000018</v>
      </c>
      <c r="BT99" s="480">
        <f t="shared" si="145"/>
        <v>0</v>
      </c>
      <c r="BU99" s="486"/>
      <c r="BV99" s="477">
        <f>skemA3!B33</f>
        <v>44737</v>
      </c>
      <c r="BW99" s="66">
        <f t="shared" si="146"/>
        <v>0</v>
      </c>
      <c r="BX99" s="481">
        <f t="shared" si="147"/>
        <v>94.299999999999955</v>
      </c>
      <c r="BY99" s="480">
        <f t="shared" si="148"/>
        <v>0</v>
      </c>
      <c r="BZ99" s="480">
        <f t="shared" si="149"/>
        <v>0</v>
      </c>
      <c r="CB99" s="477">
        <f>skemA3!B33</f>
        <v>44737</v>
      </c>
      <c r="CC99" s="66">
        <f t="shared" si="150"/>
        <v>0</v>
      </c>
      <c r="CD99" s="481">
        <f t="shared" si="151"/>
        <v>246.30000000000018</v>
      </c>
      <c r="CE99" s="480">
        <f t="shared" si="152"/>
        <v>0</v>
      </c>
      <c r="CF99" s="480">
        <f t="shared" si="153"/>
        <v>0</v>
      </c>
    </row>
    <row r="100" spans="2:84" ht="15">
      <c r="B100" s="83" t="s">
        <v>85</v>
      </c>
      <c r="C100" s="91"/>
      <c r="D100" s="83">
        <f>SUM(D71:D85)</f>
        <v>1391.3000000000013</v>
      </c>
      <c r="E100" s="94">
        <f>SUM(E71:E85)</f>
        <v>1391.3000000000013</v>
      </c>
      <c r="F100" s="95">
        <f>SUM(F71:F85)</f>
        <v>0</v>
      </c>
      <c r="H100" s="83" t="s">
        <v>85</v>
      </c>
      <c r="I100" s="91"/>
      <c r="J100" s="83">
        <f>SUM(J71:J85)</f>
        <v>2894.1500000000005</v>
      </c>
      <c r="K100" s="94">
        <f>SUM(K71:K85)</f>
        <v>2894.1500000000005</v>
      </c>
      <c r="L100" s="95">
        <f>SUM(L71:L85)</f>
        <v>0</v>
      </c>
      <c r="N100" s="83" t="s">
        <v>85</v>
      </c>
      <c r="O100" s="91"/>
      <c r="P100" s="83">
        <f>SUM(P71:P85)</f>
        <v>1391.3000000000013</v>
      </c>
      <c r="Q100" s="94">
        <f>SUM(Q71:Q85)</f>
        <v>683.30000000000041</v>
      </c>
      <c r="R100" s="95">
        <f>SUM(R71:R85)</f>
        <v>708.00000000000091</v>
      </c>
      <c r="T100" s="83" t="s">
        <v>85</v>
      </c>
      <c r="U100" s="91"/>
      <c r="V100" s="83">
        <f>SUM(V71:V85)</f>
        <v>2894.1500000000005</v>
      </c>
      <c r="W100" s="94">
        <f>SUM(W71:W85)</f>
        <v>1672.3000000000009</v>
      </c>
      <c r="X100" s="95">
        <f>SUM(X71:X85)</f>
        <v>1221.8499999999995</v>
      </c>
      <c r="Y100" s="484"/>
      <c r="Z100" s="83" t="s">
        <v>85</v>
      </c>
      <c r="AA100" s="91"/>
      <c r="AB100" s="83">
        <f>SUM(AB71:AB85)</f>
        <v>1391.3000000000013</v>
      </c>
      <c r="AC100" s="94">
        <f>SUM(AC71:AC85)</f>
        <v>594.90000000000032</v>
      </c>
      <c r="AD100" s="95">
        <f>SUM(AD71:AD85)</f>
        <v>514.80000000000064</v>
      </c>
      <c r="AE100" s="484"/>
      <c r="AF100" s="83" t="s">
        <v>85</v>
      </c>
      <c r="AG100" s="91"/>
      <c r="AH100" s="83">
        <f>SUM(AH71:AH85)</f>
        <v>2894.1500000000005</v>
      </c>
      <c r="AI100" s="94">
        <f>SUM(AI71:AI85)</f>
        <v>1121.1999999999998</v>
      </c>
      <c r="AJ100" s="95">
        <f>SUM(AJ71:AJ85)</f>
        <v>1134.4000000000012</v>
      </c>
      <c r="AL100" s="83" t="s">
        <v>85</v>
      </c>
      <c r="AM100" s="91"/>
      <c r="AN100" s="83">
        <f>SUM(AN71:AN85)</f>
        <v>1391.3000000000013</v>
      </c>
      <c r="AO100" s="94">
        <f>SUM(AO71:AO85)</f>
        <v>754.30000000000109</v>
      </c>
      <c r="AP100" s="95">
        <f>SUM(AP71:AP85)</f>
        <v>637.00000000000023</v>
      </c>
      <c r="AR100" s="83" t="s">
        <v>85</v>
      </c>
      <c r="AS100" s="91"/>
      <c r="AT100" s="83">
        <f>SUM(AT71:AT85)</f>
        <v>2894.1500000000005</v>
      </c>
      <c r="AU100" s="94">
        <f>SUM(AU71:AU85)</f>
        <v>1522.8000000000015</v>
      </c>
      <c r="AV100" s="95">
        <f>SUM(AV71:AV85)</f>
        <v>1371.3499999999988</v>
      </c>
      <c r="AX100" s="83" t="s">
        <v>85</v>
      </c>
      <c r="AY100" s="91"/>
      <c r="AZ100" s="83">
        <f>SUM(AZ71:AZ85)</f>
        <v>1391.3000000000013</v>
      </c>
      <c r="BA100" s="94">
        <f>SUM(BA71:BA85)</f>
        <v>766.00000000000045</v>
      </c>
      <c r="BB100" s="95">
        <f>SUM(BB71:BB85)</f>
        <v>516.2000000000005</v>
      </c>
      <c r="BD100" s="83" t="s">
        <v>85</v>
      </c>
      <c r="BE100" s="91"/>
      <c r="BF100" s="83">
        <f>SUM(BF71:BF85)</f>
        <v>2894.1500000000005</v>
      </c>
      <c r="BG100" s="94">
        <f>SUM(BG71:BG85)</f>
        <v>1837.0000000000009</v>
      </c>
      <c r="BH100" s="95">
        <f>SUM(BH71:BH85)</f>
        <v>833.04999999999927</v>
      </c>
      <c r="BJ100" s="83" t="s">
        <v>85</v>
      </c>
      <c r="BK100" s="91"/>
      <c r="BL100" s="83">
        <f>SUM(BL71:BL85)</f>
        <v>1391.3000000000013</v>
      </c>
      <c r="BM100" s="94">
        <f>SUM(BM71:BM85)</f>
        <v>741.20000000000118</v>
      </c>
      <c r="BN100" s="95">
        <f>SUM(BN71:BN85)</f>
        <v>650.10000000000014</v>
      </c>
      <c r="BP100" s="83" t="s">
        <v>85</v>
      </c>
      <c r="BQ100" s="91"/>
      <c r="BR100" s="83">
        <f>SUM(BR71:BR85)</f>
        <v>2894.1500000000005</v>
      </c>
      <c r="BS100" s="94">
        <f>SUM(BS71:BS85)</f>
        <v>1546.5499999999993</v>
      </c>
      <c r="BT100" s="95">
        <f>SUM(BT71:BT85)</f>
        <v>1347.600000000001</v>
      </c>
      <c r="BU100" s="485"/>
      <c r="BV100" s="83" t="s">
        <v>85</v>
      </c>
      <c r="BW100" s="91"/>
      <c r="BX100" s="83">
        <f>SUM(BX71:BX85)</f>
        <v>1391.3000000000013</v>
      </c>
      <c r="BY100" s="94">
        <f>SUM(BY71:BY85)</f>
        <v>579.80000000000086</v>
      </c>
      <c r="BZ100" s="95">
        <f>SUM(BZ71:BZ85)</f>
        <v>529.90000000000009</v>
      </c>
      <c r="CB100" s="83" t="s">
        <v>85</v>
      </c>
      <c r="CC100" s="91"/>
      <c r="CD100" s="83">
        <f>SUM(CD71:CD85)</f>
        <v>2894.1500000000005</v>
      </c>
      <c r="CE100" s="94">
        <f>SUM(CE71:CE85)</f>
        <v>1092.3000000000004</v>
      </c>
      <c r="CF100" s="95">
        <f>SUM(CF71:CF85)</f>
        <v>1163.3000000000006</v>
      </c>
    </row>
  </sheetData>
  <sheetProtection selectLockedCells="1" selectUnlockedCells="1"/>
  <mergeCells count="102">
    <mergeCell ref="CD69:CD70"/>
    <mergeCell ref="CE69:CF69"/>
    <mergeCell ref="BL69:BL70"/>
    <mergeCell ref="BM69:BN69"/>
    <mergeCell ref="BR69:BR70"/>
    <mergeCell ref="BS69:BT69"/>
    <mergeCell ref="BX69:BX70"/>
    <mergeCell ref="BY69:BZ69"/>
    <mergeCell ref="BX36:BX37"/>
    <mergeCell ref="BY36:BZ36"/>
    <mergeCell ref="CD36:CD37"/>
    <mergeCell ref="CE36:CF36"/>
    <mergeCell ref="BR36:BR37"/>
    <mergeCell ref="BS36:BT36"/>
    <mergeCell ref="D69:D70"/>
    <mergeCell ref="E69:F69"/>
    <mergeCell ref="J69:J70"/>
    <mergeCell ref="K69:L69"/>
    <mergeCell ref="P69:P70"/>
    <mergeCell ref="Q69:R69"/>
    <mergeCell ref="V69:V70"/>
    <mergeCell ref="W69:X69"/>
    <mergeCell ref="AB69:AB70"/>
    <mergeCell ref="AC69:AD69"/>
    <mergeCell ref="AH69:AH70"/>
    <mergeCell ref="AI69:AJ69"/>
    <mergeCell ref="AN69:AN70"/>
    <mergeCell ref="AO69:AP69"/>
    <mergeCell ref="AT69:AT70"/>
    <mergeCell ref="AU69:AV69"/>
    <mergeCell ref="AZ69:AZ70"/>
    <mergeCell ref="BA69:BB69"/>
    <mergeCell ref="BF69:BF70"/>
    <mergeCell ref="BG69:BH69"/>
    <mergeCell ref="AU36:AV36"/>
    <mergeCell ref="AZ36:AZ37"/>
    <mergeCell ref="BA36:BB36"/>
    <mergeCell ref="BF36:BF37"/>
    <mergeCell ref="BG36:BH36"/>
    <mergeCell ref="BL36:BL37"/>
    <mergeCell ref="BM36:BN36"/>
    <mergeCell ref="D36:D37"/>
    <mergeCell ref="E36:F36"/>
    <mergeCell ref="J36:J37"/>
    <mergeCell ref="K36:L36"/>
    <mergeCell ref="P36:P37"/>
    <mergeCell ref="Q36:R36"/>
    <mergeCell ref="V36:V37"/>
    <mergeCell ref="W36:X36"/>
    <mergeCell ref="AB36:AB37"/>
    <mergeCell ref="CJ35:CJ37"/>
    <mergeCell ref="CJ38:CJ39"/>
    <mergeCell ref="AB3:AB4"/>
    <mergeCell ref="AC3:AD3"/>
    <mergeCell ref="AH3:AH4"/>
    <mergeCell ref="AI3:AJ3"/>
    <mergeCell ref="AN3:AN4"/>
    <mergeCell ref="AO3:AP3"/>
    <mergeCell ref="AT3:AT4"/>
    <mergeCell ref="AU3:AV3"/>
    <mergeCell ref="BL3:BL4"/>
    <mergeCell ref="BM3:BN3"/>
    <mergeCell ref="BR3:BR4"/>
    <mergeCell ref="BS3:BT3"/>
    <mergeCell ref="BX3:BX4"/>
    <mergeCell ref="BY3:BZ3"/>
    <mergeCell ref="CD3:CD4"/>
    <mergeCell ref="CE3:CF3"/>
    <mergeCell ref="AC36:AD36"/>
    <mergeCell ref="AH36:AH37"/>
    <mergeCell ref="AI36:AJ36"/>
    <mergeCell ref="AN36:AN37"/>
    <mergeCell ref="AO36:AP36"/>
    <mergeCell ref="AT36:AT37"/>
    <mergeCell ref="CO3:CO4"/>
    <mergeCell ref="CJ6:CJ7"/>
    <mergeCell ref="CJ8:CJ10"/>
    <mergeCell ref="E3:F3"/>
    <mergeCell ref="D3:D4"/>
    <mergeCell ref="J3:J4"/>
    <mergeCell ref="K3:L3"/>
    <mergeCell ref="P3:P4"/>
    <mergeCell ref="Q3:R3"/>
    <mergeCell ref="V3:V4"/>
    <mergeCell ref="W3:X3"/>
    <mergeCell ref="AZ3:AZ4"/>
    <mergeCell ref="BA3:BB3"/>
    <mergeCell ref="BF3:BF4"/>
    <mergeCell ref="BG3:BH3"/>
    <mergeCell ref="CJ20:CJ22"/>
    <mergeCell ref="CJ23:CJ24"/>
    <mergeCell ref="CJ25:CJ27"/>
    <mergeCell ref="CJ28:CJ29"/>
    <mergeCell ref="CJ30:CJ32"/>
    <mergeCell ref="CJ33:CJ34"/>
    <mergeCell ref="CJ3:CK4"/>
    <mergeCell ref="CL3:CM3"/>
    <mergeCell ref="CN3:CN4"/>
    <mergeCell ref="CJ11:CJ12"/>
    <mergeCell ref="CJ13:CJ15"/>
    <mergeCell ref="CJ16:CJ17"/>
    <mergeCell ref="CJ18:CJ19"/>
  </mergeCells>
  <phoneticPr fontId="26" type="noConversion"/>
  <printOptions horizontalCentered="1"/>
  <pageMargins left="0.94027777777777777" right="0.74791666666666667" top="1.1402777777777777" bottom="0.98402777777777772" header="0.51180555555555551" footer="0.51180555555555551"/>
  <pageSetup paperSize="9" scale="105" firstPageNumber="0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21"/>
  <sheetViews>
    <sheetView workbookViewId="0">
      <selection activeCell="B1" sqref="B1"/>
    </sheetView>
  </sheetViews>
  <sheetFormatPr defaultColWidth="9.140625" defaultRowHeight="14.25"/>
  <cols>
    <col min="1" max="1" width="2.85546875" style="1" customWidth="1"/>
    <col min="2" max="4" width="4.28515625" style="1" customWidth="1"/>
    <col min="5" max="10" width="8.5703125" style="1" customWidth="1"/>
    <col min="11" max="16384" width="9.140625" style="1"/>
  </cols>
  <sheetData>
    <row r="1" spans="2:10" ht="18.75">
      <c r="B1" s="1" t="s">
        <v>126</v>
      </c>
    </row>
    <row r="3" spans="2:10" ht="18.75">
      <c r="B3" s="695" t="s">
        <v>86</v>
      </c>
      <c r="C3" s="695"/>
      <c r="D3" s="695"/>
      <c r="E3" s="695" t="s">
        <v>102</v>
      </c>
      <c r="F3" s="695"/>
      <c r="G3" s="695"/>
      <c r="H3" s="670" t="s">
        <v>83</v>
      </c>
      <c r="I3" s="695" t="s">
        <v>127</v>
      </c>
      <c r="J3" s="695"/>
    </row>
    <row r="4" spans="2:10">
      <c r="B4" s="63" t="s">
        <v>87</v>
      </c>
      <c r="C4" s="63" t="s">
        <v>88</v>
      </c>
      <c r="D4" s="63" t="s">
        <v>89</v>
      </c>
      <c r="E4" s="63">
        <v>0</v>
      </c>
      <c r="F4" s="63">
        <v>1</v>
      </c>
      <c r="G4" s="63">
        <v>-1</v>
      </c>
      <c r="H4" s="670"/>
      <c r="I4" s="63" t="s">
        <v>76</v>
      </c>
      <c r="J4" s="63" t="s">
        <v>77</v>
      </c>
    </row>
    <row r="5" spans="2:10">
      <c r="B5" s="66">
        <f>skemA3!B43</f>
        <v>44709</v>
      </c>
      <c r="C5" s="66" t="e">
        <f>skemA3!#REF!</f>
        <v>#REF!</v>
      </c>
      <c r="D5" s="66" t="e">
        <f>skemA3!#REF!</f>
        <v>#REF!</v>
      </c>
      <c r="E5" s="66" t="str">
        <f>IF('Tabel 6'!F13=0,'Tabel 6'!F13,"-")</f>
        <v>-</v>
      </c>
      <c r="F5" s="66" t="str">
        <f>IF('Tabel 6'!F13&gt;0,'Tabel 6'!F13,"-")</f>
        <v>-</v>
      </c>
      <c r="G5" s="66">
        <f>IF('Tabel 6'!F13&lt;0,'Tabel 6'!F13,"-")</f>
        <v>-1</v>
      </c>
      <c r="H5" s="66">
        <f>skemA3!H43</f>
        <v>70.199999999999818</v>
      </c>
      <c r="I5" s="66" t="str">
        <f>IF(F5=1,ABS(F5*H5),"-")</f>
        <v>-</v>
      </c>
      <c r="J5" s="66">
        <f>IF(G5=-1,ABS(G5*H5),"-")</f>
        <v>70.199999999999818</v>
      </c>
    </row>
    <row r="6" spans="2:10">
      <c r="B6" s="61">
        <f>skemA3!B44</f>
        <v>44710</v>
      </c>
      <c r="C6" s="61" t="e">
        <f>skemA3!#REF!</f>
        <v>#REF!</v>
      </c>
      <c r="D6" s="61" t="e">
        <f>skemA3!#REF!</f>
        <v>#REF!</v>
      </c>
      <c r="E6" s="61" t="str">
        <f>IF('Tabel 6'!F14=0,'Tabel 6'!F14,"-")</f>
        <v>-</v>
      </c>
      <c r="F6" s="61" t="str">
        <f>IF('Tabel 6'!F14&gt;0,'Tabel 6'!F14,"-")</f>
        <v>-</v>
      </c>
      <c r="G6" s="61">
        <f>IF('Tabel 6'!F14&lt;0,'Tabel 6'!F14,"-")</f>
        <v>-1</v>
      </c>
      <c r="H6" s="61">
        <f>skemA3!H44</f>
        <v>65.400000000000091</v>
      </c>
      <c r="I6" s="61" t="str">
        <f t="shared" ref="I6:I19" si="0">IF(F6=1,ABS(F6*H6),"-")</f>
        <v>-</v>
      </c>
      <c r="J6" s="61">
        <f t="shared" ref="J6:J19" si="1">IF(G6=-1,ABS(G6*H6),"-")</f>
        <v>65.400000000000091</v>
      </c>
    </row>
    <row r="7" spans="2:10">
      <c r="B7" s="61">
        <f>skemA3!B45</f>
        <v>44711</v>
      </c>
      <c r="C7" s="61" t="e">
        <f>skemA3!#REF!</f>
        <v>#REF!</v>
      </c>
      <c r="D7" s="61" t="e">
        <f>skemA3!#REF!</f>
        <v>#REF!</v>
      </c>
      <c r="E7" s="61" t="str">
        <f>IF('Tabel 6'!F15=0,'Tabel 6'!F15,"-")</f>
        <v>-</v>
      </c>
      <c r="F7" s="61" t="str">
        <f>IF('Tabel 6'!F15&gt;0,'Tabel 6'!F15,"-")</f>
        <v>-</v>
      </c>
      <c r="G7" s="61">
        <f>IF('Tabel 6'!F15&lt;0,'Tabel 6'!F15,"-")</f>
        <v>-1</v>
      </c>
      <c r="H7" s="61">
        <f>skemA3!H45</f>
        <v>65.600000000000136</v>
      </c>
      <c r="I7" s="61" t="str">
        <f t="shared" si="0"/>
        <v>-</v>
      </c>
      <c r="J7" s="61">
        <f t="shared" si="1"/>
        <v>65.600000000000136</v>
      </c>
    </row>
    <row r="8" spans="2:10">
      <c r="B8" s="61">
        <f>skemA3!B46</f>
        <v>44712</v>
      </c>
      <c r="C8" s="61" t="e">
        <f>skemA3!#REF!</f>
        <v>#REF!</v>
      </c>
      <c r="D8" s="61" t="e">
        <f>skemA3!#REF!</f>
        <v>#REF!</v>
      </c>
      <c r="E8" s="61" t="str">
        <f>IF('Tabel 6'!F16=0,'Tabel 6'!F16,"-")</f>
        <v>-</v>
      </c>
      <c r="F8" s="61" t="str">
        <f>IF('Tabel 6'!F16&gt;0,'Tabel 6'!F16,"-")</f>
        <v>-</v>
      </c>
      <c r="G8" s="61">
        <f>IF('Tabel 6'!F16&lt;0,'Tabel 6'!F16,"-")</f>
        <v>-1</v>
      </c>
      <c r="H8" s="61">
        <f>skemA3!H46</f>
        <v>88.499999999999773</v>
      </c>
      <c r="I8" s="61" t="str">
        <f t="shared" si="0"/>
        <v>-</v>
      </c>
      <c r="J8" s="61">
        <f t="shared" si="1"/>
        <v>88.499999999999773</v>
      </c>
    </row>
    <row r="9" spans="2:10">
      <c r="B9" s="61">
        <f>skemA3!B47</f>
        <v>44713</v>
      </c>
      <c r="C9" s="61" t="e">
        <f>skemA3!#REF!</f>
        <v>#REF!</v>
      </c>
      <c r="D9" s="61" t="e">
        <f>skemA3!#REF!</f>
        <v>#REF!</v>
      </c>
      <c r="E9" s="61" t="str">
        <f>IF('Tabel 6'!F17=0,'Tabel 6'!F17,"-")</f>
        <v>-</v>
      </c>
      <c r="F9" s="61">
        <f>IF('Tabel 6'!F17&gt;0,'Tabel 6'!F17,"-")</f>
        <v>1</v>
      </c>
      <c r="G9" s="61" t="str">
        <f>IF('Tabel 6'!F17&lt;0,'Tabel 6'!F17,"-")</f>
        <v>-</v>
      </c>
      <c r="H9" s="61">
        <f>skemA3!H47</f>
        <v>92.900000000000318</v>
      </c>
      <c r="I9" s="61">
        <f t="shared" si="0"/>
        <v>92.900000000000318</v>
      </c>
      <c r="J9" s="61" t="str">
        <f t="shared" si="1"/>
        <v>-</v>
      </c>
    </row>
    <row r="10" spans="2:10">
      <c r="B10" s="61">
        <f>skemA3!B48</f>
        <v>44714</v>
      </c>
      <c r="C10" s="61" t="e">
        <f>skemA3!#REF!</f>
        <v>#REF!</v>
      </c>
      <c r="D10" s="61" t="e">
        <f>skemA3!#REF!</f>
        <v>#REF!</v>
      </c>
      <c r="E10" s="61" t="str">
        <f>IF('Tabel 6'!F18=0,'Tabel 6'!F18,"-")</f>
        <v>-</v>
      </c>
      <c r="F10" s="61">
        <f>IF('Tabel 6'!F18&gt;0,'Tabel 6'!F18,"-")</f>
        <v>1</v>
      </c>
      <c r="G10" s="61" t="str">
        <f>IF('Tabel 6'!F18&lt;0,'Tabel 6'!F18,"-")</f>
        <v>-</v>
      </c>
      <c r="H10" s="61">
        <f>skemA3!H48</f>
        <v>103.20000000000027</v>
      </c>
      <c r="I10" s="61">
        <f t="shared" si="0"/>
        <v>103.20000000000027</v>
      </c>
      <c r="J10" s="61" t="str">
        <f t="shared" si="1"/>
        <v>-</v>
      </c>
    </row>
    <row r="11" spans="2:10">
      <c r="B11" s="61">
        <f>skemA3!B49</f>
        <v>44715</v>
      </c>
      <c r="C11" s="61" t="e">
        <f>skemA3!#REF!</f>
        <v>#REF!</v>
      </c>
      <c r="D11" s="61" t="e">
        <f>skemA3!#REF!</f>
        <v>#REF!</v>
      </c>
      <c r="E11" s="61" t="str">
        <f>IF('Tabel 6'!F19=0,'Tabel 6'!F19,"-")</f>
        <v>-</v>
      </c>
      <c r="F11" s="61">
        <f>IF('Tabel 6'!F19&gt;0,'Tabel 6'!F19,"-")</f>
        <v>1</v>
      </c>
      <c r="G11" s="61" t="str">
        <f>IF('Tabel 6'!F19&lt;0,'Tabel 6'!F19,"-")</f>
        <v>-</v>
      </c>
      <c r="H11" s="61">
        <f>skemA3!H49</f>
        <v>99.200000000000045</v>
      </c>
      <c r="I11" s="61">
        <f t="shared" si="0"/>
        <v>99.200000000000045</v>
      </c>
      <c r="J11" s="61" t="str">
        <f t="shared" si="1"/>
        <v>-</v>
      </c>
    </row>
    <row r="12" spans="2:10">
      <c r="B12" s="61">
        <f>skemA3!B50</f>
        <v>44716</v>
      </c>
      <c r="C12" s="61" t="e">
        <f>skemA3!#REF!</f>
        <v>#REF!</v>
      </c>
      <c r="D12" s="61" t="e">
        <f>skemA3!#REF!</f>
        <v>#REF!</v>
      </c>
      <c r="E12" s="61" t="str">
        <f>IF('Tabel 6'!F20=0,'Tabel 6'!F20,"-")</f>
        <v>-</v>
      </c>
      <c r="F12" s="61">
        <f>IF('Tabel 6'!F20&gt;0,'Tabel 6'!F20,"-")</f>
        <v>1</v>
      </c>
      <c r="G12" s="61" t="str">
        <f>IF('Tabel 6'!F20&lt;0,'Tabel 6'!F20,"-")</f>
        <v>-</v>
      </c>
      <c r="H12" s="61">
        <f>skemA3!H50</f>
        <v>102.30000000000018</v>
      </c>
      <c r="I12" s="61">
        <f t="shared" si="0"/>
        <v>102.30000000000018</v>
      </c>
      <c r="J12" s="61" t="str">
        <f t="shared" si="1"/>
        <v>-</v>
      </c>
    </row>
    <row r="13" spans="2:10">
      <c r="B13" s="61">
        <f>skemA3!B51</f>
        <v>44717</v>
      </c>
      <c r="C13" s="61" t="e">
        <f>skemA3!#REF!</f>
        <v>#REF!</v>
      </c>
      <c r="D13" s="61" t="e">
        <f>skemA3!#REF!</f>
        <v>#REF!</v>
      </c>
      <c r="E13" s="61" t="str">
        <f>IF('Tabel 6'!F21=0,'Tabel 6'!F21,"-")</f>
        <v>-</v>
      </c>
      <c r="F13" s="61">
        <f>IF('Tabel 6'!F21&gt;0,'Tabel 6'!F21,"-")</f>
        <v>1</v>
      </c>
      <c r="G13" s="61" t="str">
        <f>IF('Tabel 6'!F21&lt;0,'Tabel 6'!F21,"-")</f>
        <v>-</v>
      </c>
      <c r="H13" s="61">
        <f>skemA3!H51</f>
        <v>101.50000000000023</v>
      </c>
      <c r="I13" s="61">
        <f t="shared" si="0"/>
        <v>101.50000000000023</v>
      </c>
      <c r="J13" s="61" t="str">
        <f t="shared" si="1"/>
        <v>-</v>
      </c>
    </row>
    <row r="14" spans="2:10">
      <c r="B14" s="61">
        <f>skemA3!B52</f>
        <v>44718</v>
      </c>
      <c r="C14" s="61" t="e">
        <f>skemA3!#REF!</f>
        <v>#REF!</v>
      </c>
      <c r="D14" s="61" t="e">
        <f>skemA3!#REF!</f>
        <v>#REF!</v>
      </c>
      <c r="E14" s="61" t="str">
        <f>IF('Tabel 6'!F22=0,'Tabel 6'!F22,"-")</f>
        <v>-</v>
      </c>
      <c r="F14" s="61">
        <f>IF('Tabel 6'!F22&gt;0,'Tabel 6'!F22,"-")</f>
        <v>1</v>
      </c>
      <c r="G14" s="61" t="str">
        <f>IF('Tabel 6'!F22&lt;0,'Tabel 6'!F22,"-")</f>
        <v>-</v>
      </c>
      <c r="H14" s="61">
        <f>skemA3!H52</f>
        <v>109.99999999999977</v>
      </c>
      <c r="I14" s="61">
        <f t="shared" si="0"/>
        <v>109.99999999999977</v>
      </c>
      <c r="J14" s="61" t="str">
        <f t="shared" si="1"/>
        <v>-</v>
      </c>
    </row>
    <row r="15" spans="2:10">
      <c r="B15" s="61">
        <f>skemA3!B53</f>
        <v>44719</v>
      </c>
      <c r="C15" s="61" t="e">
        <f>skemA3!#REF!</f>
        <v>#REF!</v>
      </c>
      <c r="D15" s="61" t="e">
        <f>skemA3!#REF!</f>
        <v>#REF!</v>
      </c>
      <c r="E15" s="61" t="str">
        <f>IF('Tabel 6'!F23=0,'Tabel 6'!F23,"-")</f>
        <v>-</v>
      </c>
      <c r="F15" s="61">
        <f>IF('Tabel 6'!F23&gt;0,'Tabel 6'!F23,"-")</f>
        <v>1</v>
      </c>
      <c r="G15" s="61" t="str">
        <f>IF('Tabel 6'!F23&lt;0,'Tabel 6'!F23,"-")</f>
        <v>-</v>
      </c>
      <c r="H15" s="61">
        <f>skemA3!H53</f>
        <v>98.900000000000091</v>
      </c>
      <c r="I15" s="61">
        <f t="shared" si="0"/>
        <v>98.900000000000091</v>
      </c>
      <c r="J15" s="61" t="str">
        <f t="shared" si="1"/>
        <v>-</v>
      </c>
    </row>
    <row r="16" spans="2:10">
      <c r="B16" s="61">
        <f>skemA3!B54</f>
        <v>44720</v>
      </c>
      <c r="C16" s="61" t="e">
        <f>skemA3!#REF!</f>
        <v>#REF!</v>
      </c>
      <c r="D16" s="61" t="e">
        <f>skemA3!#REF!</f>
        <v>#REF!</v>
      </c>
      <c r="E16" s="61" t="str">
        <f>IF('Tabel 6'!F24=0,'Tabel 6'!F24,"-")</f>
        <v>-</v>
      </c>
      <c r="F16" s="61" t="str">
        <f>IF('Tabel 6'!F24&gt;0,'Tabel 6'!F24,"-")</f>
        <v>-</v>
      </c>
      <c r="G16" s="61">
        <f>IF('Tabel 6'!F24&lt;0,'Tabel 6'!F24,"-")</f>
        <v>-1</v>
      </c>
      <c r="H16" s="61">
        <f>skemA3!H54</f>
        <v>88.700000000000045</v>
      </c>
      <c r="I16" s="61" t="str">
        <f t="shared" si="0"/>
        <v>-</v>
      </c>
      <c r="J16" s="61">
        <f t="shared" si="1"/>
        <v>88.700000000000045</v>
      </c>
    </row>
    <row r="17" spans="2:10">
      <c r="B17" s="61">
        <f>skemA3!B55</f>
        <v>44721</v>
      </c>
      <c r="C17" s="61" t="e">
        <f>skemA3!#REF!</f>
        <v>#REF!</v>
      </c>
      <c r="D17" s="61" t="e">
        <f>skemA3!#REF!</f>
        <v>#REF!</v>
      </c>
      <c r="E17" s="61" t="str">
        <f>IF('Tabel 6'!F25=0,'Tabel 6'!F25,"-")</f>
        <v>-</v>
      </c>
      <c r="F17" s="61" t="str">
        <f>IF('Tabel 6'!F25&gt;0,'Tabel 6'!F25,"-")</f>
        <v>-</v>
      </c>
      <c r="G17" s="61">
        <f>IF('Tabel 6'!F25&lt;0,'Tabel 6'!F25,"-")</f>
        <v>-1</v>
      </c>
      <c r="H17" s="61">
        <f>skemA3!H55</f>
        <v>105.5</v>
      </c>
      <c r="I17" s="61" t="str">
        <f t="shared" si="0"/>
        <v>-</v>
      </c>
      <c r="J17" s="61">
        <f t="shared" si="1"/>
        <v>105.5</v>
      </c>
    </row>
    <row r="18" spans="2:10">
      <c r="B18" s="61">
        <f>skemA3!B56</f>
        <v>44722</v>
      </c>
      <c r="C18" s="61" t="e">
        <f>skemA3!#REF!</f>
        <v>#REF!</v>
      </c>
      <c r="D18" s="61" t="e">
        <f>skemA3!#REF!</f>
        <v>#REF!</v>
      </c>
      <c r="E18" s="61" t="str">
        <f>IF('Tabel 6'!F26=0,'Tabel 6'!F26,"-")</f>
        <v>-</v>
      </c>
      <c r="F18" s="61" t="str">
        <f>IF('Tabel 6'!F26&gt;0,'Tabel 6'!F26,"-")</f>
        <v>-</v>
      </c>
      <c r="G18" s="61">
        <f>IF('Tabel 6'!F26&lt;0,'Tabel 6'!F26,"-")</f>
        <v>-1</v>
      </c>
      <c r="H18" s="61">
        <f>skemA3!H56</f>
        <v>90.300000000000182</v>
      </c>
      <c r="I18" s="61" t="str">
        <f t="shared" si="0"/>
        <v>-</v>
      </c>
      <c r="J18" s="61">
        <f t="shared" si="1"/>
        <v>90.300000000000182</v>
      </c>
    </row>
    <row r="19" spans="2:10">
      <c r="B19" s="62">
        <f>skemA3!B57</f>
        <v>44723</v>
      </c>
      <c r="C19" s="62" t="e">
        <f>skemA3!#REF!</f>
        <v>#REF!</v>
      </c>
      <c r="D19" s="62" t="e">
        <f>skemA3!#REF!</f>
        <v>#REF!</v>
      </c>
      <c r="E19" s="62" t="str">
        <f>IF('Tabel 6'!F27=0,'Tabel 6'!F27,"-")</f>
        <v>-</v>
      </c>
      <c r="F19" s="62" t="str">
        <f>IF('Tabel 6'!F27&gt;0,'Tabel 6'!F27,"-")</f>
        <v>-</v>
      </c>
      <c r="G19" s="62">
        <f>IF('Tabel 6'!F27&lt;0,'Tabel 6'!F27,"-")</f>
        <v>-1</v>
      </c>
      <c r="H19" s="62">
        <f>skemA3!H57</f>
        <v>109.10000000000036</v>
      </c>
      <c r="I19" s="62" t="str">
        <f t="shared" si="0"/>
        <v>-</v>
      </c>
      <c r="J19" s="62">
        <f t="shared" si="1"/>
        <v>109.10000000000036</v>
      </c>
    </row>
    <row r="20" spans="2:10" ht="15">
      <c r="B20" s="670" t="s">
        <v>85</v>
      </c>
      <c r="C20" s="670"/>
      <c r="D20" s="670"/>
      <c r="E20" s="91"/>
      <c r="F20" s="92"/>
      <c r="G20" s="93"/>
      <c r="H20" s="83">
        <f>SUM(H5:H19)</f>
        <v>1391.3000000000013</v>
      </c>
      <c r="I20" s="94">
        <f>SUM(I5:I19)</f>
        <v>708.00000000000091</v>
      </c>
      <c r="J20" s="95">
        <f>SUM(J5:J19)</f>
        <v>683.30000000000041</v>
      </c>
    </row>
    <row r="21" spans="2:10">
      <c r="B21" s="1" t="s">
        <v>104</v>
      </c>
    </row>
  </sheetData>
  <sheetProtection selectLockedCells="1" selectUnlockedCells="1"/>
  <mergeCells count="5">
    <mergeCell ref="I3:J3"/>
    <mergeCell ref="B20:D20"/>
    <mergeCell ref="B3:D3"/>
    <mergeCell ref="E3:G3"/>
    <mergeCell ref="H3:H4"/>
  </mergeCells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21"/>
  <sheetViews>
    <sheetView workbookViewId="0">
      <selection activeCell="B1" sqref="B1"/>
    </sheetView>
  </sheetViews>
  <sheetFormatPr defaultColWidth="9.140625" defaultRowHeight="14.25"/>
  <cols>
    <col min="1" max="1" width="2.85546875" style="1" customWidth="1"/>
    <col min="2" max="4" width="4.28515625" style="1" customWidth="1"/>
    <col min="5" max="10" width="8.5703125" style="1" customWidth="1"/>
    <col min="11" max="16384" width="9.140625" style="1"/>
  </cols>
  <sheetData>
    <row r="1" spans="2:10" ht="18.75">
      <c r="B1" s="1" t="s">
        <v>128</v>
      </c>
    </row>
    <row r="3" spans="2:10" ht="18.75">
      <c r="B3" s="695" t="s">
        <v>86</v>
      </c>
      <c r="C3" s="695"/>
      <c r="D3" s="695"/>
      <c r="E3" s="695" t="s">
        <v>102</v>
      </c>
      <c r="F3" s="695"/>
      <c r="G3" s="695"/>
      <c r="H3" s="670" t="s">
        <v>84</v>
      </c>
      <c r="I3" s="695" t="s">
        <v>129</v>
      </c>
      <c r="J3" s="695"/>
    </row>
    <row r="4" spans="2:10">
      <c r="B4" s="63" t="s">
        <v>87</v>
      </c>
      <c r="C4" s="63" t="s">
        <v>88</v>
      </c>
      <c r="D4" s="63" t="s">
        <v>89</v>
      </c>
      <c r="E4" s="63">
        <v>0</v>
      </c>
      <c r="F4" s="63">
        <v>1</v>
      </c>
      <c r="G4" s="63">
        <v>-1</v>
      </c>
      <c r="H4" s="670"/>
      <c r="I4" s="63" t="s">
        <v>76</v>
      </c>
      <c r="J4" s="63" t="s">
        <v>77</v>
      </c>
    </row>
    <row r="5" spans="2:10">
      <c r="B5" s="66">
        <f>skemA3!B43</f>
        <v>44709</v>
      </c>
      <c r="C5" s="66" t="e">
        <f>skemA3!#REF!</f>
        <v>#REF!</v>
      </c>
      <c r="D5" s="66" t="e">
        <f>skemA3!#REF!</f>
        <v>#REF!</v>
      </c>
      <c r="E5" s="66" t="str">
        <f>IF('Tabel 6'!F13=0,'Tabel 6'!F13,"-")</f>
        <v>-</v>
      </c>
      <c r="F5" s="66" t="str">
        <f>IF('Tabel 6'!F13&gt;0,'Tabel 6'!F13,"-")</f>
        <v>-</v>
      </c>
      <c r="G5" s="66">
        <f>IF('Tabel 6'!F13&lt;0,'Tabel 6'!F13,"-")</f>
        <v>-1</v>
      </c>
      <c r="H5" s="66">
        <f>skemA3!I43</f>
        <v>232.09999999999945</v>
      </c>
      <c r="I5" s="66" t="str">
        <f>IF(F5=1,ABS(F5*H5),"-")</f>
        <v>-</v>
      </c>
      <c r="J5" s="66">
        <f>IF(G5=-1,ABS(G5*H5),"-")</f>
        <v>232.09999999999945</v>
      </c>
    </row>
    <row r="6" spans="2:10">
      <c r="B6" s="61">
        <f>skemA3!B44</f>
        <v>44710</v>
      </c>
      <c r="C6" s="61" t="e">
        <f>skemA3!#REF!</f>
        <v>#REF!</v>
      </c>
      <c r="D6" s="61" t="e">
        <f>skemA3!#REF!</f>
        <v>#REF!</v>
      </c>
      <c r="E6" s="61" t="str">
        <f>IF('Tabel 6'!F14=0,'Tabel 6'!F14,"-")</f>
        <v>-</v>
      </c>
      <c r="F6" s="61" t="str">
        <f>IF('Tabel 6'!F14&gt;0,'Tabel 6'!F14,"-")</f>
        <v>-</v>
      </c>
      <c r="G6" s="61">
        <f>IF('Tabel 6'!F14&lt;0,'Tabel 6'!F14,"-")</f>
        <v>-1</v>
      </c>
      <c r="H6" s="61">
        <f>skemA3!I44</f>
        <v>230.60000000000014</v>
      </c>
      <c r="I6" s="61" t="str">
        <f t="shared" ref="I6:I19" si="0">IF(F6=1,ABS(F6*H6),"-")</f>
        <v>-</v>
      </c>
      <c r="J6" s="61">
        <f t="shared" ref="J6:J19" si="1">IF(G6=-1,ABS(G6*H6),"-")</f>
        <v>230.60000000000014</v>
      </c>
    </row>
    <row r="7" spans="2:10">
      <c r="B7" s="61">
        <f>skemA3!B45</f>
        <v>44711</v>
      </c>
      <c r="C7" s="61" t="e">
        <f>skemA3!#REF!</f>
        <v>#REF!</v>
      </c>
      <c r="D7" s="61" t="e">
        <f>skemA3!#REF!</f>
        <v>#REF!</v>
      </c>
      <c r="E7" s="61" t="str">
        <f>IF('Tabel 6'!F15=0,'Tabel 6'!F15,"-")</f>
        <v>-</v>
      </c>
      <c r="F7" s="61" t="str">
        <f>IF('Tabel 6'!F15&gt;0,'Tabel 6'!F15,"-")</f>
        <v>-</v>
      </c>
      <c r="G7" s="61">
        <f>IF('Tabel 6'!F15&lt;0,'Tabel 6'!F15,"-")</f>
        <v>-1</v>
      </c>
      <c r="H7" s="61">
        <f>skemA3!I45</f>
        <v>215.7000000000005</v>
      </c>
      <c r="I7" s="61" t="str">
        <f t="shared" si="0"/>
        <v>-</v>
      </c>
      <c r="J7" s="61">
        <f t="shared" si="1"/>
        <v>215.7000000000005</v>
      </c>
    </row>
    <row r="8" spans="2:10">
      <c r="B8" s="61">
        <f>skemA3!B46</f>
        <v>44712</v>
      </c>
      <c r="C8" s="61" t="e">
        <f>skemA3!#REF!</f>
        <v>#REF!</v>
      </c>
      <c r="D8" s="61" t="e">
        <f>skemA3!#REF!</f>
        <v>#REF!</v>
      </c>
      <c r="E8" s="61" t="str">
        <f>IF('Tabel 6'!F16=0,'Tabel 6'!F16,"-")</f>
        <v>-</v>
      </c>
      <c r="F8" s="61" t="str">
        <f>IF('Tabel 6'!F16&gt;0,'Tabel 6'!F16,"-")</f>
        <v>-</v>
      </c>
      <c r="G8" s="61">
        <f>IF('Tabel 6'!F16&lt;0,'Tabel 6'!F16,"-")</f>
        <v>-1</v>
      </c>
      <c r="H8" s="61">
        <f>skemA3!I46</f>
        <v>182.80000000000041</v>
      </c>
      <c r="I8" s="61" t="str">
        <f t="shared" si="0"/>
        <v>-</v>
      </c>
      <c r="J8" s="61">
        <f t="shared" si="1"/>
        <v>182.80000000000041</v>
      </c>
    </row>
    <row r="9" spans="2:10">
      <c r="B9" s="61">
        <f>skemA3!B47</f>
        <v>44713</v>
      </c>
      <c r="C9" s="61" t="e">
        <f>skemA3!#REF!</f>
        <v>#REF!</v>
      </c>
      <c r="D9" s="61" t="e">
        <f>skemA3!#REF!</f>
        <v>#REF!</v>
      </c>
      <c r="E9" s="61" t="str">
        <f>IF('Tabel 6'!F17=0,'Tabel 6'!F17,"-")</f>
        <v>-</v>
      </c>
      <c r="F9" s="61">
        <f>IF('Tabel 6'!F17&gt;0,'Tabel 6'!F17,"-")</f>
        <v>1</v>
      </c>
      <c r="G9" s="61" t="str">
        <f>IF('Tabel 6'!F17&lt;0,'Tabel 6'!F17,"-")</f>
        <v>-</v>
      </c>
      <c r="H9" s="61">
        <f>skemA3!I47</f>
        <v>196.70000000000027</v>
      </c>
      <c r="I9" s="61">
        <f t="shared" si="0"/>
        <v>196.70000000000027</v>
      </c>
      <c r="J9" s="61" t="str">
        <f t="shared" si="1"/>
        <v>-</v>
      </c>
    </row>
    <row r="10" spans="2:10">
      <c r="B10" s="61">
        <f>skemA3!B48</f>
        <v>44714</v>
      </c>
      <c r="C10" s="61" t="e">
        <f>skemA3!#REF!</f>
        <v>#REF!</v>
      </c>
      <c r="D10" s="61" t="e">
        <f>skemA3!#REF!</f>
        <v>#REF!</v>
      </c>
      <c r="E10" s="61" t="str">
        <f>IF('Tabel 6'!F18=0,'Tabel 6'!F18,"-")</f>
        <v>-</v>
      </c>
      <c r="F10" s="61">
        <f>IF('Tabel 6'!F18&gt;0,'Tabel 6'!F18,"-")</f>
        <v>1</v>
      </c>
      <c r="G10" s="61" t="str">
        <f>IF('Tabel 6'!F18&lt;0,'Tabel 6'!F18,"-")</f>
        <v>-</v>
      </c>
      <c r="H10" s="61">
        <f>skemA3!I48</f>
        <v>147.29999999999995</v>
      </c>
      <c r="I10" s="61">
        <f t="shared" si="0"/>
        <v>147.29999999999995</v>
      </c>
      <c r="J10" s="61" t="str">
        <f t="shared" si="1"/>
        <v>-</v>
      </c>
    </row>
    <row r="11" spans="2:10">
      <c r="B11" s="61">
        <f>skemA3!B49</f>
        <v>44715</v>
      </c>
      <c r="C11" s="61" t="e">
        <f>skemA3!#REF!</f>
        <v>#REF!</v>
      </c>
      <c r="D11" s="61" t="e">
        <f>skemA3!#REF!</f>
        <v>#REF!</v>
      </c>
      <c r="E11" s="61" t="str">
        <f>IF('Tabel 6'!F19=0,'Tabel 6'!F19,"-")</f>
        <v>-</v>
      </c>
      <c r="F11" s="61">
        <f>IF('Tabel 6'!F19&gt;0,'Tabel 6'!F19,"-")</f>
        <v>1</v>
      </c>
      <c r="G11" s="61" t="str">
        <f>IF('Tabel 6'!F19&lt;0,'Tabel 6'!F19,"-")</f>
        <v>-</v>
      </c>
      <c r="H11" s="61">
        <f>skemA3!I49</f>
        <v>161.29999999999995</v>
      </c>
      <c r="I11" s="61">
        <f t="shared" si="0"/>
        <v>161.29999999999995</v>
      </c>
      <c r="J11" s="61" t="str">
        <f t="shared" si="1"/>
        <v>-</v>
      </c>
    </row>
    <row r="12" spans="2:10">
      <c r="B12" s="61">
        <f>skemA3!B50</f>
        <v>44716</v>
      </c>
      <c r="C12" s="61" t="e">
        <f>skemA3!#REF!</f>
        <v>#REF!</v>
      </c>
      <c r="D12" s="61" t="e">
        <f>skemA3!#REF!</f>
        <v>#REF!</v>
      </c>
      <c r="E12" s="61" t="str">
        <f>IF('Tabel 6'!F20=0,'Tabel 6'!F20,"-")</f>
        <v>-</v>
      </c>
      <c r="F12" s="61">
        <f>IF('Tabel 6'!F20&gt;0,'Tabel 6'!F20,"-")</f>
        <v>1</v>
      </c>
      <c r="G12" s="61" t="str">
        <f>IF('Tabel 6'!F20&lt;0,'Tabel 6'!F20,"-")</f>
        <v>-</v>
      </c>
      <c r="H12" s="61">
        <f>skemA3!I50</f>
        <v>182.34999999999968</v>
      </c>
      <c r="I12" s="61">
        <f t="shared" si="0"/>
        <v>182.34999999999968</v>
      </c>
      <c r="J12" s="61" t="str">
        <f t="shared" si="1"/>
        <v>-</v>
      </c>
    </row>
    <row r="13" spans="2:10">
      <c r="B13" s="61">
        <f>skemA3!B51</f>
        <v>44717</v>
      </c>
      <c r="C13" s="61" t="e">
        <f>skemA3!#REF!</f>
        <v>#REF!</v>
      </c>
      <c r="D13" s="61" t="e">
        <f>skemA3!#REF!</f>
        <v>#REF!</v>
      </c>
      <c r="E13" s="61" t="str">
        <f>IF('Tabel 6'!F21=0,'Tabel 6'!F21,"-")</f>
        <v>-</v>
      </c>
      <c r="F13" s="61">
        <f>IF('Tabel 6'!F21&gt;0,'Tabel 6'!F21,"-")</f>
        <v>1</v>
      </c>
      <c r="G13" s="61" t="str">
        <f>IF('Tabel 6'!F21&lt;0,'Tabel 6'!F21,"-")</f>
        <v>-</v>
      </c>
      <c r="H13" s="61">
        <f>skemA3!I51</f>
        <v>165.29999999999973</v>
      </c>
      <c r="I13" s="61">
        <f t="shared" si="0"/>
        <v>165.29999999999973</v>
      </c>
      <c r="J13" s="61" t="str">
        <f t="shared" si="1"/>
        <v>-</v>
      </c>
    </row>
    <row r="14" spans="2:10">
      <c r="B14" s="61">
        <f>skemA3!B52</f>
        <v>44718</v>
      </c>
      <c r="C14" s="61" t="e">
        <f>skemA3!#REF!</f>
        <v>#REF!</v>
      </c>
      <c r="D14" s="61" t="e">
        <f>skemA3!#REF!</f>
        <v>#REF!</v>
      </c>
      <c r="E14" s="61" t="str">
        <f>IF('Tabel 6'!F22=0,'Tabel 6'!F22,"-")</f>
        <v>-</v>
      </c>
      <c r="F14" s="61">
        <f>IF('Tabel 6'!F22&gt;0,'Tabel 6'!F22,"-")</f>
        <v>1</v>
      </c>
      <c r="G14" s="61" t="str">
        <f>IF('Tabel 6'!F22&lt;0,'Tabel 6'!F22,"-")</f>
        <v>-</v>
      </c>
      <c r="H14" s="61">
        <f>skemA3!I52</f>
        <v>176.79999999999995</v>
      </c>
      <c r="I14" s="61">
        <f t="shared" si="0"/>
        <v>176.79999999999995</v>
      </c>
      <c r="J14" s="61" t="str">
        <f t="shared" si="1"/>
        <v>-</v>
      </c>
    </row>
    <row r="15" spans="2:10">
      <c r="B15" s="61">
        <f>skemA3!B53</f>
        <v>44719</v>
      </c>
      <c r="C15" s="61" t="e">
        <f>skemA3!#REF!</f>
        <v>#REF!</v>
      </c>
      <c r="D15" s="61" t="e">
        <f>skemA3!#REF!</f>
        <v>#REF!</v>
      </c>
      <c r="E15" s="61" t="str">
        <f>IF('Tabel 6'!F23=0,'Tabel 6'!F23,"-")</f>
        <v>-</v>
      </c>
      <c r="F15" s="61">
        <f>IF('Tabel 6'!F23&gt;0,'Tabel 6'!F23,"-")</f>
        <v>1</v>
      </c>
      <c r="G15" s="61" t="str">
        <f>IF('Tabel 6'!F23&lt;0,'Tabel 6'!F23,"-")</f>
        <v>-</v>
      </c>
      <c r="H15" s="61">
        <f>skemA3!I53</f>
        <v>192.09999999999991</v>
      </c>
      <c r="I15" s="61">
        <f t="shared" si="0"/>
        <v>192.09999999999991</v>
      </c>
      <c r="J15" s="61" t="str">
        <f t="shared" si="1"/>
        <v>-</v>
      </c>
    </row>
    <row r="16" spans="2:10">
      <c r="B16" s="61">
        <f>skemA3!B54</f>
        <v>44720</v>
      </c>
      <c r="C16" s="61" t="e">
        <f>skemA3!#REF!</f>
        <v>#REF!</v>
      </c>
      <c r="D16" s="61" t="e">
        <f>skemA3!#REF!</f>
        <v>#REF!</v>
      </c>
      <c r="E16" s="61" t="str">
        <f>IF('Tabel 6'!F24=0,'Tabel 6'!F24,"-")</f>
        <v>-</v>
      </c>
      <c r="F16" s="61" t="str">
        <f>IF('Tabel 6'!F24&gt;0,'Tabel 6'!F24,"-")</f>
        <v>-</v>
      </c>
      <c r="G16" s="61">
        <f>IF('Tabel 6'!F24&lt;0,'Tabel 6'!F24,"-")</f>
        <v>-1</v>
      </c>
      <c r="H16" s="61">
        <f>skemA3!I54</f>
        <v>192.09999999999991</v>
      </c>
      <c r="I16" s="61" t="str">
        <f t="shared" si="0"/>
        <v>-</v>
      </c>
      <c r="J16" s="61">
        <f t="shared" si="1"/>
        <v>192.09999999999991</v>
      </c>
    </row>
    <row r="17" spans="2:10">
      <c r="B17" s="61">
        <f>skemA3!B55</f>
        <v>44721</v>
      </c>
      <c r="C17" s="61" t="e">
        <f>skemA3!#REF!</f>
        <v>#REF!</v>
      </c>
      <c r="D17" s="61" t="e">
        <f>skemA3!#REF!</f>
        <v>#REF!</v>
      </c>
      <c r="E17" s="61" t="str">
        <f>IF('Tabel 6'!F25=0,'Tabel 6'!F25,"-")</f>
        <v>-</v>
      </c>
      <c r="F17" s="61" t="str">
        <f>IF('Tabel 6'!F25&gt;0,'Tabel 6'!F25,"-")</f>
        <v>-</v>
      </c>
      <c r="G17" s="61">
        <f>IF('Tabel 6'!F25&lt;0,'Tabel 6'!F25,"-")</f>
        <v>-1</v>
      </c>
      <c r="H17" s="61">
        <f>skemA3!I55</f>
        <v>191.40000000000009</v>
      </c>
      <c r="I17" s="61" t="str">
        <f t="shared" si="0"/>
        <v>-</v>
      </c>
      <c r="J17" s="61">
        <f t="shared" si="1"/>
        <v>191.40000000000009</v>
      </c>
    </row>
    <row r="18" spans="2:10">
      <c r="B18" s="61">
        <f>skemA3!B56</f>
        <v>44722</v>
      </c>
      <c r="C18" s="61" t="e">
        <f>skemA3!#REF!</f>
        <v>#REF!</v>
      </c>
      <c r="D18" s="61" t="e">
        <f>skemA3!#REF!</f>
        <v>#REF!</v>
      </c>
      <c r="E18" s="61" t="str">
        <f>IF('Tabel 6'!F26=0,'Tabel 6'!F26,"-")</f>
        <v>-</v>
      </c>
      <c r="F18" s="61" t="str">
        <f>IF('Tabel 6'!F26&gt;0,'Tabel 6'!F26,"-")</f>
        <v>-</v>
      </c>
      <c r="G18" s="61">
        <f>IF('Tabel 6'!F26&lt;0,'Tabel 6'!F26,"-")</f>
        <v>-1</v>
      </c>
      <c r="H18" s="61">
        <f>skemA3!I56</f>
        <v>203.50000000000023</v>
      </c>
      <c r="I18" s="61" t="str">
        <f t="shared" si="0"/>
        <v>-</v>
      </c>
      <c r="J18" s="61">
        <f t="shared" si="1"/>
        <v>203.50000000000023</v>
      </c>
    </row>
    <row r="19" spans="2:10">
      <c r="B19" s="62">
        <f>skemA3!B57</f>
        <v>44723</v>
      </c>
      <c r="C19" s="62" t="e">
        <f>skemA3!#REF!</f>
        <v>#REF!</v>
      </c>
      <c r="D19" s="62" t="e">
        <f>skemA3!#REF!</f>
        <v>#REF!</v>
      </c>
      <c r="E19" s="62" t="str">
        <f>IF('Tabel 6'!F27=0,'Tabel 6'!F27,"-")</f>
        <v>-</v>
      </c>
      <c r="F19" s="62" t="str">
        <f>IF('Tabel 6'!F27&gt;0,'Tabel 6'!F27,"-")</f>
        <v>-</v>
      </c>
      <c r="G19" s="62">
        <f>IF('Tabel 6'!F27&lt;0,'Tabel 6'!F27,"-")</f>
        <v>-1</v>
      </c>
      <c r="H19" s="62">
        <f>skemA3!I57</f>
        <v>224.10000000000014</v>
      </c>
      <c r="I19" s="62" t="str">
        <f t="shared" si="0"/>
        <v>-</v>
      </c>
      <c r="J19" s="62">
        <f t="shared" si="1"/>
        <v>224.10000000000014</v>
      </c>
    </row>
    <row r="20" spans="2:10" ht="15">
      <c r="B20" s="670" t="s">
        <v>85</v>
      </c>
      <c r="C20" s="670"/>
      <c r="D20" s="670"/>
      <c r="E20" s="91"/>
      <c r="F20" s="92"/>
      <c r="G20" s="93"/>
      <c r="H20" s="83">
        <f>SUM(H5:H19)</f>
        <v>2894.1500000000005</v>
      </c>
      <c r="I20" s="94">
        <f>SUM(I5:I19)</f>
        <v>1221.8499999999995</v>
      </c>
      <c r="J20" s="95">
        <f>SUM(J5:J19)</f>
        <v>1672.3000000000009</v>
      </c>
    </row>
    <row r="21" spans="2:10">
      <c r="B21" s="1" t="s">
        <v>104</v>
      </c>
    </row>
  </sheetData>
  <sheetProtection selectLockedCells="1" selectUnlockedCells="1"/>
  <mergeCells count="5">
    <mergeCell ref="I3:J3"/>
    <mergeCell ref="B20:D20"/>
    <mergeCell ref="B3:D3"/>
    <mergeCell ref="E3:G3"/>
    <mergeCell ref="H3:H4"/>
  </mergeCells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21"/>
  <sheetViews>
    <sheetView workbookViewId="0">
      <selection activeCell="B1" sqref="B1"/>
    </sheetView>
  </sheetViews>
  <sheetFormatPr defaultColWidth="9.140625" defaultRowHeight="14.25"/>
  <cols>
    <col min="1" max="1" width="2.85546875" style="1" customWidth="1"/>
    <col min="2" max="4" width="4.28515625" style="1" customWidth="1"/>
    <col min="5" max="10" width="8.5703125" style="1" customWidth="1"/>
    <col min="11" max="16384" width="9.140625" style="1"/>
  </cols>
  <sheetData>
    <row r="1" spans="2:10" ht="18.75">
      <c r="B1" s="1" t="s">
        <v>130</v>
      </c>
    </row>
    <row r="3" spans="2:10" ht="18.75">
      <c r="B3" s="695" t="s">
        <v>86</v>
      </c>
      <c r="C3" s="695"/>
      <c r="D3" s="695"/>
      <c r="E3" s="695" t="s">
        <v>102</v>
      </c>
      <c r="F3" s="695"/>
      <c r="G3" s="695"/>
      <c r="H3" s="670" t="s">
        <v>83</v>
      </c>
      <c r="I3" s="695" t="s">
        <v>131</v>
      </c>
      <c r="J3" s="695"/>
    </row>
    <row r="4" spans="2:10">
      <c r="B4" s="63" t="s">
        <v>87</v>
      </c>
      <c r="C4" s="63" t="s">
        <v>88</v>
      </c>
      <c r="D4" s="63" t="s">
        <v>89</v>
      </c>
      <c r="E4" s="63">
        <v>0</v>
      </c>
      <c r="F4" s="63">
        <v>1</v>
      </c>
      <c r="G4" s="63">
        <v>-1</v>
      </c>
      <c r="H4" s="670"/>
      <c r="I4" s="63" t="s">
        <v>76</v>
      </c>
      <c r="J4" s="63" t="s">
        <v>77</v>
      </c>
    </row>
    <row r="5" spans="2:10">
      <c r="B5" s="66">
        <f>skemA3!B43</f>
        <v>44709</v>
      </c>
      <c r="C5" s="66" t="e">
        <f>skemA3!#REF!</f>
        <v>#REF!</v>
      </c>
      <c r="D5" s="66" t="e">
        <f>skemA3!#REF!</f>
        <v>#REF!</v>
      </c>
      <c r="E5" s="66">
        <f>IF('Tabel 6'!G13=0,'Tabel 6'!G13,"-")</f>
        <v>0</v>
      </c>
      <c r="F5" s="66" t="str">
        <f>IF('Tabel 6'!G13&gt;0,'Tabel 6'!G13,"-")</f>
        <v>-</v>
      </c>
      <c r="G5" s="66" t="str">
        <f>IF('Tabel 6'!G13&lt;0,'Tabel 6'!G13,"-")</f>
        <v>-</v>
      </c>
      <c r="H5" s="66">
        <f>skemA3!H43</f>
        <v>70.199999999999818</v>
      </c>
      <c r="I5" s="66" t="str">
        <f>IF(F5=1,ABS(F5*H5),"-")</f>
        <v>-</v>
      </c>
      <c r="J5" s="66" t="str">
        <f>IF(G5=-1,ABS(G5*H5),"-")</f>
        <v>-</v>
      </c>
    </row>
    <row r="6" spans="2:10">
      <c r="B6" s="61">
        <f>skemA3!B44</f>
        <v>44710</v>
      </c>
      <c r="C6" s="61" t="e">
        <f>skemA3!#REF!</f>
        <v>#REF!</v>
      </c>
      <c r="D6" s="61" t="e">
        <f>skemA3!#REF!</f>
        <v>#REF!</v>
      </c>
      <c r="E6" s="61" t="str">
        <f>IF('Tabel 6'!G14=0,'Tabel 6'!G14,"-")</f>
        <v>-</v>
      </c>
      <c r="F6" s="61">
        <f>IF('Tabel 6'!G14&gt;0,'Tabel 6'!G14,"-")</f>
        <v>1</v>
      </c>
      <c r="G6" s="61" t="str">
        <f>IF('Tabel 6'!G14&lt;0,'Tabel 6'!G14,"-")</f>
        <v>-</v>
      </c>
      <c r="H6" s="61">
        <f>skemA3!H44</f>
        <v>65.400000000000091</v>
      </c>
      <c r="I6" s="61">
        <f t="shared" ref="I6:I19" si="0">IF(F6=1,ABS(F6*H6),"-")</f>
        <v>65.400000000000091</v>
      </c>
      <c r="J6" s="61" t="str">
        <f t="shared" ref="J6:J19" si="1">IF(G6=-1,ABS(G6*H6),"-")</f>
        <v>-</v>
      </c>
    </row>
    <row r="7" spans="2:10">
      <c r="B7" s="61">
        <f>skemA3!B45</f>
        <v>44711</v>
      </c>
      <c r="C7" s="61" t="e">
        <f>skemA3!#REF!</f>
        <v>#REF!</v>
      </c>
      <c r="D7" s="61" t="e">
        <f>skemA3!#REF!</f>
        <v>#REF!</v>
      </c>
      <c r="E7" s="61" t="str">
        <f>IF('Tabel 6'!G15=0,'Tabel 6'!G15,"-")</f>
        <v>-</v>
      </c>
      <c r="F7" s="61">
        <f>IF('Tabel 6'!G15&gt;0,'Tabel 6'!G15,"-")</f>
        <v>1</v>
      </c>
      <c r="G7" s="61" t="str">
        <f>IF('Tabel 6'!G15&lt;0,'Tabel 6'!G15,"-")</f>
        <v>-</v>
      </c>
      <c r="H7" s="61">
        <f>skemA3!H45</f>
        <v>65.600000000000136</v>
      </c>
      <c r="I7" s="61">
        <f t="shared" si="0"/>
        <v>65.600000000000136</v>
      </c>
      <c r="J7" s="61" t="str">
        <f t="shared" si="1"/>
        <v>-</v>
      </c>
    </row>
    <row r="8" spans="2:10">
      <c r="B8" s="61">
        <f>skemA3!B46</f>
        <v>44712</v>
      </c>
      <c r="C8" s="61" t="e">
        <f>skemA3!#REF!</f>
        <v>#REF!</v>
      </c>
      <c r="D8" s="61" t="e">
        <f>skemA3!#REF!</f>
        <v>#REF!</v>
      </c>
      <c r="E8" s="61" t="str">
        <f>IF('Tabel 6'!G16=0,'Tabel 6'!G16,"-")</f>
        <v>-</v>
      </c>
      <c r="F8" s="61">
        <f>IF('Tabel 6'!G16&gt;0,'Tabel 6'!G16,"-")</f>
        <v>1</v>
      </c>
      <c r="G8" s="61" t="str">
        <f>IF('Tabel 6'!G16&lt;0,'Tabel 6'!G16,"-")</f>
        <v>-</v>
      </c>
      <c r="H8" s="61">
        <f>skemA3!H46</f>
        <v>88.499999999999773</v>
      </c>
      <c r="I8" s="61">
        <f t="shared" si="0"/>
        <v>88.499999999999773</v>
      </c>
      <c r="J8" s="61" t="str">
        <f t="shared" si="1"/>
        <v>-</v>
      </c>
    </row>
    <row r="9" spans="2:10">
      <c r="B9" s="61">
        <f>skemA3!B47</f>
        <v>44713</v>
      </c>
      <c r="C9" s="61" t="e">
        <f>skemA3!#REF!</f>
        <v>#REF!</v>
      </c>
      <c r="D9" s="61" t="e">
        <f>skemA3!#REF!</f>
        <v>#REF!</v>
      </c>
      <c r="E9" s="61" t="str">
        <f>IF('Tabel 6'!G17=0,'Tabel 6'!G17,"-")</f>
        <v>-</v>
      </c>
      <c r="F9" s="61">
        <f>IF('Tabel 6'!G17&gt;0,'Tabel 6'!G17,"-")</f>
        <v>1</v>
      </c>
      <c r="G9" s="61" t="str">
        <f>IF('Tabel 6'!G17&lt;0,'Tabel 6'!G17,"-")</f>
        <v>-</v>
      </c>
      <c r="H9" s="61">
        <f>skemA3!H47</f>
        <v>92.900000000000318</v>
      </c>
      <c r="I9" s="61">
        <f t="shared" si="0"/>
        <v>92.900000000000318</v>
      </c>
      <c r="J9" s="61" t="str">
        <f t="shared" si="1"/>
        <v>-</v>
      </c>
    </row>
    <row r="10" spans="2:10">
      <c r="B10" s="61">
        <f>skemA3!B48</f>
        <v>44714</v>
      </c>
      <c r="C10" s="61" t="e">
        <f>skemA3!#REF!</f>
        <v>#REF!</v>
      </c>
      <c r="D10" s="61" t="e">
        <f>skemA3!#REF!</f>
        <v>#REF!</v>
      </c>
      <c r="E10" s="61" t="str">
        <f>IF('Tabel 6'!G18=0,'Tabel 6'!G18,"-")</f>
        <v>-</v>
      </c>
      <c r="F10" s="61">
        <f>IF('Tabel 6'!G18&gt;0,'Tabel 6'!G18,"-")</f>
        <v>1</v>
      </c>
      <c r="G10" s="61" t="str">
        <f>IF('Tabel 6'!G18&lt;0,'Tabel 6'!G18,"-")</f>
        <v>-</v>
      </c>
      <c r="H10" s="61">
        <f>skemA3!H48</f>
        <v>103.20000000000027</v>
      </c>
      <c r="I10" s="61">
        <f t="shared" si="0"/>
        <v>103.20000000000027</v>
      </c>
      <c r="J10" s="61" t="str">
        <f t="shared" si="1"/>
        <v>-</v>
      </c>
    </row>
    <row r="11" spans="2:10">
      <c r="B11" s="61">
        <f>skemA3!B49</f>
        <v>44715</v>
      </c>
      <c r="C11" s="61" t="e">
        <f>skemA3!#REF!</f>
        <v>#REF!</v>
      </c>
      <c r="D11" s="61" t="e">
        <f>skemA3!#REF!</f>
        <v>#REF!</v>
      </c>
      <c r="E11" s="61" t="str">
        <f>IF('Tabel 6'!G19=0,'Tabel 6'!G19,"-")</f>
        <v>-</v>
      </c>
      <c r="F11" s="61">
        <f>IF('Tabel 6'!G19&gt;0,'Tabel 6'!G19,"-")</f>
        <v>1</v>
      </c>
      <c r="G11" s="61" t="str">
        <f>IF('Tabel 6'!G19&lt;0,'Tabel 6'!G19,"-")</f>
        <v>-</v>
      </c>
      <c r="H11" s="61">
        <f>skemA3!H49</f>
        <v>99.200000000000045</v>
      </c>
      <c r="I11" s="61">
        <f t="shared" si="0"/>
        <v>99.200000000000045</v>
      </c>
      <c r="J11" s="61" t="str">
        <f t="shared" si="1"/>
        <v>-</v>
      </c>
    </row>
    <row r="12" spans="2:10">
      <c r="B12" s="61">
        <f>skemA3!B50</f>
        <v>44716</v>
      </c>
      <c r="C12" s="61" t="e">
        <f>skemA3!#REF!</f>
        <v>#REF!</v>
      </c>
      <c r="D12" s="61" t="e">
        <f>skemA3!#REF!</f>
        <v>#REF!</v>
      </c>
      <c r="E12" s="61">
        <f>IF('Tabel 6'!G20=0,'Tabel 6'!G20,"-")</f>
        <v>0</v>
      </c>
      <c r="F12" s="61" t="str">
        <f>IF('Tabel 6'!G20&gt;0,'Tabel 6'!G20,"-")</f>
        <v>-</v>
      </c>
      <c r="G12" s="61" t="str">
        <f>IF('Tabel 6'!G20&lt;0,'Tabel 6'!G20,"-")</f>
        <v>-</v>
      </c>
      <c r="H12" s="61">
        <f>skemA3!H50</f>
        <v>102.30000000000018</v>
      </c>
      <c r="I12" s="61" t="str">
        <f t="shared" si="0"/>
        <v>-</v>
      </c>
      <c r="J12" s="61" t="str">
        <f t="shared" si="1"/>
        <v>-</v>
      </c>
    </row>
    <row r="13" spans="2:10">
      <c r="B13" s="61">
        <f>skemA3!B51</f>
        <v>44717</v>
      </c>
      <c r="C13" s="61" t="e">
        <f>skemA3!#REF!</f>
        <v>#REF!</v>
      </c>
      <c r="D13" s="61" t="e">
        <f>skemA3!#REF!</f>
        <v>#REF!</v>
      </c>
      <c r="E13" s="61" t="str">
        <f>IF('Tabel 6'!G21=0,'Tabel 6'!G21,"-")</f>
        <v>-</v>
      </c>
      <c r="F13" s="61" t="str">
        <f>IF('Tabel 6'!G21&gt;0,'Tabel 6'!G21,"-")</f>
        <v>-</v>
      </c>
      <c r="G13" s="61">
        <f>IF('Tabel 6'!G21&lt;0,'Tabel 6'!G21,"-")</f>
        <v>-1</v>
      </c>
      <c r="H13" s="61">
        <f>skemA3!H51</f>
        <v>101.50000000000023</v>
      </c>
      <c r="I13" s="61" t="str">
        <f t="shared" si="0"/>
        <v>-</v>
      </c>
      <c r="J13" s="61">
        <f t="shared" si="1"/>
        <v>101.50000000000023</v>
      </c>
    </row>
    <row r="14" spans="2:10">
      <c r="B14" s="61">
        <f>skemA3!B52</f>
        <v>44718</v>
      </c>
      <c r="C14" s="61" t="e">
        <f>skemA3!#REF!</f>
        <v>#REF!</v>
      </c>
      <c r="D14" s="61" t="e">
        <f>skemA3!#REF!</f>
        <v>#REF!</v>
      </c>
      <c r="E14" s="61" t="str">
        <f>IF('Tabel 6'!G22=0,'Tabel 6'!G22,"-")</f>
        <v>-</v>
      </c>
      <c r="F14" s="61" t="str">
        <f>IF('Tabel 6'!G22&gt;0,'Tabel 6'!G22,"-")</f>
        <v>-</v>
      </c>
      <c r="G14" s="61">
        <f>IF('Tabel 6'!G22&lt;0,'Tabel 6'!G22,"-")</f>
        <v>-1</v>
      </c>
      <c r="H14" s="61">
        <f>skemA3!H52</f>
        <v>109.99999999999977</v>
      </c>
      <c r="I14" s="61" t="str">
        <f t="shared" si="0"/>
        <v>-</v>
      </c>
      <c r="J14" s="61">
        <f t="shared" si="1"/>
        <v>109.99999999999977</v>
      </c>
    </row>
    <row r="15" spans="2:10">
      <c r="B15" s="61">
        <f>skemA3!B53</f>
        <v>44719</v>
      </c>
      <c r="C15" s="61" t="e">
        <f>skemA3!#REF!</f>
        <v>#REF!</v>
      </c>
      <c r="D15" s="61" t="e">
        <f>skemA3!#REF!</f>
        <v>#REF!</v>
      </c>
      <c r="E15" s="61" t="str">
        <f>IF('Tabel 6'!G23=0,'Tabel 6'!G23,"-")</f>
        <v>-</v>
      </c>
      <c r="F15" s="61" t="str">
        <f>IF('Tabel 6'!G23&gt;0,'Tabel 6'!G23,"-")</f>
        <v>-</v>
      </c>
      <c r="G15" s="61">
        <f>IF('Tabel 6'!G23&lt;0,'Tabel 6'!G23,"-")</f>
        <v>-1</v>
      </c>
      <c r="H15" s="61">
        <f>skemA3!H53</f>
        <v>98.900000000000091</v>
      </c>
      <c r="I15" s="61" t="str">
        <f t="shared" si="0"/>
        <v>-</v>
      </c>
      <c r="J15" s="61">
        <f t="shared" si="1"/>
        <v>98.900000000000091</v>
      </c>
    </row>
    <row r="16" spans="2:10">
      <c r="B16" s="61">
        <f>skemA3!B54</f>
        <v>44720</v>
      </c>
      <c r="C16" s="61" t="e">
        <f>skemA3!#REF!</f>
        <v>#REF!</v>
      </c>
      <c r="D16" s="61" t="e">
        <f>skemA3!#REF!</f>
        <v>#REF!</v>
      </c>
      <c r="E16" s="61" t="str">
        <f>IF('Tabel 6'!G24=0,'Tabel 6'!G24,"-")</f>
        <v>-</v>
      </c>
      <c r="F16" s="61" t="str">
        <f>IF('Tabel 6'!G24&gt;0,'Tabel 6'!G24,"-")</f>
        <v>-</v>
      </c>
      <c r="G16" s="61">
        <f>IF('Tabel 6'!G24&lt;0,'Tabel 6'!G24,"-")</f>
        <v>-1</v>
      </c>
      <c r="H16" s="61">
        <f>skemA3!H54</f>
        <v>88.700000000000045</v>
      </c>
      <c r="I16" s="61" t="str">
        <f t="shared" si="0"/>
        <v>-</v>
      </c>
      <c r="J16" s="61">
        <f t="shared" si="1"/>
        <v>88.700000000000045</v>
      </c>
    </row>
    <row r="17" spans="2:10">
      <c r="B17" s="61">
        <f>skemA3!B55</f>
        <v>44721</v>
      </c>
      <c r="C17" s="61" t="e">
        <f>skemA3!#REF!</f>
        <v>#REF!</v>
      </c>
      <c r="D17" s="61" t="e">
        <f>skemA3!#REF!</f>
        <v>#REF!</v>
      </c>
      <c r="E17" s="61" t="str">
        <f>IF('Tabel 6'!G25=0,'Tabel 6'!G25,"-")</f>
        <v>-</v>
      </c>
      <c r="F17" s="61" t="str">
        <f>IF('Tabel 6'!G25&gt;0,'Tabel 6'!G25,"-")</f>
        <v>-</v>
      </c>
      <c r="G17" s="61">
        <f>IF('Tabel 6'!G25&lt;0,'Tabel 6'!G25,"-")</f>
        <v>-1</v>
      </c>
      <c r="H17" s="61">
        <f>skemA3!H55</f>
        <v>105.5</v>
      </c>
      <c r="I17" s="61" t="str">
        <f t="shared" si="0"/>
        <v>-</v>
      </c>
      <c r="J17" s="61">
        <f t="shared" si="1"/>
        <v>105.5</v>
      </c>
    </row>
    <row r="18" spans="2:10">
      <c r="B18" s="61">
        <f>skemA3!B56</f>
        <v>44722</v>
      </c>
      <c r="C18" s="61" t="e">
        <f>skemA3!#REF!</f>
        <v>#REF!</v>
      </c>
      <c r="D18" s="61" t="e">
        <f>skemA3!#REF!</f>
        <v>#REF!</v>
      </c>
      <c r="E18" s="61" t="str">
        <f>IF('Tabel 6'!G26=0,'Tabel 6'!G26,"-")</f>
        <v>-</v>
      </c>
      <c r="F18" s="61" t="str">
        <f>IF('Tabel 6'!G26&gt;0,'Tabel 6'!G26,"-")</f>
        <v>-</v>
      </c>
      <c r="G18" s="61">
        <f>IF('Tabel 6'!G26&lt;0,'Tabel 6'!G26,"-")</f>
        <v>-1</v>
      </c>
      <c r="H18" s="61">
        <f>skemA3!H56</f>
        <v>90.300000000000182</v>
      </c>
      <c r="I18" s="61" t="str">
        <f t="shared" si="0"/>
        <v>-</v>
      </c>
      <c r="J18" s="61">
        <f t="shared" si="1"/>
        <v>90.300000000000182</v>
      </c>
    </row>
    <row r="19" spans="2:10">
      <c r="B19" s="62">
        <f>skemA3!B57</f>
        <v>44723</v>
      </c>
      <c r="C19" s="62" t="e">
        <f>skemA3!#REF!</f>
        <v>#REF!</v>
      </c>
      <c r="D19" s="62" t="e">
        <f>skemA3!#REF!</f>
        <v>#REF!</v>
      </c>
      <c r="E19" s="62">
        <f>IF('Tabel 6'!G27=0,'Tabel 6'!G27,"-")</f>
        <v>0</v>
      </c>
      <c r="F19" s="62" t="str">
        <f>IF('Tabel 6'!G27&gt;0,'Tabel 6'!G27,"-")</f>
        <v>-</v>
      </c>
      <c r="G19" s="62" t="str">
        <f>IF('Tabel 6'!G27&lt;0,'Tabel 6'!G27,"-")</f>
        <v>-</v>
      </c>
      <c r="H19" s="62">
        <f>skemA3!H57</f>
        <v>109.10000000000036</v>
      </c>
      <c r="I19" s="62" t="str">
        <f t="shared" si="0"/>
        <v>-</v>
      </c>
      <c r="J19" s="62" t="str">
        <f t="shared" si="1"/>
        <v>-</v>
      </c>
    </row>
    <row r="20" spans="2:10" ht="15">
      <c r="B20" s="670" t="s">
        <v>85</v>
      </c>
      <c r="C20" s="670"/>
      <c r="D20" s="670"/>
      <c r="E20" s="91"/>
      <c r="F20" s="92"/>
      <c r="G20" s="93"/>
      <c r="H20" s="83">
        <f>SUM(H5:H19)</f>
        <v>1391.3000000000013</v>
      </c>
      <c r="I20" s="94">
        <f>SUM(I5:I19)</f>
        <v>514.80000000000064</v>
      </c>
      <c r="J20" s="95">
        <f>SUM(J5:J19)</f>
        <v>594.90000000000032</v>
      </c>
    </row>
    <row r="21" spans="2:10">
      <c r="B21" s="1" t="s">
        <v>104</v>
      </c>
    </row>
  </sheetData>
  <sheetProtection selectLockedCells="1" selectUnlockedCells="1"/>
  <mergeCells count="5">
    <mergeCell ref="I3:J3"/>
    <mergeCell ref="B20:D20"/>
    <mergeCell ref="B3:D3"/>
    <mergeCell ref="E3:G3"/>
    <mergeCell ref="H3:H4"/>
  </mergeCells>
  <phoneticPr fontId="26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21"/>
  <sheetViews>
    <sheetView workbookViewId="0">
      <selection activeCell="B1" sqref="B1"/>
    </sheetView>
  </sheetViews>
  <sheetFormatPr defaultColWidth="9.140625" defaultRowHeight="14.25"/>
  <cols>
    <col min="1" max="1" width="2.85546875" style="1" customWidth="1"/>
    <col min="2" max="4" width="4.28515625" style="1" customWidth="1"/>
    <col min="5" max="10" width="8.5703125" style="1" customWidth="1"/>
    <col min="11" max="16384" width="9.140625" style="1"/>
  </cols>
  <sheetData>
    <row r="1" spans="2:10" ht="18.75">
      <c r="B1" s="1" t="s">
        <v>132</v>
      </c>
    </row>
    <row r="3" spans="2:10" ht="18.75">
      <c r="B3" s="695" t="s">
        <v>86</v>
      </c>
      <c r="C3" s="695"/>
      <c r="D3" s="695"/>
      <c r="E3" s="695" t="s">
        <v>102</v>
      </c>
      <c r="F3" s="695"/>
      <c r="G3" s="695"/>
      <c r="H3" s="670" t="s">
        <v>84</v>
      </c>
      <c r="I3" s="695" t="s">
        <v>133</v>
      </c>
      <c r="J3" s="695"/>
    </row>
    <row r="4" spans="2:10">
      <c r="B4" s="63" t="s">
        <v>87</v>
      </c>
      <c r="C4" s="63" t="s">
        <v>88</v>
      </c>
      <c r="D4" s="63" t="s">
        <v>89</v>
      </c>
      <c r="E4" s="63">
        <v>0</v>
      </c>
      <c r="F4" s="63">
        <v>1</v>
      </c>
      <c r="G4" s="63">
        <v>-1</v>
      </c>
      <c r="H4" s="670"/>
      <c r="I4" s="63" t="s">
        <v>76</v>
      </c>
      <c r="J4" s="63" t="s">
        <v>77</v>
      </c>
    </row>
    <row r="5" spans="2:10">
      <c r="B5" s="66">
        <f>skemA3!B43</f>
        <v>44709</v>
      </c>
      <c r="C5" s="66" t="e">
        <f>skemA3!#REF!</f>
        <v>#REF!</v>
      </c>
      <c r="D5" s="66" t="e">
        <f>skemA3!#REF!</f>
        <v>#REF!</v>
      </c>
      <c r="E5" s="66">
        <f>IF('Tabel 6'!G13=0,'Tabel 6'!G13,"-")</f>
        <v>0</v>
      </c>
      <c r="F5" s="66" t="str">
        <f>IF('Tabel 6'!G13&gt;0,'Tabel 6'!G13,"-")</f>
        <v>-</v>
      </c>
      <c r="G5" s="66" t="str">
        <f>IF('Tabel 6'!G13&lt;0,'Tabel 6'!G13,"-")</f>
        <v>-</v>
      </c>
      <c r="H5" s="66">
        <f>skemA3!I43</f>
        <v>232.09999999999945</v>
      </c>
      <c r="I5" s="66" t="str">
        <f>IF(F5=1,ABS(F5*H5),"-")</f>
        <v>-</v>
      </c>
      <c r="J5" s="66" t="str">
        <f>IF(G5=-1,ABS(G5*H5),"-")</f>
        <v>-</v>
      </c>
    </row>
    <row r="6" spans="2:10">
      <c r="B6" s="61">
        <f>skemA3!B44</f>
        <v>44710</v>
      </c>
      <c r="C6" s="61" t="e">
        <f>skemA3!#REF!</f>
        <v>#REF!</v>
      </c>
      <c r="D6" s="61" t="e">
        <f>skemA3!#REF!</f>
        <v>#REF!</v>
      </c>
      <c r="E6" s="61" t="str">
        <f>IF('Tabel 6'!G14=0,'Tabel 6'!G14,"-")</f>
        <v>-</v>
      </c>
      <c r="F6" s="61">
        <f>IF('Tabel 6'!G14&gt;0,'Tabel 6'!G14,"-")</f>
        <v>1</v>
      </c>
      <c r="G6" s="61" t="str">
        <f>IF('Tabel 6'!G14&lt;0,'Tabel 6'!G14,"-")</f>
        <v>-</v>
      </c>
      <c r="H6" s="61">
        <f>skemA3!I44</f>
        <v>230.60000000000014</v>
      </c>
      <c r="I6" s="61">
        <f t="shared" ref="I6:I19" si="0">IF(F6=1,ABS(F6*H6),"-")</f>
        <v>230.60000000000014</v>
      </c>
      <c r="J6" s="61" t="str">
        <f t="shared" ref="J6:J19" si="1">IF(G6=-1,ABS(G6*H6),"-")</f>
        <v>-</v>
      </c>
    </row>
    <row r="7" spans="2:10">
      <c r="B7" s="61">
        <f>skemA3!B45</f>
        <v>44711</v>
      </c>
      <c r="C7" s="61" t="e">
        <f>skemA3!#REF!</f>
        <v>#REF!</v>
      </c>
      <c r="D7" s="61" t="e">
        <f>skemA3!#REF!</f>
        <v>#REF!</v>
      </c>
      <c r="E7" s="61" t="str">
        <f>IF('Tabel 6'!G15=0,'Tabel 6'!G15,"-")</f>
        <v>-</v>
      </c>
      <c r="F7" s="61">
        <f>IF('Tabel 6'!G15&gt;0,'Tabel 6'!G15,"-")</f>
        <v>1</v>
      </c>
      <c r="G7" s="61" t="str">
        <f>IF('Tabel 6'!G15&lt;0,'Tabel 6'!G15,"-")</f>
        <v>-</v>
      </c>
      <c r="H7" s="61">
        <f>skemA3!I45</f>
        <v>215.7000000000005</v>
      </c>
      <c r="I7" s="61">
        <f t="shared" si="0"/>
        <v>215.7000000000005</v>
      </c>
      <c r="J7" s="61" t="str">
        <f t="shared" si="1"/>
        <v>-</v>
      </c>
    </row>
    <row r="8" spans="2:10">
      <c r="B8" s="61">
        <f>skemA3!B46</f>
        <v>44712</v>
      </c>
      <c r="C8" s="61" t="e">
        <f>skemA3!#REF!</f>
        <v>#REF!</v>
      </c>
      <c r="D8" s="61" t="e">
        <f>skemA3!#REF!</f>
        <v>#REF!</v>
      </c>
      <c r="E8" s="61" t="str">
        <f>IF('Tabel 6'!G16=0,'Tabel 6'!G16,"-")</f>
        <v>-</v>
      </c>
      <c r="F8" s="61">
        <f>IF('Tabel 6'!G16&gt;0,'Tabel 6'!G16,"-")</f>
        <v>1</v>
      </c>
      <c r="G8" s="61" t="str">
        <f>IF('Tabel 6'!G16&lt;0,'Tabel 6'!G16,"-")</f>
        <v>-</v>
      </c>
      <c r="H8" s="61">
        <f>skemA3!I46</f>
        <v>182.80000000000041</v>
      </c>
      <c r="I8" s="61">
        <f t="shared" si="0"/>
        <v>182.80000000000041</v>
      </c>
      <c r="J8" s="61" t="str">
        <f t="shared" si="1"/>
        <v>-</v>
      </c>
    </row>
    <row r="9" spans="2:10">
      <c r="B9" s="61">
        <f>skemA3!B47</f>
        <v>44713</v>
      </c>
      <c r="C9" s="61" t="e">
        <f>skemA3!#REF!</f>
        <v>#REF!</v>
      </c>
      <c r="D9" s="61" t="e">
        <f>skemA3!#REF!</f>
        <v>#REF!</v>
      </c>
      <c r="E9" s="61" t="str">
        <f>IF('Tabel 6'!G17=0,'Tabel 6'!G17,"-")</f>
        <v>-</v>
      </c>
      <c r="F9" s="61">
        <f>IF('Tabel 6'!G17&gt;0,'Tabel 6'!G17,"-")</f>
        <v>1</v>
      </c>
      <c r="G9" s="61" t="str">
        <f>IF('Tabel 6'!G17&lt;0,'Tabel 6'!G17,"-")</f>
        <v>-</v>
      </c>
      <c r="H9" s="61">
        <f>skemA3!I47</f>
        <v>196.70000000000027</v>
      </c>
      <c r="I9" s="61">
        <f t="shared" si="0"/>
        <v>196.70000000000027</v>
      </c>
      <c r="J9" s="61" t="str">
        <f t="shared" si="1"/>
        <v>-</v>
      </c>
    </row>
    <row r="10" spans="2:10">
      <c r="B10" s="61">
        <f>skemA3!B48</f>
        <v>44714</v>
      </c>
      <c r="C10" s="61" t="e">
        <f>skemA3!#REF!</f>
        <v>#REF!</v>
      </c>
      <c r="D10" s="61" t="e">
        <f>skemA3!#REF!</f>
        <v>#REF!</v>
      </c>
      <c r="E10" s="61" t="str">
        <f>IF('Tabel 6'!G18=0,'Tabel 6'!G18,"-")</f>
        <v>-</v>
      </c>
      <c r="F10" s="61">
        <f>IF('Tabel 6'!G18&gt;0,'Tabel 6'!G18,"-")</f>
        <v>1</v>
      </c>
      <c r="G10" s="61" t="str">
        <f>IF('Tabel 6'!G18&lt;0,'Tabel 6'!G18,"-")</f>
        <v>-</v>
      </c>
      <c r="H10" s="61">
        <f>skemA3!I48</f>
        <v>147.29999999999995</v>
      </c>
      <c r="I10" s="61">
        <f t="shared" si="0"/>
        <v>147.29999999999995</v>
      </c>
      <c r="J10" s="61" t="str">
        <f t="shared" si="1"/>
        <v>-</v>
      </c>
    </row>
    <row r="11" spans="2:10">
      <c r="B11" s="61">
        <f>skemA3!B49</f>
        <v>44715</v>
      </c>
      <c r="C11" s="61" t="e">
        <f>skemA3!#REF!</f>
        <v>#REF!</v>
      </c>
      <c r="D11" s="61" t="e">
        <f>skemA3!#REF!</f>
        <v>#REF!</v>
      </c>
      <c r="E11" s="61" t="str">
        <f>IF('Tabel 6'!G19=0,'Tabel 6'!G19,"-")</f>
        <v>-</v>
      </c>
      <c r="F11" s="61">
        <f>IF('Tabel 6'!G19&gt;0,'Tabel 6'!G19,"-")</f>
        <v>1</v>
      </c>
      <c r="G11" s="61" t="str">
        <f>IF('Tabel 6'!G19&lt;0,'Tabel 6'!G19,"-")</f>
        <v>-</v>
      </c>
      <c r="H11" s="61">
        <f>skemA3!I49</f>
        <v>161.29999999999995</v>
      </c>
      <c r="I11" s="61">
        <f t="shared" si="0"/>
        <v>161.29999999999995</v>
      </c>
      <c r="J11" s="61" t="str">
        <f t="shared" si="1"/>
        <v>-</v>
      </c>
    </row>
    <row r="12" spans="2:10">
      <c r="B12" s="61">
        <f>skemA3!B50</f>
        <v>44716</v>
      </c>
      <c r="C12" s="61" t="e">
        <f>skemA3!#REF!</f>
        <v>#REF!</v>
      </c>
      <c r="D12" s="61" t="e">
        <f>skemA3!#REF!</f>
        <v>#REF!</v>
      </c>
      <c r="E12" s="61">
        <f>IF('Tabel 6'!G20=0,'Tabel 6'!G20,"-")</f>
        <v>0</v>
      </c>
      <c r="F12" s="61" t="str">
        <f>IF('Tabel 6'!G20&gt;0,'Tabel 6'!G20,"-")</f>
        <v>-</v>
      </c>
      <c r="G12" s="61" t="str">
        <f>IF('Tabel 6'!G20&lt;0,'Tabel 6'!G20,"-")</f>
        <v>-</v>
      </c>
      <c r="H12" s="61">
        <f>skemA3!I50</f>
        <v>182.34999999999968</v>
      </c>
      <c r="I12" s="61" t="str">
        <f t="shared" si="0"/>
        <v>-</v>
      </c>
      <c r="J12" s="61" t="str">
        <f t="shared" si="1"/>
        <v>-</v>
      </c>
    </row>
    <row r="13" spans="2:10">
      <c r="B13" s="61">
        <f>skemA3!B51</f>
        <v>44717</v>
      </c>
      <c r="C13" s="61" t="e">
        <f>skemA3!#REF!</f>
        <v>#REF!</v>
      </c>
      <c r="D13" s="61" t="e">
        <f>skemA3!#REF!</f>
        <v>#REF!</v>
      </c>
      <c r="E13" s="61" t="str">
        <f>IF('Tabel 6'!G21=0,'Tabel 6'!G21,"-")</f>
        <v>-</v>
      </c>
      <c r="F13" s="61" t="str">
        <f>IF('Tabel 6'!G21&gt;0,'Tabel 6'!G21,"-")</f>
        <v>-</v>
      </c>
      <c r="G13" s="61">
        <f>IF('Tabel 6'!G21&lt;0,'Tabel 6'!G21,"-")</f>
        <v>-1</v>
      </c>
      <c r="H13" s="61">
        <f>skemA3!I51</f>
        <v>165.29999999999973</v>
      </c>
      <c r="I13" s="61" t="str">
        <f t="shared" si="0"/>
        <v>-</v>
      </c>
      <c r="J13" s="61">
        <f t="shared" si="1"/>
        <v>165.29999999999973</v>
      </c>
    </row>
    <row r="14" spans="2:10">
      <c r="B14" s="61">
        <f>skemA3!B52</f>
        <v>44718</v>
      </c>
      <c r="C14" s="61" t="e">
        <f>skemA3!#REF!</f>
        <v>#REF!</v>
      </c>
      <c r="D14" s="61" t="e">
        <f>skemA3!#REF!</f>
        <v>#REF!</v>
      </c>
      <c r="E14" s="61" t="str">
        <f>IF('Tabel 6'!G22=0,'Tabel 6'!G22,"-")</f>
        <v>-</v>
      </c>
      <c r="F14" s="61" t="str">
        <f>IF('Tabel 6'!G22&gt;0,'Tabel 6'!G22,"-")</f>
        <v>-</v>
      </c>
      <c r="G14" s="61">
        <f>IF('Tabel 6'!G22&lt;0,'Tabel 6'!G22,"-")</f>
        <v>-1</v>
      </c>
      <c r="H14" s="61">
        <f>skemA3!I52</f>
        <v>176.79999999999995</v>
      </c>
      <c r="I14" s="61" t="str">
        <f t="shared" si="0"/>
        <v>-</v>
      </c>
      <c r="J14" s="61">
        <f t="shared" si="1"/>
        <v>176.79999999999995</v>
      </c>
    </row>
    <row r="15" spans="2:10">
      <c r="B15" s="61">
        <f>skemA3!B53</f>
        <v>44719</v>
      </c>
      <c r="C15" s="61" t="e">
        <f>skemA3!#REF!</f>
        <v>#REF!</v>
      </c>
      <c r="D15" s="61" t="e">
        <f>skemA3!#REF!</f>
        <v>#REF!</v>
      </c>
      <c r="E15" s="61" t="str">
        <f>IF('Tabel 6'!G23=0,'Tabel 6'!G23,"-")</f>
        <v>-</v>
      </c>
      <c r="F15" s="61" t="str">
        <f>IF('Tabel 6'!G23&gt;0,'Tabel 6'!G23,"-")</f>
        <v>-</v>
      </c>
      <c r="G15" s="61">
        <f>IF('Tabel 6'!G23&lt;0,'Tabel 6'!G23,"-")</f>
        <v>-1</v>
      </c>
      <c r="H15" s="61">
        <f>skemA3!I53</f>
        <v>192.09999999999991</v>
      </c>
      <c r="I15" s="61" t="str">
        <f t="shared" si="0"/>
        <v>-</v>
      </c>
      <c r="J15" s="61">
        <f t="shared" si="1"/>
        <v>192.09999999999991</v>
      </c>
    </row>
    <row r="16" spans="2:10">
      <c r="B16" s="61">
        <f>skemA3!B54</f>
        <v>44720</v>
      </c>
      <c r="C16" s="61" t="e">
        <f>skemA3!#REF!</f>
        <v>#REF!</v>
      </c>
      <c r="D16" s="61" t="e">
        <f>skemA3!#REF!</f>
        <v>#REF!</v>
      </c>
      <c r="E16" s="61" t="str">
        <f>IF('Tabel 6'!G24=0,'Tabel 6'!G24,"-")</f>
        <v>-</v>
      </c>
      <c r="F16" s="61" t="str">
        <f>IF('Tabel 6'!G24&gt;0,'Tabel 6'!G24,"-")</f>
        <v>-</v>
      </c>
      <c r="G16" s="61">
        <f>IF('Tabel 6'!G24&lt;0,'Tabel 6'!G24,"-")</f>
        <v>-1</v>
      </c>
      <c r="H16" s="61">
        <f>skemA3!I54</f>
        <v>192.09999999999991</v>
      </c>
      <c r="I16" s="61" t="str">
        <f t="shared" si="0"/>
        <v>-</v>
      </c>
      <c r="J16" s="61">
        <f t="shared" si="1"/>
        <v>192.09999999999991</v>
      </c>
    </row>
    <row r="17" spans="2:10">
      <c r="B17" s="61">
        <f>skemA3!B55</f>
        <v>44721</v>
      </c>
      <c r="C17" s="61" t="e">
        <f>skemA3!#REF!</f>
        <v>#REF!</v>
      </c>
      <c r="D17" s="61" t="e">
        <f>skemA3!#REF!</f>
        <v>#REF!</v>
      </c>
      <c r="E17" s="61" t="str">
        <f>IF('Tabel 6'!G25=0,'Tabel 6'!G25,"-")</f>
        <v>-</v>
      </c>
      <c r="F17" s="61" t="str">
        <f>IF('Tabel 6'!G25&gt;0,'Tabel 6'!G25,"-")</f>
        <v>-</v>
      </c>
      <c r="G17" s="61">
        <f>IF('Tabel 6'!G25&lt;0,'Tabel 6'!G25,"-")</f>
        <v>-1</v>
      </c>
      <c r="H17" s="61">
        <f>skemA3!I55</f>
        <v>191.40000000000009</v>
      </c>
      <c r="I17" s="61" t="str">
        <f t="shared" si="0"/>
        <v>-</v>
      </c>
      <c r="J17" s="61">
        <f t="shared" si="1"/>
        <v>191.40000000000009</v>
      </c>
    </row>
    <row r="18" spans="2:10">
      <c r="B18" s="61">
        <f>skemA3!B56</f>
        <v>44722</v>
      </c>
      <c r="C18" s="61" t="e">
        <f>skemA3!#REF!</f>
        <v>#REF!</v>
      </c>
      <c r="D18" s="61" t="e">
        <f>skemA3!#REF!</f>
        <v>#REF!</v>
      </c>
      <c r="E18" s="61" t="str">
        <f>IF('Tabel 6'!G26=0,'Tabel 6'!G26,"-")</f>
        <v>-</v>
      </c>
      <c r="F18" s="61" t="str">
        <f>IF('Tabel 6'!G26&gt;0,'Tabel 6'!G26,"-")</f>
        <v>-</v>
      </c>
      <c r="G18" s="61">
        <f>IF('Tabel 6'!G26&lt;0,'Tabel 6'!G26,"-")</f>
        <v>-1</v>
      </c>
      <c r="H18" s="61">
        <f>skemA3!I56</f>
        <v>203.50000000000023</v>
      </c>
      <c r="I18" s="61" t="str">
        <f t="shared" si="0"/>
        <v>-</v>
      </c>
      <c r="J18" s="61">
        <f t="shared" si="1"/>
        <v>203.50000000000023</v>
      </c>
    </row>
    <row r="19" spans="2:10">
      <c r="B19" s="62">
        <f>skemA3!B57</f>
        <v>44723</v>
      </c>
      <c r="C19" s="62" t="e">
        <f>skemA3!#REF!</f>
        <v>#REF!</v>
      </c>
      <c r="D19" s="62" t="e">
        <f>skemA3!#REF!</f>
        <v>#REF!</v>
      </c>
      <c r="E19" s="62">
        <f>IF('Tabel 6'!G27=0,'Tabel 6'!G27,"-")</f>
        <v>0</v>
      </c>
      <c r="F19" s="62" t="str">
        <f>IF('Tabel 6'!G27&gt;0,'Tabel 6'!G27,"-")</f>
        <v>-</v>
      </c>
      <c r="G19" s="62" t="str">
        <f>IF('Tabel 6'!G27&lt;0,'Tabel 6'!G27,"-")</f>
        <v>-</v>
      </c>
      <c r="H19" s="62">
        <f>skemA3!I57</f>
        <v>224.10000000000014</v>
      </c>
      <c r="I19" s="62" t="str">
        <f t="shared" si="0"/>
        <v>-</v>
      </c>
      <c r="J19" s="62" t="str">
        <f t="shared" si="1"/>
        <v>-</v>
      </c>
    </row>
    <row r="20" spans="2:10" ht="15">
      <c r="B20" s="670" t="s">
        <v>85</v>
      </c>
      <c r="C20" s="670"/>
      <c r="D20" s="670"/>
      <c r="E20" s="91"/>
      <c r="F20" s="92"/>
      <c r="G20" s="93"/>
      <c r="H20" s="83">
        <f>SUM(H5:H19)</f>
        <v>2894.1500000000005</v>
      </c>
      <c r="I20" s="94">
        <f>SUM(I5:I19)</f>
        <v>1134.4000000000012</v>
      </c>
      <c r="J20" s="95">
        <f>SUM(J5:J19)</f>
        <v>1121.1999999999998</v>
      </c>
    </row>
    <row r="21" spans="2:10">
      <c r="B21" s="1" t="s">
        <v>104</v>
      </c>
    </row>
  </sheetData>
  <sheetProtection selectLockedCells="1" selectUnlockedCells="1"/>
  <mergeCells count="5">
    <mergeCell ref="I3:J3"/>
    <mergeCell ref="B20:D20"/>
    <mergeCell ref="B3:D3"/>
    <mergeCell ref="E3:G3"/>
    <mergeCell ref="H3:H4"/>
  </mergeCells>
  <phoneticPr fontId="26" type="noConversion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40"/>
  <sheetViews>
    <sheetView showGridLines="0" zoomScaleSheetLayoutView="115" workbookViewId="0">
      <selection activeCell="B4" sqref="B4:G40"/>
    </sheetView>
  </sheetViews>
  <sheetFormatPr defaultColWidth="9.140625" defaultRowHeight="14.25"/>
  <cols>
    <col min="1" max="1" width="2.85546875" style="1" customWidth="1"/>
    <col min="2" max="2" width="7.7109375" style="43" customWidth="1"/>
    <col min="3" max="3" width="7.140625" style="43" customWidth="1"/>
    <col min="4" max="5" width="10" style="43" customWidth="1"/>
    <col min="6" max="7" width="10" style="1" customWidth="1"/>
    <col min="8" max="16384" width="9.140625" style="1"/>
  </cols>
  <sheetData>
    <row r="1" spans="2:7" ht="15">
      <c r="B1" s="52" t="s">
        <v>550</v>
      </c>
    </row>
    <row r="2" spans="2:7" ht="2.25" customHeight="1">
      <c r="B2" s="52"/>
      <c r="C2" s="98"/>
    </row>
    <row r="3" spans="2:7" ht="5.25" customHeight="1"/>
    <row r="4" spans="2:7" ht="13.9" customHeight="1">
      <c r="B4" s="706" t="s">
        <v>134</v>
      </c>
      <c r="C4" s="706"/>
      <c r="D4" s="706" t="s">
        <v>135</v>
      </c>
      <c r="E4" s="706"/>
      <c r="F4" s="706" t="s">
        <v>136</v>
      </c>
      <c r="G4" s="706" t="s">
        <v>137</v>
      </c>
    </row>
    <row r="5" spans="2:7" ht="15">
      <c r="B5" s="706"/>
      <c r="C5" s="706"/>
      <c r="D5" s="612" t="s">
        <v>136</v>
      </c>
      <c r="E5" s="612" t="s">
        <v>137</v>
      </c>
      <c r="F5" s="706"/>
      <c r="G5" s="706"/>
    </row>
    <row r="6" spans="2:7">
      <c r="B6" s="613" t="s">
        <v>37</v>
      </c>
      <c r="C6" s="613" t="s">
        <v>76</v>
      </c>
      <c r="D6" s="613">
        <f>'Tabel 7'!CL5</f>
        <v>115653.15</v>
      </c>
      <c r="E6" s="613">
        <f>'Tabel 7'!CM5</f>
        <v>0</v>
      </c>
      <c r="F6" s="613">
        <f>D6</f>
        <v>115653.15</v>
      </c>
      <c r="G6" s="613"/>
    </row>
    <row r="7" spans="2:7">
      <c r="B7" s="701">
        <v>10</v>
      </c>
      <c r="C7" s="566" t="s">
        <v>76</v>
      </c>
      <c r="D7" s="567">
        <f>'Tabel 7'!CL6</f>
        <v>7920.7500000000018</v>
      </c>
      <c r="E7" s="567">
        <f>'Tabel 7'!CM6</f>
        <v>9666.5499999999975</v>
      </c>
      <c r="F7" s="566">
        <f>IF((D7-D8)&gt;0,(D7-D8),0)</f>
        <v>5020.7500000000018</v>
      </c>
      <c r="G7" s="566">
        <f>IF((E7-E8)&gt;0,(E7-E8),0)</f>
        <v>0</v>
      </c>
    </row>
    <row r="8" spans="2:7">
      <c r="B8" s="702"/>
      <c r="C8" s="568" t="s">
        <v>77</v>
      </c>
      <c r="D8" s="569">
        <f>'Tabel 7'!CL7</f>
        <v>2900</v>
      </c>
      <c r="E8" s="569">
        <f>'Tabel 7'!CM7</f>
        <v>29000</v>
      </c>
      <c r="F8" s="568">
        <f>IF((D7-D8)&lt;0,(D7-D8),0)</f>
        <v>0</v>
      </c>
      <c r="G8" s="568">
        <f>IF((E7-E8)&lt;0,(E7-E8),0)</f>
        <v>-19333.450000000004</v>
      </c>
    </row>
    <row r="9" spans="2:7">
      <c r="B9" s="703">
        <v>12</v>
      </c>
      <c r="C9" s="614" t="s">
        <v>76</v>
      </c>
      <c r="D9" s="614">
        <f>'Tabel 7'!CL8</f>
        <v>2809.8999999999996</v>
      </c>
      <c r="E9" s="614">
        <f>'Tabel 7'!CM8</f>
        <v>5040.0999999999985</v>
      </c>
      <c r="F9" s="614">
        <f>IF((D9-D10+D11)&gt;0,(D9-D10+D11),0)</f>
        <v>0</v>
      </c>
      <c r="G9" s="614">
        <f>IF((E9-E10+E11)&gt;0,(E9-E10+E11),0)</f>
        <v>1413.6499999999987</v>
      </c>
    </row>
    <row r="10" spans="2:7">
      <c r="B10" s="704"/>
      <c r="C10" s="615" t="s">
        <v>77</v>
      </c>
      <c r="D10" s="615">
        <f>'Tabel 7'!CL9</f>
        <v>5110.8500000000004</v>
      </c>
      <c r="E10" s="615">
        <f>'Tabel 7'!CM9</f>
        <v>4626.45</v>
      </c>
      <c r="F10" s="615">
        <f>IF((D9-D10+D11)&lt;0,(D9-D10+D11),0)</f>
        <v>-2200.9500000000007</v>
      </c>
      <c r="G10" s="615">
        <f>IF((E9-E10+E11)&lt;0,(E9-E10+E11),0)</f>
        <v>0</v>
      </c>
    </row>
    <row r="11" spans="2:7">
      <c r="B11" s="705"/>
      <c r="C11" s="616" t="s">
        <v>76</v>
      </c>
      <c r="D11" s="616">
        <f>'Tabel 7'!CL10</f>
        <v>100</v>
      </c>
      <c r="E11" s="616">
        <f>'Tabel 7'!CM10</f>
        <v>1000</v>
      </c>
      <c r="F11" s="616"/>
      <c r="G11" s="616"/>
    </row>
    <row r="12" spans="2:7">
      <c r="B12" s="701" t="s">
        <v>138</v>
      </c>
      <c r="C12" s="566" t="s">
        <v>76</v>
      </c>
      <c r="D12" s="567">
        <f>'Tabel 7'!CL11</f>
        <v>3469.2000000000003</v>
      </c>
      <c r="E12" s="567">
        <f>'Tabel 7'!CM11</f>
        <v>5527.7999999999993</v>
      </c>
      <c r="F12" s="566">
        <f>IF((D12-D13)&gt;0,(D12-D13),0)</f>
        <v>258.40000000000009</v>
      </c>
      <c r="G12" s="566">
        <f>IF((E12-E13)&gt;0,(E12-E13),0)</f>
        <v>3211.2</v>
      </c>
    </row>
    <row r="13" spans="2:7">
      <c r="B13" s="702"/>
      <c r="C13" s="568" t="s">
        <v>77</v>
      </c>
      <c r="D13" s="569">
        <f>'Tabel 7'!CL12</f>
        <v>3210.8</v>
      </c>
      <c r="E13" s="569">
        <f>'Tabel 7'!CM12</f>
        <v>2316.5999999999995</v>
      </c>
      <c r="F13" s="568">
        <f>IF((D12-D13)&lt;0,(D12-D13),0)</f>
        <v>0</v>
      </c>
      <c r="G13" s="568">
        <f>IF((E12-E13)&lt;0,(E12-E13),0)</f>
        <v>0</v>
      </c>
    </row>
    <row r="14" spans="2:7">
      <c r="B14" s="703">
        <v>13</v>
      </c>
      <c r="C14" s="614" t="s">
        <v>76</v>
      </c>
      <c r="D14" s="614">
        <f>'Tabel 7'!CL13</f>
        <v>3877.2000000000007</v>
      </c>
      <c r="E14" s="614">
        <f>'Tabel 7'!CM13</f>
        <v>4376.5999999999985</v>
      </c>
      <c r="F14" s="614">
        <f>IF((D14-D15+D16)&gt;0,(D14-D15+D16),0)</f>
        <v>833.65000000000055</v>
      </c>
      <c r="G14" s="614">
        <f>IF((E14-E15+E16)&gt;0,(E14-E15+E16),0)</f>
        <v>86.649999999999636</v>
      </c>
    </row>
    <row r="15" spans="2:7">
      <c r="B15" s="704"/>
      <c r="C15" s="615" t="s">
        <v>77</v>
      </c>
      <c r="D15" s="615">
        <f>'Tabel 7'!CL14</f>
        <v>4043.55</v>
      </c>
      <c r="E15" s="615">
        <f>'Tabel 7'!CM14</f>
        <v>5289.9499999999989</v>
      </c>
      <c r="F15" s="615">
        <f>IF((D14-D15+D16)&lt;0,(D14-D15+D16),0)</f>
        <v>0</v>
      </c>
      <c r="G15" s="615">
        <f>IF((E14-E15+E16)&lt;0,(E14-E15+E16),0)</f>
        <v>0</v>
      </c>
    </row>
    <row r="16" spans="2:7">
      <c r="B16" s="705"/>
      <c r="C16" s="616" t="s">
        <v>76</v>
      </c>
      <c r="D16" s="616">
        <f>'Tabel 7'!CL15</f>
        <v>1000</v>
      </c>
      <c r="E16" s="616">
        <f>'Tabel 7'!CM15</f>
        <v>1000</v>
      </c>
      <c r="F16" s="616"/>
      <c r="G16" s="616"/>
    </row>
    <row r="17" spans="2:8">
      <c r="B17" s="701" t="s">
        <v>139</v>
      </c>
      <c r="C17" s="566" t="s">
        <v>76</v>
      </c>
      <c r="D17" s="567">
        <f>'Tabel 7'!CL16</f>
        <v>3854.9999999999995</v>
      </c>
      <c r="E17" s="567">
        <f>'Tabel 7'!CM16</f>
        <v>5711.7999999999993</v>
      </c>
      <c r="F17" s="566">
        <f>IF((D17-D18)&gt;0,(D17-D18),0)</f>
        <v>0</v>
      </c>
      <c r="G17" s="566">
        <f>IF((E17-E18)&gt;0,(E17-E18),0)</f>
        <v>2394.9499999999998</v>
      </c>
    </row>
    <row r="18" spans="2:8">
      <c r="B18" s="707"/>
      <c r="C18" s="570" t="s">
        <v>77</v>
      </c>
      <c r="D18" s="571">
        <f>'Tabel 7'!CL17</f>
        <v>3856.650000000001</v>
      </c>
      <c r="E18" s="571">
        <f>'Tabel 7'!CM17</f>
        <v>3316.8499999999995</v>
      </c>
      <c r="F18" s="570">
        <f>IF((D17-D18)&lt;0,(D17-D18),0)</f>
        <v>-1.6500000000014552</v>
      </c>
      <c r="G18" s="570">
        <f>IF((E17-E18)&lt;0,(E17-E18),0)</f>
        <v>0</v>
      </c>
    </row>
    <row r="19" spans="2:8">
      <c r="B19" s="699">
        <v>20</v>
      </c>
      <c r="C19" s="617" t="s">
        <v>76</v>
      </c>
      <c r="D19" s="617">
        <f>'Tabel 7'!CL18</f>
        <v>15947.549999999996</v>
      </c>
      <c r="E19" s="617">
        <f>'Tabel 7'!CM18</f>
        <v>21749.55</v>
      </c>
      <c r="F19" s="617">
        <f>IF((D19-D20)&gt;0,(D19-D20),0)</f>
        <v>0</v>
      </c>
      <c r="G19" s="617">
        <f>IF((E19-E20)&gt;0,(E19-E20),0)</f>
        <v>0</v>
      </c>
    </row>
    <row r="20" spans="2:8">
      <c r="B20" s="700"/>
      <c r="C20" s="618" t="s">
        <v>77</v>
      </c>
      <c r="D20" s="618">
        <f>'Tabel 7'!CL19</f>
        <v>26100</v>
      </c>
      <c r="E20" s="618">
        <f>'Tabel 7'!CM19</f>
        <v>29000</v>
      </c>
      <c r="F20" s="618">
        <f>IF((D19-D20)&lt;0,(D19-D20),0)</f>
        <v>-10152.450000000004</v>
      </c>
      <c r="G20" s="618">
        <f>IF((E19-E20)&lt;0,(E19-E20),0)</f>
        <v>-7250.4500000000007</v>
      </c>
    </row>
    <row r="21" spans="2:8">
      <c r="B21" s="696">
        <v>22</v>
      </c>
      <c r="C21" s="572" t="s">
        <v>76</v>
      </c>
      <c r="D21" s="573">
        <f>'Tabel 7'!CL20</f>
        <v>3810.5</v>
      </c>
      <c r="E21" s="573">
        <f>'Tabel 7'!CM20</f>
        <v>8542.2999999999993</v>
      </c>
      <c r="F21" s="572">
        <f>IF((D21-D22+D23)&gt;0,(D21-D22+D23),0)</f>
        <v>1358.4500000000007</v>
      </c>
      <c r="G21" s="572">
        <f>IF((E21-E22+E23)&gt;0,(E21-E22+E23),0)</f>
        <v>7234.8499999999995</v>
      </c>
    </row>
    <row r="22" spans="2:8">
      <c r="B22" s="697"/>
      <c r="C22" s="574" t="s">
        <v>77</v>
      </c>
      <c r="D22" s="575">
        <f>'Tabel 7'!CL21</f>
        <v>3352.0499999999993</v>
      </c>
      <c r="E22" s="575">
        <f>'Tabel 7'!CM21</f>
        <v>2307.4499999999998</v>
      </c>
      <c r="F22" s="574">
        <f>IF((D21-D22+D23)&lt;0,(D21-D22+D23),0)</f>
        <v>0</v>
      </c>
      <c r="G22" s="574">
        <f>IF((E21-E22+E23)&lt;0,(E21-E22+E23),0)</f>
        <v>0</v>
      </c>
    </row>
    <row r="23" spans="2:8">
      <c r="B23" s="698"/>
      <c r="C23" s="576" t="s">
        <v>76</v>
      </c>
      <c r="D23" s="577">
        <f>'Tabel 7'!CL22</f>
        <v>900</v>
      </c>
      <c r="E23" s="577">
        <f>'Tabel 7'!CM22</f>
        <v>1000</v>
      </c>
      <c r="F23" s="576"/>
      <c r="G23" s="576"/>
    </row>
    <row r="24" spans="2:8">
      <c r="B24" s="699" t="s">
        <v>140</v>
      </c>
      <c r="C24" s="617" t="s">
        <v>76</v>
      </c>
      <c r="D24" s="617">
        <f>'Tabel 7'!CL23</f>
        <v>5392.6</v>
      </c>
      <c r="E24" s="617">
        <f>'Tabel 7'!CM23</f>
        <v>3667.3999999999987</v>
      </c>
      <c r="F24" s="617">
        <f>IF((D24-D25)&gt;0,(D24-D25),0)</f>
        <v>4702.4000000000005</v>
      </c>
      <c r="G24" s="617">
        <f>IF((E24-E25)&gt;0,(E24-E25),0)</f>
        <v>0</v>
      </c>
    </row>
    <row r="25" spans="2:8">
      <c r="B25" s="700"/>
      <c r="C25" s="618" t="s">
        <v>77</v>
      </c>
      <c r="D25" s="618">
        <f>'Tabel 7'!CL24</f>
        <v>690.19999999999982</v>
      </c>
      <c r="E25" s="618">
        <f>'Tabel 7'!CM24</f>
        <v>4255.6000000000004</v>
      </c>
      <c r="F25" s="618">
        <f>IF((D24-D25)&lt;0,(D24-D25),0)</f>
        <v>0</v>
      </c>
      <c r="G25" s="618">
        <f>IF((E24-E25)&lt;0,(E24-E25),0)</f>
        <v>-588.20000000000164</v>
      </c>
    </row>
    <row r="26" spans="2:8">
      <c r="B26" s="696">
        <v>23</v>
      </c>
      <c r="C26" s="572" t="s">
        <v>76</v>
      </c>
      <c r="D26" s="573">
        <f>'Tabel 7'!CL25</f>
        <v>2851.7999999999993</v>
      </c>
      <c r="E26" s="573">
        <f>'Tabel 7'!CM25</f>
        <v>6393.2</v>
      </c>
      <c r="F26" s="572">
        <f>IF((D26-D27+D28)&gt;0,(D26-D27+D28),0)</f>
        <v>0</v>
      </c>
      <c r="G26" s="572">
        <f>IF((E26-E27+E28)&gt;0,(E26-E27+E28),0)</f>
        <v>2936.6500000000005</v>
      </c>
      <c r="H26" s="232"/>
    </row>
    <row r="27" spans="2:8">
      <c r="B27" s="697"/>
      <c r="C27" s="574" t="s">
        <v>77</v>
      </c>
      <c r="D27" s="575">
        <f>'Tabel 7'!CL26</f>
        <v>4204.9499999999989</v>
      </c>
      <c r="E27" s="575">
        <f>'Tabel 7'!CM26</f>
        <v>4456.5499999999993</v>
      </c>
      <c r="F27" s="574">
        <f>IF((D26-D27+D28)&lt;0,(D26-D27+D28),0)</f>
        <v>-453.14999999999964</v>
      </c>
      <c r="G27" s="574">
        <f>IF((E26-E27+E28)&lt;0,(E26-E27+E28),0)</f>
        <v>0</v>
      </c>
      <c r="H27" s="232"/>
    </row>
    <row r="28" spans="2:8">
      <c r="B28" s="698"/>
      <c r="C28" s="576" t="s">
        <v>76</v>
      </c>
      <c r="D28" s="577">
        <f>'Tabel 7'!CL27</f>
        <v>900</v>
      </c>
      <c r="E28" s="577">
        <f>'Tabel 7'!CM27</f>
        <v>1000</v>
      </c>
      <c r="F28" s="576"/>
      <c r="G28" s="576"/>
    </row>
    <row r="29" spans="2:8">
      <c r="B29" s="699" t="s">
        <v>141</v>
      </c>
      <c r="C29" s="617" t="s">
        <v>76</v>
      </c>
      <c r="D29" s="617">
        <f>'Tabel 7'!CL28</f>
        <v>3954.1999999999994</v>
      </c>
      <c r="E29" s="617">
        <f>'Tabel 7'!CM28</f>
        <v>8199.5999999999985</v>
      </c>
      <c r="F29" s="617">
        <f>IF((D29-D30)&gt;0,(D29-D30),0)</f>
        <v>1594.5499999999997</v>
      </c>
      <c r="G29" s="617">
        <f>IF((E29-E30)&gt;0,(E29-E30),0)</f>
        <v>6880.7499999999982</v>
      </c>
    </row>
    <row r="30" spans="2:8">
      <c r="B30" s="700"/>
      <c r="C30" s="618" t="s">
        <v>77</v>
      </c>
      <c r="D30" s="618">
        <f>'Tabel 7'!CL29</f>
        <v>2359.6499999999996</v>
      </c>
      <c r="E30" s="618">
        <f>'Tabel 7'!CM29</f>
        <v>1318.85</v>
      </c>
      <c r="F30" s="618">
        <f>IF((D29-D30)&lt;0,(D29-D30),0)</f>
        <v>0</v>
      </c>
      <c r="G30" s="618">
        <f>IF((E29-E30)&lt;0,(E29-E30),0)</f>
        <v>0</v>
      </c>
    </row>
    <row r="31" spans="2:8">
      <c r="B31" s="696">
        <v>42</v>
      </c>
      <c r="C31" s="572" t="s">
        <v>76</v>
      </c>
      <c r="D31" s="573">
        <f>'Tabel 7'!CL30</f>
        <v>683.30000000000041</v>
      </c>
      <c r="E31" s="573">
        <f>'Tabel 7'!CM30</f>
        <v>1672.3000000000009</v>
      </c>
      <c r="F31" s="572">
        <f>IF((D31-D32+D33)&gt;0,(D31-D32+D33),0)</f>
        <v>75.2999999999995</v>
      </c>
      <c r="G31" s="572">
        <f>IF((E31-E32+E33)&gt;0,(E31-E32+E33),0)</f>
        <v>650.45000000000141</v>
      </c>
    </row>
    <row r="32" spans="2:8">
      <c r="B32" s="697"/>
      <c r="C32" s="574" t="s">
        <v>77</v>
      </c>
      <c r="D32" s="575">
        <f>'Tabel 7'!CL31</f>
        <v>708.00000000000091</v>
      </c>
      <c r="E32" s="575">
        <f>'Tabel 7'!CM31</f>
        <v>1221.8499999999995</v>
      </c>
      <c r="F32" s="574">
        <f>IF((D31-D32+D33)&lt;0,(D31-D32+D33),0)</f>
        <v>0</v>
      </c>
      <c r="G32" s="574">
        <f>IF((E31-E32+E33)&lt;0,(E31-E32+E33),0)</f>
        <v>0</v>
      </c>
    </row>
    <row r="33" spans="2:7">
      <c r="B33" s="698"/>
      <c r="C33" s="576" t="s">
        <v>76</v>
      </c>
      <c r="D33" s="577">
        <f>'Tabel 7'!CL32</f>
        <v>100</v>
      </c>
      <c r="E33" s="577">
        <f>'Tabel 7'!CM32</f>
        <v>200</v>
      </c>
      <c r="F33" s="576"/>
      <c r="G33" s="576"/>
    </row>
    <row r="34" spans="2:7">
      <c r="B34" s="699" t="s">
        <v>142</v>
      </c>
      <c r="C34" s="617" t="s">
        <v>76</v>
      </c>
      <c r="D34" s="617">
        <f>'Tabel 7'!CL33</f>
        <v>594.90000000000032</v>
      </c>
      <c r="E34" s="617">
        <f>'Tabel 7'!CM33</f>
        <v>1121.1999999999998</v>
      </c>
      <c r="F34" s="617">
        <f>IF((D34-D35)&gt;0,(D34-D35),0)</f>
        <v>80.099999999999682</v>
      </c>
      <c r="G34" s="617">
        <f>IF((E34-E35)&gt;0,(E34-E35),0)</f>
        <v>0</v>
      </c>
    </row>
    <row r="35" spans="2:7">
      <c r="B35" s="700"/>
      <c r="C35" s="618" t="s">
        <v>77</v>
      </c>
      <c r="D35" s="618">
        <f>'Tabel 7'!CL34</f>
        <v>514.80000000000064</v>
      </c>
      <c r="E35" s="618">
        <f>'Tabel 7'!CM34</f>
        <v>1134.4000000000012</v>
      </c>
      <c r="F35" s="618">
        <f>IF((D34-D35)&lt;0,(D34-D35),0)</f>
        <v>0</v>
      </c>
      <c r="G35" s="618">
        <f>IF((E34-E35)&lt;0,(E34-E35),0)</f>
        <v>-13.20000000000141</v>
      </c>
    </row>
    <row r="36" spans="2:7">
      <c r="B36" s="696">
        <v>44</v>
      </c>
      <c r="C36" s="572" t="s">
        <v>76</v>
      </c>
      <c r="D36" s="573">
        <f>'Tabel 7'!CL35</f>
        <v>741.20000000000118</v>
      </c>
      <c r="E36" s="573">
        <f>'Tabel 7'!CM35</f>
        <v>1546.5499999999993</v>
      </c>
      <c r="F36" s="572">
        <f>IF((D36-D37+D38)&gt;0,(D36-D37+D38),0)</f>
        <v>191.10000000000105</v>
      </c>
      <c r="G36" s="572">
        <f>IF((E36-E37+E38)&gt;0,(E36-E37+E38),0)</f>
        <v>398.94999999999823</v>
      </c>
    </row>
    <row r="37" spans="2:7">
      <c r="B37" s="697"/>
      <c r="C37" s="574" t="s">
        <v>77</v>
      </c>
      <c r="D37" s="575">
        <f>'Tabel 7'!CL36</f>
        <v>650.10000000000014</v>
      </c>
      <c r="E37" s="575">
        <f>'Tabel 7'!CM36</f>
        <v>1347.600000000001</v>
      </c>
      <c r="F37" s="574">
        <f>IF((D36-D37+D38)&lt;0,(D36-D37+D38),0)</f>
        <v>0</v>
      </c>
      <c r="G37" s="574">
        <f>IF((E36-E37+E38)&lt;0,(E36-E37+E38),0)</f>
        <v>0</v>
      </c>
    </row>
    <row r="38" spans="2:7">
      <c r="B38" s="698"/>
      <c r="C38" s="576" t="s">
        <v>76</v>
      </c>
      <c r="D38" s="577">
        <f>'Tabel 7'!CL37</f>
        <v>100</v>
      </c>
      <c r="E38" s="577">
        <f>'Tabel 7'!CM37</f>
        <v>200</v>
      </c>
      <c r="F38" s="576"/>
      <c r="G38" s="576"/>
    </row>
    <row r="39" spans="2:7">
      <c r="B39" s="699" t="s">
        <v>143</v>
      </c>
      <c r="C39" s="617" t="s">
        <v>76</v>
      </c>
      <c r="D39" s="617">
        <f>'Tabel 7'!CL38</f>
        <v>579.80000000000086</v>
      </c>
      <c r="E39" s="617">
        <f>'Tabel 7'!CM38</f>
        <v>1092.3000000000004</v>
      </c>
      <c r="F39" s="617">
        <f>IF((D39-D40)&gt;0,(D39-D40),0)</f>
        <v>49.900000000000773</v>
      </c>
      <c r="G39" s="617">
        <f>IF((E39-E40)&gt;0,(E39-E40),0)</f>
        <v>0</v>
      </c>
    </row>
    <row r="40" spans="2:7">
      <c r="B40" s="700"/>
      <c r="C40" s="618" t="s">
        <v>77</v>
      </c>
      <c r="D40" s="618">
        <f>'Tabel 7'!CL39</f>
        <v>529.90000000000009</v>
      </c>
      <c r="E40" s="618">
        <f>'Tabel 7'!CM39</f>
        <v>1163.3000000000006</v>
      </c>
      <c r="F40" s="618">
        <f>IF((D39-D40)&lt;0,(D39-D40),0)</f>
        <v>0</v>
      </c>
      <c r="G40" s="618">
        <f>IF((E39-E40)&lt;0,(E39-E40),0)</f>
        <v>-71.000000000000227</v>
      </c>
    </row>
  </sheetData>
  <sheetProtection selectLockedCells="1" selectUnlockedCells="1"/>
  <mergeCells count="18">
    <mergeCell ref="B4:C5"/>
    <mergeCell ref="D4:E4"/>
    <mergeCell ref="F4:F5"/>
    <mergeCell ref="G4:G5"/>
    <mergeCell ref="B17:B18"/>
    <mergeCell ref="B21:B23"/>
    <mergeCell ref="B24:B25"/>
    <mergeCell ref="B7:B8"/>
    <mergeCell ref="B9:B11"/>
    <mergeCell ref="B12:B13"/>
    <mergeCell ref="B14:B16"/>
    <mergeCell ref="B19:B20"/>
    <mergeCell ref="B36:B38"/>
    <mergeCell ref="B39:B40"/>
    <mergeCell ref="B26:B28"/>
    <mergeCell ref="B29:B30"/>
    <mergeCell ref="B31:B33"/>
    <mergeCell ref="B34:B35"/>
  </mergeCells>
  <phoneticPr fontId="26" type="noConversion"/>
  <printOptions horizontalCentered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ignoredErrors>
    <ignoredError sqref="B6" numberStoredAsText="1"/>
    <ignoredError sqref="F18:G18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21"/>
  <sheetViews>
    <sheetView zoomScaleSheetLayoutView="100" workbookViewId="0">
      <selection activeCell="C20" sqref="C20"/>
    </sheetView>
  </sheetViews>
  <sheetFormatPr defaultColWidth="9.140625" defaultRowHeight="14.25"/>
  <cols>
    <col min="1" max="1" width="2.85546875" style="1" customWidth="1"/>
    <col min="2" max="3" width="12.85546875" style="1" customWidth="1"/>
    <col min="4" max="11" width="9.140625" style="43"/>
    <col min="12" max="16384" width="9.140625" style="1"/>
  </cols>
  <sheetData>
    <row r="1" spans="2:11" ht="15">
      <c r="B1" s="52" t="s">
        <v>144</v>
      </c>
    </row>
    <row r="2" spans="2:11" ht="16.5">
      <c r="B2" s="106"/>
      <c r="C2" s="106"/>
      <c r="D2" s="78" t="s">
        <v>145</v>
      </c>
      <c r="E2" s="78" t="s">
        <v>146</v>
      </c>
      <c r="F2" s="78" t="s">
        <v>147</v>
      </c>
      <c r="G2" s="78" t="s">
        <v>148</v>
      </c>
      <c r="H2" s="78" t="s">
        <v>149</v>
      </c>
      <c r="I2" s="78" t="s">
        <v>150</v>
      </c>
      <c r="J2" s="78" t="s">
        <v>151</v>
      </c>
      <c r="K2" s="78" t="s">
        <v>152</v>
      </c>
    </row>
    <row r="3" spans="2:11" ht="16.7" customHeight="1">
      <c r="B3" s="708" t="s">
        <v>153</v>
      </c>
      <c r="C3" s="107" t="s">
        <v>154</v>
      </c>
      <c r="D3" s="79">
        <v>1</v>
      </c>
      <c r="E3" s="79"/>
      <c r="F3" s="79"/>
      <c r="G3" s="79"/>
      <c r="H3" s="79"/>
      <c r="I3" s="79"/>
      <c r="J3" s="79"/>
      <c r="K3" s="79"/>
    </row>
    <row r="4" spans="2:11" ht="18.75">
      <c r="B4" s="708"/>
      <c r="C4" s="108" t="s">
        <v>155</v>
      </c>
      <c r="D4" s="80"/>
      <c r="E4" s="80"/>
      <c r="F4" s="80"/>
      <c r="G4" s="80"/>
      <c r="H4" s="80">
        <v>1</v>
      </c>
      <c r="I4" s="80">
        <v>0.08</v>
      </c>
      <c r="J4" s="80"/>
      <c r="K4" s="80"/>
    </row>
    <row r="5" spans="2:11" ht="18.75">
      <c r="B5" s="708"/>
      <c r="C5" s="108" t="s">
        <v>156</v>
      </c>
      <c r="D5" s="80"/>
      <c r="E5" s="80">
        <v>7.0000000000000007E-2</v>
      </c>
      <c r="F5" s="80"/>
      <c r="G5" s="80"/>
      <c r="H5" s="80">
        <v>0.02</v>
      </c>
      <c r="I5" s="80">
        <v>1</v>
      </c>
      <c r="J5" s="80"/>
      <c r="K5" s="80">
        <v>0.02</v>
      </c>
    </row>
    <row r="6" spans="2:11" ht="18.75">
      <c r="B6" s="708"/>
      <c r="C6" s="108" t="s">
        <v>157</v>
      </c>
      <c r="D6" s="80"/>
      <c r="E6" s="80"/>
      <c r="F6" s="80"/>
      <c r="G6" s="80"/>
      <c r="H6" s="80"/>
      <c r="I6" s="80"/>
      <c r="J6" s="80"/>
      <c r="K6" s="80"/>
    </row>
    <row r="7" spans="2:11" ht="18.75">
      <c r="B7" s="708"/>
      <c r="C7" s="108" t="s">
        <v>158</v>
      </c>
      <c r="D7" s="80"/>
      <c r="E7" s="80">
        <v>0.03</v>
      </c>
      <c r="F7" s="80">
        <v>1</v>
      </c>
      <c r="G7" s="80">
        <v>0.03</v>
      </c>
      <c r="H7" s="80"/>
      <c r="I7" s="80"/>
      <c r="J7" s="80"/>
      <c r="K7" s="80"/>
    </row>
    <row r="8" spans="2:11" ht="18.75">
      <c r="B8" s="708"/>
      <c r="C8" s="108" t="s">
        <v>159</v>
      </c>
      <c r="D8" s="80"/>
      <c r="E8" s="80">
        <v>1</v>
      </c>
      <c r="F8" s="80">
        <v>1.4999999999999999E-2</v>
      </c>
      <c r="G8" s="80">
        <v>3.7999999999999999E-2</v>
      </c>
      <c r="H8" s="80">
        <v>2E-3</v>
      </c>
      <c r="I8" s="80">
        <v>5.8000000000000003E-2</v>
      </c>
      <c r="J8" s="80"/>
      <c r="K8" s="80">
        <v>3.5000000000000003E-2</v>
      </c>
    </row>
    <row r="9" spans="2:11" ht="18.75">
      <c r="B9" s="708"/>
      <c r="C9" s="108" t="s">
        <v>160</v>
      </c>
      <c r="D9" s="80"/>
      <c r="E9" s="80">
        <v>0.06</v>
      </c>
      <c r="F9" s="80"/>
      <c r="G9" s="80">
        <v>1</v>
      </c>
      <c r="H9" s="80"/>
      <c r="I9" s="80"/>
      <c r="J9" s="80"/>
      <c r="K9" s="80"/>
    </row>
    <row r="10" spans="2:11" ht="18.75">
      <c r="B10" s="708"/>
      <c r="C10" s="108" t="s">
        <v>161</v>
      </c>
      <c r="D10" s="80"/>
      <c r="E10" s="80">
        <v>0.03</v>
      </c>
      <c r="F10" s="80"/>
      <c r="G10" s="80"/>
      <c r="H10" s="80"/>
      <c r="I10" s="80"/>
      <c r="J10" s="80"/>
      <c r="K10" s="80">
        <v>1</v>
      </c>
    </row>
    <row r="11" spans="2:11" ht="18.75">
      <c r="B11" s="708"/>
      <c r="C11" s="109" t="s">
        <v>162</v>
      </c>
      <c r="D11" s="82"/>
      <c r="E11" s="82"/>
      <c r="F11" s="82"/>
      <c r="G11" s="82"/>
      <c r="H11" s="82"/>
      <c r="I11" s="82"/>
      <c r="J11" s="82">
        <v>1</v>
      </c>
      <c r="K11" s="82">
        <v>0.08</v>
      </c>
    </row>
    <row r="12" spans="2:11" ht="16.7" customHeight="1">
      <c r="B12" s="708" t="s">
        <v>163</v>
      </c>
      <c r="C12" s="110" t="s">
        <v>164</v>
      </c>
      <c r="D12" s="111"/>
      <c r="E12" s="111"/>
      <c r="F12" s="111"/>
      <c r="G12" s="111"/>
      <c r="H12" s="111">
        <v>1</v>
      </c>
      <c r="I12" s="111">
        <v>0.08</v>
      </c>
      <c r="J12" s="111"/>
      <c r="K12" s="111"/>
    </row>
    <row r="13" spans="2:11" ht="18.75">
      <c r="B13" s="708"/>
      <c r="C13" s="108" t="s">
        <v>165</v>
      </c>
      <c r="D13" s="80"/>
      <c r="E13" s="80">
        <v>7.0000000000000007E-2</v>
      </c>
      <c r="F13" s="80"/>
      <c r="G13" s="80"/>
      <c r="H13" s="80">
        <v>0.02</v>
      </c>
      <c r="I13" s="80">
        <v>1</v>
      </c>
      <c r="J13" s="80"/>
      <c r="K13" s="80">
        <v>0.03</v>
      </c>
    </row>
    <row r="14" spans="2:11" ht="18.75">
      <c r="B14" s="708"/>
      <c r="C14" s="108" t="s">
        <v>166</v>
      </c>
      <c r="D14" s="80"/>
      <c r="E14" s="80"/>
      <c r="F14" s="80"/>
      <c r="G14" s="80"/>
      <c r="H14" s="80"/>
      <c r="I14" s="80"/>
      <c r="J14" s="80"/>
      <c r="K14" s="80"/>
    </row>
    <row r="15" spans="2:11" ht="18.75">
      <c r="B15" s="708"/>
      <c r="C15" s="108" t="s">
        <v>167</v>
      </c>
      <c r="D15" s="80"/>
      <c r="E15" s="80">
        <v>0.03</v>
      </c>
      <c r="F15" s="80">
        <v>1</v>
      </c>
      <c r="G15" s="80">
        <v>0.03</v>
      </c>
      <c r="H15" s="80"/>
      <c r="I15" s="80"/>
      <c r="J15" s="80"/>
      <c r="K15" s="80"/>
    </row>
    <row r="16" spans="2:11" ht="18.75">
      <c r="B16" s="708"/>
      <c r="C16" s="108" t="s">
        <v>168</v>
      </c>
      <c r="D16" s="80"/>
      <c r="E16" s="80">
        <v>1</v>
      </c>
      <c r="F16" s="80">
        <v>1.4999999999999999E-2</v>
      </c>
      <c r="G16" s="80">
        <v>3.2000000000000001E-2</v>
      </c>
      <c r="H16" s="80"/>
      <c r="I16" s="80">
        <v>5.7000000000000002E-2</v>
      </c>
      <c r="J16" s="80"/>
      <c r="K16" s="80">
        <v>3.5000000000000003E-2</v>
      </c>
    </row>
    <row r="17" spans="2:11" ht="18.75">
      <c r="B17" s="708"/>
      <c r="C17" s="108" t="s">
        <v>169</v>
      </c>
      <c r="D17" s="80"/>
      <c r="E17" s="80">
        <v>0.06</v>
      </c>
      <c r="F17" s="80"/>
      <c r="G17" s="80">
        <v>1</v>
      </c>
      <c r="H17" s="80"/>
      <c r="I17" s="80"/>
      <c r="J17" s="80"/>
      <c r="K17" s="80"/>
    </row>
    <row r="18" spans="2:11" ht="18.75">
      <c r="B18" s="708"/>
      <c r="C18" s="108" t="s">
        <v>170</v>
      </c>
      <c r="D18" s="80"/>
      <c r="E18" s="80">
        <v>0.03</v>
      </c>
      <c r="F18" s="80"/>
      <c r="G18" s="80"/>
      <c r="H18" s="80"/>
      <c r="I18" s="80"/>
      <c r="J18" s="80">
        <v>0.01</v>
      </c>
      <c r="K18" s="80">
        <v>1</v>
      </c>
    </row>
    <row r="19" spans="2:11" ht="18.75">
      <c r="B19" s="708"/>
      <c r="C19" s="109" t="s">
        <v>171</v>
      </c>
      <c r="D19" s="82"/>
      <c r="E19" s="82"/>
      <c r="F19" s="82"/>
      <c r="G19" s="82"/>
      <c r="H19" s="82"/>
      <c r="I19" s="82"/>
      <c r="J19" s="82">
        <v>1</v>
      </c>
      <c r="K19" s="82">
        <v>0.08</v>
      </c>
    </row>
    <row r="20" spans="2:11" ht="15">
      <c r="B20" s="112" t="s">
        <v>172</v>
      </c>
      <c r="C20" s="113" t="s">
        <v>173</v>
      </c>
      <c r="E20" s="63">
        <v>559</v>
      </c>
      <c r="F20" s="63">
        <v>448</v>
      </c>
      <c r="G20" s="63">
        <v>566</v>
      </c>
      <c r="H20" s="63">
        <v>439</v>
      </c>
      <c r="I20" s="63">
        <v>565</v>
      </c>
      <c r="J20" s="63">
        <v>507</v>
      </c>
      <c r="K20" s="63">
        <v>535</v>
      </c>
    </row>
    <row r="21" spans="2:11" ht="15">
      <c r="B21" s="112" t="s">
        <v>172</v>
      </c>
      <c r="C21" s="113" t="s">
        <v>174</v>
      </c>
      <c r="D21" s="63">
        <v>696</v>
      </c>
      <c r="E21" s="63">
        <v>333</v>
      </c>
      <c r="F21" s="63">
        <v>345</v>
      </c>
      <c r="G21" s="63">
        <v>327</v>
      </c>
      <c r="H21" s="63">
        <v>173</v>
      </c>
      <c r="I21" s="63">
        <v>160</v>
      </c>
      <c r="J21" s="63">
        <v>307</v>
      </c>
      <c r="K21" s="63">
        <v>318</v>
      </c>
    </row>
  </sheetData>
  <sheetProtection selectLockedCells="1" selectUnlockedCells="1"/>
  <mergeCells count="2">
    <mergeCell ref="B3:B11"/>
    <mergeCell ref="B12:B19"/>
  </mergeCells>
  <phoneticPr fontId="26" type="noConversion"/>
  <printOptions horizontalCentered="1"/>
  <pageMargins left="1.6902777777777778" right="0.74791666666666667" top="1.2402777777777778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K21"/>
  <sheetViews>
    <sheetView zoomScaleSheetLayoutView="85" workbookViewId="0">
      <selection activeCell="E4" sqref="E4"/>
    </sheetView>
  </sheetViews>
  <sheetFormatPr defaultColWidth="9.140625" defaultRowHeight="14.25"/>
  <cols>
    <col min="1" max="1" width="2.85546875" style="1" customWidth="1"/>
    <col min="2" max="3" width="12.85546875" style="1" customWidth="1"/>
    <col min="4" max="11" width="9.140625" style="43"/>
    <col min="12" max="16384" width="9.140625" style="1"/>
  </cols>
  <sheetData>
    <row r="1" spans="2:11" ht="15">
      <c r="B1" s="52" t="s">
        <v>175</v>
      </c>
    </row>
    <row r="2" spans="2:11" ht="16.5">
      <c r="B2" s="106"/>
      <c r="C2" s="106"/>
      <c r="D2" s="78" t="s">
        <v>145</v>
      </c>
      <c r="E2" s="78" t="s">
        <v>146</v>
      </c>
      <c r="F2" s="78" t="s">
        <v>147</v>
      </c>
      <c r="G2" s="78" t="s">
        <v>148</v>
      </c>
      <c r="H2" s="78" t="s">
        <v>149</v>
      </c>
      <c r="I2" s="78" t="s">
        <v>150</v>
      </c>
      <c r="J2" s="78" t="s">
        <v>151</v>
      </c>
      <c r="K2" s="78" t="s">
        <v>152</v>
      </c>
    </row>
    <row r="3" spans="2:11" ht="16.7" customHeight="1">
      <c r="B3" s="708" t="s">
        <v>153</v>
      </c>
      <c r="C3" s="107" t="s">
        <v>154</v>
      </c>
      <c r="D3" s="79">
        <v>1</v>
      </c>
      <c r="E3" s="79"/>
      <c r="F3" s="79"/>
      <c r="G3" s="79"/>
      <c r="H3" s="79"/>
      <c r="I3" s="79"/>
      <c r="J3" s="79"/>
      <c r="K3" s="79"/>
    </row>
    <row r="4" spans="2:11" ht="18.75">
      <c r="B4" s="708"/>
      <c r="C4" s="108" t="s">
        <v>155</v>
      </c>
      <c r="D4" s="80">
        <v>0.01</v>
      </c>
      <c r="E4" s="120">
        <v>-1.4E-2</v>
      </c>
      <c r="F4" s="80">
        <v>0.01</v>
      </c>
      <c r="G4" s="80">
        <v>0.03</v>
      </c>
      <c r="H4" s="81">
        <v>1.4999899999999999</v>
      </c>
      <c r="I4" s="120">
        <v>-7.4555549999999998E-2</v>
      </c>
      <c r="J4" s="80">
        <v>0.01</v>
      </c>
      <c r="K4" s="80"/>
    </row>
    <row r="5" spans="2:11" ht="18.75">
      <c r="B5" s="708"/>
      <c r="C5" s="108" t="s">
        <v>156</v>
      </c>
      <c r="D5" s="80">
        <v>-0.02</v>
      </c>
      <c r="E5" s="120">
        <v>8.5000000000000006E-2</v>
      </c>
      <c r="F5" s="80">
        <v>-0.01</v>
      </c>
      <c r="G5" s="80">
        <v>-0.09</v>
      </c>
      <c r="H5" s="120">
        <v>-9.4555E-2</v>
      </c>
      <c r="I5" s="81">
        <v>0.96</v>
      </c>
      <c r="J5" s="80">
        <v>-0.02</v>
      </c>
      <c r="K5" s="80">
        <v>0.02</v>
      </c>
    </row>
    <row r="6" spans="2:11" ht="18.75">
      <c r="B6" s="708"/>
      <c r="C6" s="108" t="s">
        <v>157</v>
      </c>
      <c r="D6" s="80">
        <v>0.04</v>
      </c>
      <c r="E6" s="80">
        <v>-7.0000000000000007E-2</v>
      </c>
      <c r="F6" s="80">
        <v>0.01</v>
      </c>
      <c r="G6" s="80">
        <v>0.13</v>
      </c>
      <c r="H6" s="120">
        <v>0.19500000000000001</v>
      </c>
      <c r="I6" s="120">
        <v>-0.58499999999999996</v>
      </c>
      <c r="J6" s="80">
        <v>0.03</v>
      </c>
      <c r="K6" s="80"/>
    </row>
    <row r="7" spans="2:11" ht="18.75">
      <c r="B7" s="708"/>
      <c r="C7" s="108" t="s">
        <v>158</v>
      </c>
      <c r="D7" s="80">
        <v>-0.01</v>
      </c>
      <c r="E7" s="80">
        <v>-0.15</v>
      </c>
      <c r="F7" s="80">
        <v>1</v>
      </c>
      <c r="G7" s="80">
        <v>0.28999999999999998</v>
      </c>
      <c r="H7" s="80">
        <v>0.01</v>
      </c>
      <c r="I7" s="80"/>
      <c r="J7" s="80">
        <v>0.02</v>
      </c>
      <c r="K7" s="80"/>
    </row>
    <row r="8" spans="2:11" ht="18.75">
      <c r="B8" s="708"/>
      <c r="C8" s="108" t="s">
        <v>159</v>
      </c>
      <c r="D8" s="80">
        <v>0.01</v>
      </c>
      <c r="E8" s="80">
        <v>1</v>
      </c>
      <c r="F8" s="80">
        <v>-0.14000000000000001</v>
      </c>
      <c r="G8" s="80">
        <v>-0.61</v>
      </c>
      <c r="H8" s="80">
        <v>-0.02</v>
      </c>
      <c r="I8" s="120">
        <v>-3.4555500000000003E-2</v>
      </c>
      <c r="J8" s="80">
        <v>0.03</v>
      </c>
      <c r="K8" s="80">
        <v>-0.01</v>
      </c>
    </row>
    <row r="9" spans="2:11" ht="18.75">
      <c r="B9" s="708"/>
      <c r="C9" s="108" t="s">
        <v>160</v>
      </c>
      <c r="D9" s="80">
        <v>-0.02</v>
      </c>
      <c r="E9" s="120">
        <v>-0.64544440000000003</v>
      </c>
      <c r="F9" s="80">
        <v>0.25</v>
      </c>
      <c r="G9" s="80">
        <v>1</v>
      </c>
      <c r="H9" s="120">
        <v>3.4555549999999997E-2</v>
      </c>
      <c r="I9" s="80"/>
      <c r="J9" s="80">
        <v>-0.05</v>
      </c>
      <c r="K9" s="80">
        <v>-0.01</v>
      </c>
    </row>
    <row r="10" spans="2:11" ht="18.75">
      <c r="B10" s="708"/>
      <c r="C10" s="108" t="s">
        <v>176</v>
      </c>
      <c r="D10" s="80"/>
      <c r="E10" s="80">
        <v>0.01</v>
      </c>
      <c r="F10" s="80"/>
      <c r="G10" s="80">
        <v>0.01</v>
      </c>
      <c r="H10" s="80"/>
      <c r="I10" s="80"/>
      <c r="J10" s="80">
        <v>0.1</v>
      </c>
      <c r="K10" s="80">
        <v>1</v>
      </c>
    </row>
    <row r="11" spans="2:11" ht="18.75">
      <c r="B11" s="708"/>
      <c r="C11" s="109" t="s">
        <v>162</v>
      </c>
      <c r="D11" s="82"/>
      <c r="E11" s="82">
        <v>-0.01</v>
      </c>
      <c r="F11" s="82">
        <v>0.01</v>
      </c>
      <c r="G11" s="82">
        <v>0.02</v>
      </c>
      <c r="H11" s="82"/>
      <c r="I11" s="82"/>
      <c r="J11" s="82">
        <v>1.01</v>
      </c>
      <c r="K11" s="82">
        <v>-0.05</v>
      </c>
    </row>
    <row r="12" spans="2:11" ht="16.7" customHeight="1">
      <c r="B12" s="708" t="s">
        <v>163</v>
      </c>
      <c r="C12" s="107" t="s">
        <v>164</v>
      </c>
      <c r="D12" s="79"/>
      <c r="E12" s="79"/>
      <c r="F12" s="79">
        <v>-0.01</v>
      </c>
      <c r="G12" s="79">
        <v>0.02</v>
      </c>
      <c r="H12" s="119">
        <v>1.0144555500000001</v>
      </c>
      <c r="I12" s="119">
        <v>-7.8999990000000006E-2</v>
      </c>
      <c r="J12" s="79">
        <v>0.01</v>
      </c>
      <c r="K12" s="79">
        <v>0.01</v>
      </c>
    </row>
    <row r="13" spans="2:11" ht="18.75">
      <c r="B13" s="708"/>
      <c r="C13" s="108" t="s">
        <v>165</v>
      </c>
      <c r="D13" s="80"/>
      <c r="E13" s="80">
        <v>0.05</v>
      </c>
      <c r="F13" s="80">
        <v>0.01</v>
      </c>
      <c r="G13" s="80">
        <v>-0.05</v>
      </c>
      <c r="H13" s="120">
        <v>-0.124555555</v>
      </c>
      <c r="I13" s="120">
        <v>1.054444444</v>
      </c>
      <c r="J13" s="80">
        <v>-0.03</v>
      </c>
      <c r="K13" s="80">
        <v>0.01</v>
      </c>
    </row>
    <row r="14" spans="2:11" ht="18.75">
      <c r="B14" s="708"/>
      <c r="C14" s="108" t="s">
        <v>166</v>
      </c>
      <c r="D14" s="80"/>
      <c r="E14" s="80">
        <v>-0.02</v>
      </c>
      <c r="F14" s="80">
        <v>-0.02</v>
      </c>
      <c r="G14" s="80">
        <v>0.09</v>
      </c>
      <c r="H14" s="120">
        <v>0.24445555499999999</v>
      </c>
      <c r="I14" s="120">
        <v>-0.64500000000000002</v>
      </c>
      <c r="J14" s="80">
        <v>0.04</v>
      </c>
      <c r="K14" s="80">
        <v>0.02</v>
      </c>
    </row>
    <row r="15" spans="2:11" ht="18.75">
      <c r="B15" s="708"/>
      <c r="C15" s="108" t="s">
        <v>167</v>
      </c>
      <c r="D15" s="80"/>
      <c r="E15" s="80">
        <v>-0.16</v>
      </c>
      <c r="F15" s="80">
        <v>1</v>
      </c>
      <c r="G15" s="80">
        <v>0.3</v>
      </c>
      <c r="H15" s="80">
        <v>-0.01</v>
      </c>
      <c r="I15" s="120">
        <v>2.4444444444399999E-2</v>
      </c>
      <c r="J15" s="80">
        <v>-0.03</v>
      </c>
      <c r="K15" s="80">
        <v>-0.01</v>
      </c>
    </row>
    <row r="16" spans="2:11" ht="18.75">
      <c r="B16" s="708"/>
      <c r="C16" s="108" t="s">
        <v>168</v>
      </c>
      <c r="D16" s="80"/>
      <c r="E16" s="120">
        <v>1.0449999999999999</v>
      </c>
      <c r="F16" s="80">
        <v>-0.15</v>
      </c>
      <c r="G16" s="80">
        <v>-0.64</v>
      </c>
      <c r="H16" s="120">
        <v>2.4E-2</v>
      </c>
      <c r="I16" s="80">
        <v>-0.1</v>
      </c>
      <c r="J16" s="80">
        <v>0.04</v>
      </c>
      <c r="K16" s="80">
        <v>-0.02</v>
      </c>
    </row>
    <row r="17" spans="2:11" ht="18.75">
      <c r="B17" s="708"/>
      <c r="C17" s="108" t="s">
        <v>169</v>
      </c>
      <c r="D17" s="80"/>
      <c r="E17" s="80">
        <v>-0.7</v>
      </c>
      <c r="F17" s="80">
        <v>0.26</v>
      </c>
      <c r="G17" s="80">
        <v>1.03</v>
      </c>
      <c r="H17" s="120">
        <v>-3.44E-2</v>
      </c>
      <c r="I17" s="80">
        <v>0.09</v>
      </c>
      <c r="J17" s="80">
        <v>-7.0000000000000007E-2</v>
      </c>
      <c r="K17" s="80">
        <v>-0.03</v>
      </c>
    </row>
    <row r="18" spans="2:11" ht="18.75">
      <c r="B18" s="708"/>
      <c r="C18" s="108" t="s">
        <v>177</v>
      </c>
      <c r="D18" s="80"/>
      <c r="E18" s="80">
        <v>0.02</v>
      </c>
      <c r="F18" s="80"/>
      <c r="G18" s="80"/>
      <c r="H18" s="80"/>
      <c r="I18" s="80"/>
      <c r="J18" s="80">
        <v>0.11</v>
      </c>
      <c r="K18" s="80">
        <v>1</v>
      </c>
    </row>
    <row r="19" spans="2:11" ht="18.75">
      <c r="B19" s="708"/>
      <c r="C19" s="109" t="s">
        <v>171</v>
      </c>
      <c r="D19" s="82"/>
      <c r="E19" s="82">
        <v>-0.03</v>
      </c>
      <c r="F19" s="82">
        <v>0.01</v>
      </c>
      <c r="G19" s="82">
        <v>0.05</v>
      </c>
      <c r="H19" s="82"/>
      <c r="I19" s="82"/>
      <c r="J19" s="82">
        <v>1</v>
      </c>
      <c r="K19" s="82">
        <v>-0.06</v>
      </c>
    </row>
    <row r="20" spans="2:11" ht="15">
      <c r="B20" s="112" t="s">
        <v>172</v>
      </c>
      <c r="C20" s="63" t="s">
        <v>178</v>
      </c>
      <c r="D20" s="43">
        <v>360</v>
      </c>
      <c r="E20" s="63">
        <v>175</v>
      </c>
      <c r="F20" s="63">
        <v>214</v>
      </c>
      <c r="G20" s="63">
        <v>166</v>
      </c>
      <c r="H20" s="63">
        <v>217</v>
      </c>
      <c r="I20" s="63">
        <v>177</v>
      </c>
      <c r="J20" s="63">
        <v>273</v>
      </c>
      <c r="K20" s="63">
        <v>280</v>
      </c>
    </row>
    <row r="21" spans="2:11" ht="15">
      <c r="B21" s="112" t="s">
        <v>172</v>
      </c>
      <c r="C21" s="113" t="s">
        <v>174</v>
      </c>
      <c r="D21" s="63"/>
      <c r="E21" s="63">
        <v>333</v>
      </c>
      <c r="F21" s="63">
        <v>345</v>
      </c>
      <c r="G21" s="63">
        <v>327</v>
      </c>
      <c r="H21" s="63">
        <v>173</v>
      </c>
      <c r="I21" s="63">
        <v>160</v>
      </c>
      <c r="J21" s="63">
        <v>307</v>
      </c>
      <c r="K21" s="63">
        <v>318</v>
      </c>
    </row>
  </sheetData>
  <sheetProtection selectLockedCells="1" selectUnlockedCells="1"/>
  <mergeCells count="2">
    <mergeCell ref="B3:B11"/>
    <mergeCell ref="B12:B19"/>
  </mergeCells>
  <phoneticPr fontId="26" type="noConversion"/>
  <printOptions horizontalCentered="1"/>
  <pageMargins left="1.8097222222222222" right="0.74791666666666667" top="1.1097222222222223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L29"/>
  <sheetViews>
    <sheetView workbookViewId="0">
      <selection activeCell="K7" sqref="K7"/>
    </sheetView>
  </sheetViews>
  <sheetFormatPr defaultColWidth="9.140625" defaultRowHeight="14.25"/>
  <cols>
    <col min="1" max="1" width="2.85546875" style="1" customWidth="1"/>
    <col min="2" max="2" width="12.85546875" style="1" customWidth="1"/>
    <col min="3" max="3" width="2.28515625" style="1" customWidth="1"/>
    <col min="4" max="4" width="10" style="1" customWidth="1"/>
    <col min="5" max="12" width="10" style="43" customWidth="1"/>
    <col min="13" max="16384" width="9.140625" style="1"/>
  </cols>
  <sheetData>
    <row r="1" spans="2:12">
      <c r="B1" s="1" t="s">
        <v>187</v>
      </c>
    </row>
    <row r="2" spans="2:12">
      <c r="B2" s="123" t="s">
        <v>188</v>
      </c>
      <c r="C2" s="123"/>
      <c r="D2" s="123"/>
      <c r="L2" s="1"/>
    </row>
    <row r="4" spans="2:12">
      <c r="B4" s="124" t="s">
        <v>180</v>
      </c>
      <c r="C4" s="125"/>
      <c r="D4" s="126" t="str">
        <f>'skemA5&amp;6'!J3</f>
        <v>: Pantai Sanur</v>
      </c>
      <c r="E4" s="127"/>
      <c r="F4" s="128"/>
      <c r="G4" s="128"/>
      <c r="H4" s="128"/>
      <c r="I4" s="128"/>
      <c r="J4" s="128"/>
      <c r="K4" s="128"/>
      <c r="L4" s="129"/>
    </row>
    <row r="5" spans="2:12">
      <c r="B5" s="130" t="s">
        <v>181</v>
      </c>
      <c r="C5" s="117"/>
      <c r="D5" s="45" t="s">
        <v>189</v>
      </c>
      <c r="E5" s="45"/>
      <c r="F5" s="1"/>
      <c r="I5" s="1" t="s">
        <v>182</v>
      </c>
      <c r="J5" s="1"/>
      <c r="K5" s="1" t="str">
        <f>'skemA5&amp;6'!J4</f>
        <v>: 31 Januari 2021</v>
      </c>
      <c r="L5" s="131"/>
    </row>
    <row r="6" spans="2:12">
      <c r="B6" s="130" t="s">
        <v>183</v>
      </c>
      <c r="C6" s="117"/>
      <c r="D6" s="45" t="s">
        <v>190</v>
      </c>
      <c r="E6" s="45"/>
      <c r="F6" s="1"/>
      <c r="I6" s="1" t="s">
        <v>184</v>
      </c>
      <c r="J6" s="1"/>
      <c r="K6" s="709">
        <v>8</v>
      </c>
      <c r="L6" s="709"/>
    </row>
    <row r="7" spans="2:12">
      <c r="B7" s="132"/>
      <c r="C7" s="133"/>
      <c r="D7" s="134"/>
      <c r="E7" s="135"/>
      <c r="F7" s="135"/>
      <c r="G7" s="135"/>
      <c r="H7" s="135"/>
      <c r="I7" s="135"/>
      <c r="J7" s="135"/>
      <c r="K7" s="135"/>
      <c r="L7" s="136"/>
    </row>
    <row r="8" spans="2:12" ht="18.75" customHeight="1">
      <c r="B8" s="137" t="s">
        <v>154</v>
      </c>
      <c r="C8" s="125" t="s">
        <v>3</v>
      </c>
      <c r="D8" s="129">
        <f>'skemA5&amp;6'!C8</f>
        <v>115653.15</v>
      </c>
      <c r="E8" s="66">
        <f>ROUND('skemA5&amp;6'!D8,0)</f>
        <v>115653</v>
      </c>
      <c r="F8" s="129">
        <f>ROUND('skemA5&amp;6'!E8,0)</f>
        <v>0</v>
      </c>
      <c r="G8" s="129">
        <f>ROUND('skemA5&amp;6'!F8,0)</f>
        <v>0</v>
      </c>
      <c r="H8" s="129">
        <f>ROUND('skemA5&amp;6'!G8,0)</f>
        <v>0</v>
      </c>
      <c r="I8" s="129">
        <f>ROUND('skemA5&amp;6'!H8,0)</f>
        <v>0</v>
      </c>
      <c r="J8" s="129">
        <f>ROUND('skemA5&amp;6'!I8,0)</f>
        <v>0</v>
      </c>
      <c r="K8" s="129">
        <f>ROUND('skemA5&amp;6'!J8,0)</f>
        <v>0</v>
      </c>
      <c r="L8" s="129">
        <f>ROUND('skemA5&amp;6'!K8,0)</f>
        <v>0</v>
      </c>
    </row>
    <row r="9" spans="2:12" ht="18.75">
      <c r="B9" s="138" t="s">
        <v>155</v>
      </c>
      <c r="C9" s="117" t="s">
        <v>3</v>
      </c>
      <c r="D9" s="139">
        <f>'skemA5&amp;6'!C9</f>
        <v>5020.7500000000018</v>
      </c>
      <c r="E9" s="61">
        <f>ROUND('skemA5&amp;6'!D9,0)</f>
        <v>0</v>
      </c>
      <c r="F9" s="139">
        <f>ROUND('skemA5&amp;6'!E9,0)</f>
        <v>0</v>
      </c>
      <c r="G9" s="139">
        <f>ROUND('skemA5&amp;6'!F9,0)</f>
        <v>0</v>
      </c>
      <c r="H9" s="139">
        <f>ROUND('skemA5&amp;6'!G9,0)</f>
        <v>0</v>
      </c>
      <c r="I9" s="139">
        <f>ROUND('skemA5&amp;6'!H9,0)</f>
        <v>5021</v>
      </c>
      <c r="J9" s="139">
        <f>ROUND('skemA5&amp;6'!I9,0)</f>
        <v>402</v>
      </c>
      <c r="K9" s="139">
        <f>ROUND('skemA5&amp;6'!J9,0)</f>
        <v>0</v>
      </c>
      <c r="L9" s="139">
        <f>ROUND('skemA5&amp;6'!K9,0)</f>
        <v>0</v>
      </c>
    </row>
    <row r="10" spans="2:12" ht="18.75">
      <c r="B10" s="138" t="s">
        <v>156</v>
      </c>
      <c r="C10" s="117" t="s">
        <v>3</v>
      </c>
      <c r="D10" s="139">
        <f>'skemA5&amp;6'!C10</f>
        <v>-5412.1500000000005</v>
      </c>
      <c r="E10" s="61">
        <f>ROUND('skemA5&amp;6'!D10,0)</f>
        <v>0</v>
      </c>
      <c r="F10" s="139">
        <f>ROUND('skemA5&amp;6'!E10,0)</f>
        <v>-379</v>
      </c>
      <c r="G10" s="139">
        <f>ROUND('skemA5&amp;6'!F10,0)</f>
        <v>0</v>
      </c>
      <c r="H10" s="139">
        <f>ROUND('skemA5&amp;6'!G10,0)</f>
        <v>0</v>
      </c>
      <c r="I10" s="139">
        <f>ROUND('skemA5&amp;6'!H10,0)</f>
        <v>-108</v>
      </c>
      <c r="J10" s="139">
        <f>ROUND('skemA5&amp;6'!I10,0)</f>
        <v>-5412</v>
      </c>
      <c r="K10" s="139">
        <f>ROUND('skemA5&amp;6'!J10,0)</f>
        <v>0</v>
      </c>
      <c r="L10" s="139">
        <f>ROUND('skemA5&amp;6'!K10,0)</f>
        <v>-108</v>
      </c>
    </row>
    <row r="11" spans="2:12" ht="18.75">
      <c r="B11" s="138" t="s">
        <v>157</v>
      </c>
      <c r="C11" s="117" t="s">
        <v>3</v>
      </c>
      <c r="D11" s="139">
        <f>'skemA5&amp;6'!C11</f>
        <v>-1561.2999999999993</v>
      </c>
      <c r="E11" s="61">
        <f>ROUND('skemA5&amp;6'!D11,0)</f>
        <v>0</v>
      </c>
      <c r="F11" s="139">
        <f>ROUND('skemA5&amp;6'!E11,0)</f>
        <v>0</v>
      </c>
      <c r="G11" s="139">
        <f>ROUND('skemA5&amp;6'!F11,0)</f>
        <v>0</v>
      </c>
      <c r="H11" s="139">
        <f>ROUND('skemA5&amp;6'!G11,0)</f>
        <v>0</v>
      </c>
      <c r="I11" s="139">
        <f>ROUND('skemA5&amp;6'!H11,0)</f>
        <v>0</v>
      </c>
      <c r="J11" s="139">
        <f>ROUND('skemA5&amp;6'!I11,0)</f>
        <v>0</v>
      </c>
      <c r="K11" s="139">
        <f>ROUND('skemA5&amp;6'!J11,0)</f>
        <v>0</v>
      </c>
      <c r="L11" s="139">
        <f>ROUND('skemA5&amp;6'!K11,0)</f>
        <v>0</v>
      </c>
    </row>
    <row r="12" spans="2:12" ht="18.75">
      <c r="B12" s="138" t="s">
        <v>158</v>
      </c>
      <c r="C12" s="117" t="s">
        <v>3</v>
      </c>
      <c r="D12" s="139">
        <f>'skemA5&amp;6'!C12</f>
        <v>-10152.450000000004</v>
      </c>
      <c r="E12" s="61">
        <f>ROUND('skemA5&amp;6'!D12,0)</f>
        <v>0</v>
      </c>
      <c r="F12" s="139">
        <f>ROUND('skemA5&amp;6'!E12,0)</f>
        <v>-305</v>
      </c>
      <c r="G12" s="139">
        <f>ROUND('skemA5&amp;6'!F12,0)</f>
        <v>-10152</v>
      </c>
      <c r="H12" s="139">
        <f>ROUND('skemA5&amp;6'!G12,0)</f>
        <v>-305</v>
      </c>
      <c r="I12" s="139">
        <f>ROUND('skemA5&amp;6'!H12,0)</f>
        <v>0</v>
      </c>
      <c r="J12" s="139">
        <f>ROUND('skemA5&amp;6'!I12,0)</f>
        <v>0</v>
      </c>
      <c r="K12" s="139">
        <f>ROUND('skemA5&amp;6'!J12,0)</f>
        <v>0</v>
      </c>
      <c r="L12" s="139">
        <f>ROUND('skemA5&amp;6'!K12,0)</f>
        <v>0</v>
      </c>
    </row>
    <row r="13" spans="2:12" ht="18.75">
      <c r="B13" s="138" t="s">
        <v>159</v>
      </c>
      <c r="C13" s="117" t="s">
        <v>3</v>
      </c>
      <c r="D13" s="139">
        <f>'skemA5&amp;6'!C13</f>
        <v>1946.6500000000024</v>
      </c>
      <c r="E13" s="61">
        <f>ROUND('skemA5&amp;6'!D13,0)</f>
        <v>0</v>
      </c>
      <c r="F13" s="139">
        <f>ROUND('skemA5&amp;6'!E13,0)</f>
        <v>1947</v>
      </c>
      <c r="G13" s="139">
        <f>ROUND('skemA5&amp;6'!F13,0)</f>
        <v>29</v>
      </c>
      <c r="H13" s="139">
        <f>ROUND('skemA5&amp;6'!G13,0)</f>
        <v>74</v>
      </c>
      <c r="I13" s="139">
        <f>ROUND('skemA5&amp;6'!H13,0)</f>
        <v>4</v>
      </c>
      <c r="J13" s="139">
        <f>ROUND('skemA5&amp;6'!I13,0)</f>
        <v>113</v>
      </c>
      <c r="K13" s="139">
        <f>ROUND('skemA5&amp;6'!J13,0)</f>
        <v>0</v>
      </c>
      <c r="L13" s="139">
        <f>ROUND('skemA5&amp;6'!K13,0)</f>
        <v>68</v>
      </c>
    </row>
    <row r="14" spans="2:12" ht="18.75">
      <c r="B14" s="138" t="s">
        <v>160</v>
      </c>
      <c r="C14" s="117" t="s">
        <v>3</v>
      </c>
      <c r="D14" s="139">
        <f>'skemA5&amp;6'!C14</f>
        <v>-7333.8999999999978</v>
      </c>
      <c r="E14" s="61">
        <f>ROUND('skemA5&amp;6'!D14,0)</f>
        <v>0</v>
      </c>
      <c r="F14" s="139">
        <f>ROUND('skemA5&amp;6'!E14,0)</f>
        <v>-440</v>
      </c>
      <c r="G14" s="139">
        <f>ROUND('skemA5&amp;6'!F14,0)</f>
        <v>0</v>
      </c>
      <c r="H14" s="139">
        <f>ROUND('skemA5&amp;6'!G14,0)</f>
        <v>-7334</v>
      </c>
      <c r="I14" s="139">
        <f>ROUND('skemA5&amp;6'!H14,0)</f>
        <v>0</v>
      </c>
      <c r="J14" s="139">
        <f>ROUND('skemA5&amp;6'!I14,0)</f>
        <v>0</v>
      </c>
      <c r="K14" s="139">
        <f>ROUND('skemA5&amp;6'!J14,0)</f>
        <v>0</v>
      </c>
      <c r="L14" s="139">
        <f>ROUND('skemA5&amp;6'!K14,0)</f>
        <v>0</v>
      </c>
    </row>
    <row r="15" spans="2:12" ht="18.75">
      <c r="B15" s="138" t="s">
        <v>176</v>
      </c>
      <c r="C15" s="117" t="s">
        <v>3</v>
      </c>
      <c r="D15" s="139">
        <f>'skemA5&amp;6'!C15</f>
        <v>88.500000000000909</v>
      </c>
      <c r="E15" s="61">
        <f>ROUND('skemA5&amp;6'!D15,0)</f>
        <v>0</v>
      </c>
      <c r="F15" s="139">
        <f>ROUND('skemA5&amp;6'!E15,0)</f>
        <v>3</v>
      </c>
      <c r="G15" s="139">
        <f>ROUND('skemA5&amp;6'!F15,0)</f>
        <v>0</v>
      </c>
      <c r="H15" s="139">
        <f>ROUND('skemA5&amp;6'!G15,0)</f>
        <v>0</v>
      </c>
      <c r="I15" s="139">
        <f>ROUND('skemA5&amp;6'!H15,0)</f>
        <v>0</v>
      </c>
      <c r="J15" s="139">
        <f>ROUND('skemA5&amp;6'!I15,0)</f>
        <v>0</v>
      </c>
      <c r="K15" s="139">
        <f>ROUND('skemA5&amp;6'!J15,0)</f>
        <v>0</v>
      </c>
      <c r="L15" s="139">
        <f>ROUND('skemA5&amp;6'!K15,0)</f>
        <v>89</v>
      </c>
    </row>
    <row r="16" spans="2:12" ht="18.75">
      <c r="B16" s="140" t="s">
        <v>162</v>
      </c>
      <c r="C16" s="133" t="s">
        <v>3</v>
      </c>
      <c r="D16" s="136">
        <f>'skemA5&amp;6'!C16</f>
        <v>262.10000000000127</v>
      </c>
      <c r="E16" s="62">
        <f>ROUND('skemA5&amp;6'!D16,0)</f>
        <v>0</v>
      </c>
      <c r="F16" s="136">
        <f>ROUND('skemA5&amp;6'!E16,0)</f>
        <v>0</v>
      </c>
      <c r="G16" s="136">
        <f>ROUND('skemA5&amp;6'!F16,0)</f>
        <v>0</v>
      </c>
      <c r="H16" s="136">
        <f>ROUND('skemA5&amp;6'!G16,0)</f>
        <v>0</v>
      </c>
      <c r="I16" s="136">
        <f>ROUND('skemA5&amp;6'!H16,0)</f>
        <v>0</v>
      </c>
      <c r="J16" s="136">
        <f>ROUND('skemA5&amp;6'!I16,0)</f>
        <v>0</v>
      </c>
      <c r="K16" s="136">
        <f>ROUND('skemA5&amp;6'!J16,0)</f>
        <v>262</v>
      </c>
      <c r="L16" s="136">
        <f>ROUND('skemA5&amp;6'!K16,0)</f>
        <v>21</v>
      </c>
    </row>
    <row r="17" spans="2:12">
      <c r="B17" s="695">
        <v>1</v>
      </c>
      <c r="C17" s="695"/>
      <c r="D17" s="695"/>
      <c r="E17" s="129">
        <f>'skemA5&amp;6'!D17</f>
        <v>2</v>
      </c>
      <c r="F17" s="129">
        <f>'skemA5&amp;6'!E17</f>
        <v>3</v>
      </c>
      <c r="G17" s="129">
        <f>'skemA5&amp;6'!F17</f>
        <v>4</v>
      </c>
      <c r="H17" s="129">
        <f>'skemA5&amp;6'!G17</f>
        <v>5</v>
      </c>
      <c r="I17" s="129">
        <f>'skemA5&amp;6'!H17</f>
        <v>6</v>
      </c>
      <c r="J17" s="129">
        <f>'skemA5&amp;6'!I17</f>
        <v>7</v>
      </c>
      <c r="K17" s="129">
        <f>'skemA5&amp;6'!J17</f>
        <v>8</v>
      </c>
      <c r="L17" s="129">
        <f>'skemA5&amp;6'!K17</f>
        <v>9</v>
      </c>
    </row>
    <row r="18" spans="2:12" ht="18.75" customHeight="1">
      <c r="B18" s="138" t="s">
        <v>164</v>
      </c>
      <c r="C18" s="125" t="s">
        <v>3</v>
      </c>
      <c r="D18" s="129">
        <f>'skemA5&amp;6'!C18</f>
        <v>-19333.450000000004</v>
      </c>
      <c r="E18" s="66">
        <f>ROUND('skemA5&amp;6'!D18,0)</f>
        <v>0</v>
      </c>
      <c r="F18" s="129">
        <f>ROUND('skemA5&amp;6'!E18,0)</f>
        <v>0</v>
      </c>
      <c r="G18" s="129">
        <f>ROUND('skemA5&amp;6'!F18,0)</f>
        <v>0</v>
      </c>
      <c r="H18" s="129">
        <f>ROUND('skemA5&amp;6'!G18,0)</f>
        <v>0</v>
      </c>
      <c r="I18" s="129">
        <f>ROUND('skemA5&amp;6'!H18,0)</f>
        <v>-19333</v>
      </c>
      <c r="J18" s="129">
        <f>ROUND('skemA5&amp;6'!I18,0)</f>
        <v>-1547</v>
      </c>
      <c r="K18" s="129">
        <f>ROUND('skemA5&amp;6'!J18,0)</f>
        <v>0</v>
      </c>
      <c r="L18" s="129">
        <f>ROUND('skemA5&amp;6'!K18,0)</f>
        <v>0</v>
      </c>
    </row>
    <row r="19" spans="2:12" ht="18.75">
      <c r="B19" s="138" t="s">
        <v>165</v>
      </c>
      <c r="C19" s="117" t="s">
        <v>3</v>
      </c>
      <c r="D19" s="139">
        <f>'skemA5&amp;6'!C19</f>
        <v>1672.0499999999988</v>
      </c>
      <c r="E19" s="61">
        <f>ROUND('skemA5&amp;6'!D19,0)</f>
        <v>0</v>
      </c>
      <c r="F19" s="139">
        <f>ROUND('skemA5&amp;6'!E19,0)</f>
        <v>117</v>
      </c>
      <c r="G19" s="139">
        <f>ROUND('skemA5&amp;6'!F19,0)</f>
        <v>0</v>
      </c>
      <c r="H19" s="139">
        <f>ROUND('skemA5&amp;6'!G19,0)</f>
        <v>0</v>
      </c>
      <c r="I19" s="139">
        <f>ROUND('skemA5&amp;6'!H19,0)</f>
        <v>33</v>
      </c>
      <c r="J19" s="139">
        <f>ROUND('skemA5&amp;6'!I19,0)</f>
        <v>1672</v>
      </c>
      <c r="K19" s="139">
        <f>ROUND('skemA5&amp;6'!J19,0)</f>
        <v>0</v>
      </c>
      <c r="L19" s="139">
        <f>ROUND('skemA5&amp;6'!K19,0)</f>
        <v>50</v>
      </c>
    </row>
    <row r="20" spans="2:12" ht="18.75">
      <c r="B20" s="138" t="s">
        <v>166</v>
      </c>
      <c r="C20" s="117" t="s">
        <v>3</v>
      </c>
      <c r="D20" s="139">
        <f>'skemA5&amp;6'!C20</f>
        <v>84.999999999998181</v>
      </c>
      <c r="E20" s="61">
        <f>ROUND('skemA5&amp;6'!D20,0)</f>
        <v>0</v>
      </c>
      <c r="F20" s="139">
        <f>ROUND('skemA5&amp;6'!E20,0)</f>
        <v>0</v>
      </c>
      <c r="G20" s="139">
        <f>ROUND('skemA5&amp;6'!F20,0)</f>
        <v>0</v>
      </c>
      <c r="H20" s="139">
        <f>ROUND('skemA5&amp;6'!G20,0)</f>
        <v>0</v>
      </c>
      <c r="I20" s="139">
        <f>ROUND('skemA5&amp;6'!H20,0)</f>
        <v>0</v>
      </c>
      <c r="J20" s="139">
        <f>ROUND('skemA5&amp;6'!I20,0)</f>
        <v>0</v>
      </c>
      <c r="K20" s="139">
        <f>ROUND('skemA5&amp;6'!J20,0)</f>
        <v>0</v>
      </c>
      <c r="L20" s="139">
        <f>ROUND('skemA5&amp;6'!K20,0)</f>
        <v>0</v>
      </c>
    </row>
    <row r="21" spans="2:12" ht="18.75">
      <c r="B21" s="138" t="s">
        <v>167</v>
      </c>
      <c r="C21" s="117" t="s">
        <v>3</v>
      </c>
      <c r="D21" s="139">
        <f>'skemA5&amp;6'!C21</f>
        <v>-7250.4500000000007</v>
      </c>
      <c r="E21" s="61">
        <f>ROUND('skemA5&amp;6'!D21,0)</f>
        <v>0</v>
      </c>
      <c r="F21" s="139">
        <f>ROUND('skemA5&amp;6'!E21,0)</f>
        <v>-218</v>
      </c>
      <c r="G21" s="139">
        <f>ROUND('skemA5&amp;6'!F21,0)</f>
        <v>-7250</v>
      </c>
      <c r="H21" s="139">
        <f>ROUND('skemA5&amp;6'!G21,0)</f>
        <v>-218</v>
      </c>
      <c r="I21" s="139">
        <f>ROUND('skemA5&amp;6'!H21,0)</f>
        <v>0</v>
      </c>
      <c r="J21" s="139">
        <f>ROUND('skemA5&amp;6'!I21,0)</f>
        <v>0</v>
      </c>
      <c r="K21" s="139">
        <f>ROUND('skemA5&amp;6'!J21,0)</f>
        <v>0</v>
      </c>
      <c r="L21" s="139">
        <f>ROUND('skemA5&amp;6'!K21,0)</f>
        <v>0</v>
      </c>
    </row>
    <row r="22" spans="2:12" ht="18.75">
      <c r="B22" s="138" t="s">
        <v>168</v>
      </c>
      <c r="C22" s="117" t="s">
        <v>3</v>
      </c>
      <c r="D22" s="139">
        <f>'skemA5&amp;6'!C22</f>
        <v>11937.25</v>
      </c>
      <c r="E22" s="61">
        <f>ROUND('skemA5&amp;6'!D22,0)</f>
        <v>0</v>
      </c>
      <c r="F22" s="139">
        <f>ROUND('skemA5&amp;6'!E22,0)</f>
        <v>11937</v>
      </c>
      <c r="G22" s="139">
        <f>ROUND('skemA5&amp;6'!F22,0)</f>
        <v>179</v>
      </c>
      <c r="H22" s="139">
        <f>ROUND('skemA5&amp;6'!G22,0)</f>
        <v>382</v>
      </c>
      <c r="I22" s="139">
        <f>ROUND('skemA5&amp;6'!H22,0)</f>
        <v>0</v>
      </c>
      <c r="J22" s="139">
        <f>ROUND('skemA5&amp;6'!I22,0)</f>
        <v>680</v>
      </c>
      <c r="K22" s="139">
        <f>ROUND('skemA5&amp;6'!J22,0)</f>
        <v>0</v>
      </c>
      <c r="L22" s="139">
        <f>ROUND('skemA5&amp;6'!K22,0)</f>
        <v>418</v>
      </c>
    </row>
    <row r="23" spans="2:12" ht="18.75">
      <c r="B23" s="138" t="s">
        <v>169</v>
      </c>
      <c r="C23" s="117" t="s">
        <v>3</v>
      </c>
      <c r="D23" s="139">
        <f>'skemA5&amp;6'!C23</f>
        <v>4531.2000000000007</v>
      </c>
      <c r="E23" s="61">
        <f>ROUND('skemA5&amp;6'!D23,0)</f>
        <v>0</v>
      </c>
      <c r="F23" s="139">
        <f>ROUND('skemA5&amp;6'!E23,0)</f>
        <v>272</v>
      </c>
      <c r="G23" s="139">
        <f>ROUND('skemA5&amp;6'!F23,0)</f>
        <v>0</v>
      </c>
      <c r="H23" s="139">
        <f>ROUND('skemA5&amp;6'!G23,0)</f>
        <v>4531</v>
      </c>
      <c r="I23" s="139">
        <f>ROUND('skemA5&amp;6'!H23,0)</f>
        <v>0</v>
      </c>
      <c r="J23" s="139">
        <f>ROUND('skemA5&amp;6'!I23,0)</f>
        <v>0</v>
      </c>
      <c r="K23" s="139">
        <f>ROUND('skemA5&amp;6'!J23,0)</f>
        <v>0</v>
      </c>
      <c r="L23" s="139">
        <f>ROUND('skemA5&amp;6'!K23,0)</f>
        <v>0</v>
      </c>
    </row>
    <row r="24" spans="2:12" ht="18.75">
      <c r="B24" s="138" t="s">
        <v>177</v>
      </c>
      <c r="C24" s="117" t="s">
        <v>3</v>
      </c>
      <c r="D24" s="139">
        <f>'skemA5&amp;6'!C24</f>
        <v>730.55000000000109</v>
      </c>
      <c r="E24" s="61">
        <f>ROUND('skemA5&amp;6'!D24,0)</f>
        <v>0</v>
      </c>
      <c r="F24" s="139">
        <f>ROUND('skemA5&amp;6'!E24,0)</f>
        <v>22</v>
      </c>
      <c r="G24" s="139">
        <f>ROUND('skemA5&amp;6'!F24,0)</f>
        <v>0</v>
      </c>
      <c r="H24" s="139">
        <f>ROUND('skemA5&amp;6'!G24,0)</f>
        <v>0</v>
      </c>
      <c r="I24" s="139">
        <f>ROUND('skemA5&amp;6'!H24,0)</f>
        <v>0</v>
      </c>
      <c r="J24" s="139">
        <f>ROUND('skemA5&amp;6'!I24,0)</f>
        <v>0</v>
      </c>
      <c r="K24" s="139">
        <f>ROUND('skemA5&amp;6'!J24,0)</f>
        <v>7</v>
      </c>
      <c r="L24" s="139">
        <f>ROUND('skemA5&amp;6'!K24,0)</f>
        <v>731</v>
      </c>
    </row>
    <row r="25" spans="2:12" ht="18.75">
      <c r="B25" s="138" t="s">
        <v>171</v>
      </c>
      <c r="C25" s="117" t="s">
        <v>3</v>
      </c>
      <c r="D25" s="139">
        <f>'skemA5&amp;6'!C25</f>
        <v>448.849999999999</v>
      </c>
      <c r="E25" s="61">
        <f>ROUND('skemA5&amp;6'!D25,0)</f>
        <v>0</v>
      </c>
      <c r="F25" s="139">
        <f>ROUND('skemA5&amp;6'!E25,0)</f>
        <v>0</v>
      </c>
      <c r="G25" s="139">
        <f>ROUND('skemA5&amp;6'!F25,0)</f>
        <v>0</v>
      </c>
      <c r="H25" s="139">
        <f>ROUND('skemA5&amp;6'!G25,0)</f>
        <v>0</v>
      </c>
      <c r="I25" s="139">
        <f>ROUND('skemA5&amp;6'!H25,0)</f>
        <v>0</v>
      </c>
      <c r="J25" s="139">
        <f>ROUND('skemA5&amp;6'!I25,0)</f>
        <v>0</v>
      </c>
      <c r="K25" s="139">
        <f>ROUND('skemA5&amp;6'!J25,0)</f>
        <v>449</v>
      </c>
      <c r="L25" s="139">
        <f>ROUND('skemA5&amp;6'!K25,0)</f>
        <v>36</v>
      </c>
    </row>
    <row r="26" spans="2:12">
      <c r="B26" s="138"/>
      <c r="C26" s="117"/>
      <c r="D26" s="141"/>
      <c r="E26" s="139"/>
      <c r="F26" s="139"/>
      <c r="G26" s="139"/>
      <c r="H26" s="139"/>
      <c r="I26" s="139"/>
      <c r="J26" s="139"/>
      <c r="K26" s="139"/>
      <c r="L26" s="139"/>
    </row>
    <row r="27" spans="2:12" ht="18.75" customHeight="1">
      <c r="B27" s="138" t="s">
        <v>185</v>
      </c>
      <c r="C27" s="117"/>
      <c r="D27" s="139"/>
      <c r="E27" s="139">
        <f t="shared" ref="E27:L27" si="0">SUM(E8:E16)</f>
        <v>115653</v>
      </c>
      <c r="F27" s="139">
        <f t="shared" si="0"/>
        <v>826</v>
      </c>
      <c r="G27" s="139">
        <f t="shared" si="0"/>
        <v>-10123</v>
      </c>
      <c r="H27" s="139">
        <f t="shared" si="0"/>
        <v>-7565</v>
      </c>
      <c r="I27" s="139">
        <f t="shared" si="0"/>
        <v>4917</v>
      </c>
      <c r="J27" s="139">
        <f t="shared" si="0"/>
        <v>-4897</v>
      </c>
      <c r="K27" s="139">
        <f t="shared" si="0"/>
        <v>262</v>
      </c>
      <c r="L27" s="139">
        <f t="shared" si="0"/>
        <v>70</v>
      </c>
    </row>
    <row r="28" spans="2:12" ht="18.75" customHeight="1">
      <c r="B28" s="138" t="s">
        <v>186</v>
      </c>
      <c r="C28" s="142"/>
      <c r="D28" s="139"/>
      <c r="E28" s="139">
        <f t="shared" ref="E28:L28" si="1">SUM(E18:E25)</f>
        <v>0</v>
      </c>
      <c r="F28" s="139">
        <f t="shared" si="1"/>
        <v>12130</v>
      </c>
      <c r="G28" s="139">
        <f t="shared" si="1"/>
        <v>-7071</v>
      </c>
      <c r="H28" s="139">
        <f t="shared" si="1"/>
        <v>4695</v>
      </c>
      <c r="I28" s="139">
        <f t="shared" si="1"/>
        <v>-19300</v>
      </c>
      <c r="J28" s="139">
        <f t="shared" si="1"/>
        <v>805</v>
      </c>
      <c r="K28" s="139">
        <f t="shared" si="1"/>
        <v>456</v>
      </c>
      <c r="L28" s="139">
        <f t="shared" si="1"/>
        <v>1235</v>
      </c>
    </row>
    <row r="29" spans="2:12" ht="18.75">
      <c r="B29" s="140"/>
      <c r="C29" s="143"/>
      <c r="D29" s="144"/>
      <c r="E29" s="63" t="s">
        <v>191</v>
      </c>
      <c r="F29" s="63" t="s">
        <v>192</v>
      </c>
      <c r="G29" s="63" t="s">
        <v>193</v>
      </c>
      <c r="H29" s="63" t="s">
        <v>194</v>
      </c>
      <c r="I29" s="63" t="s">
        <v>195</v>
      </c>
      <c r="J29" s="63" t="s">
        <v>196</v>
      </c>
      <c r="K29" s="63" t="s">
        <v>197</v>
      </c>
      <c r="L29" s="63" t="s">
        <v>198</v>
      </c>
    </row>
  </sheetData>
  <sheetProtection selectLockedCells="1" selectUnlockedCells="1"/>
  <mergeCells count="2">
    <mergeCell ref="K6:L6"/>
    <mergeCell ref="B17:D17"/>
  </mergeCells>
  <phoneticPr fontId="26" type="noConversion"/>
  <printOptions verticalCentered="1"/>
  <pageMargins left="0.74791666666666667" right="0.74791666666666667" top="0.44027777777777777" bottom="0.65972222222222221" header="0.51180555555555551" footer="0.51180555555555551"/>
  <pageSetup paperSize="9" firstPageNumber="0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8"/>
  <sheetViews>
    <sheetView showGridLines="0" zoomScaleSheetLayoutView="85" workbookViewId="0">
      <selection activeCell="A7" sqref="A7:K28"/>
    </sheetView>
  </sheetViews>
  <sheetFormatPr defaultColWidth="9.140625" defaultRowHeight="14.25"/>
  <cols>
    <col min="1" max="1" width="12.85546875" style="1" customWidth="1"/>
    <col min="2" max="2" width="2.28515625" style="1" customWidth="1"/>
    <col min="3" max="3" width="11.28515625" style="1" customWidth="1"/>
    <col min="4" max="11" width="10" style="43" customWidth="1"/>
    <col min="12" max="16384" width="9.140625" style="1"/>
  </cols>
  <sheetData>
    <row r="1" spans="1:11" ht="15">
      <c r="A1" s="114" t="s">
        <v>551</v>
      </c>
      <c r="C1" s="52" t="s">
        <v>597</v>
      </c>
    </row>
    <row r="2" spans="1:11" ht="8.25" customHeight="1">
      <c r="C2" s="114"/>
    </row>
    <row r="3" spans="1:11" ht="15">
      <c r="A3" s="541" t="s">
        <v>179</v>
      </c>
      <c r="B3" s="542"/>
      <c r="C3" s="543" t="s">
        <v>626</v>
      </c>
      <c r="D3" s="543"/>
      <c r="E3" s="544"/>
      <c r="F3" s="544"/>
      <c r="G3" s="544"/>
      <c r="H3" s="542" t="s">
        <v>180</v>
      </c>
      <c r="I3" s="544"/>
      <c r="J3" s="545" t="s">
        <v>625</v>
      </c>
      <c r="K3" s="546"/>
    </row>
    <row r="4" spans="1:11" ht="15">
      <c r="A4" s="547" t="s">
        <v>181</v>
      </c>
      <c r="B4" s="548"/>
      <c r="C4" s="549" t="s">
        <v>627</v>
      </c>
      <c r="D4" s="549"/>
      <c r="E4" s="550"/>
      <c r="F4" s="551"/>
      <c r="G4" s="551"/>
      <c r="H4" s="550" t="s">
        <v>182</v>
      </c>
      <c r="I4" s="550"/>
      <c r="J4" s="711" t="s">
        <v>630</v>
      </c>
      <c r="K4" s="712"/>
    </row>
    <row r="5" spans="1:11" ht="15">
      <c r="A5" s="547" t="s">
        <v>183</v>
      </c>
      <c r="B5" s="548"/>
      <c r="C5" s="549" t="s">
        <v>628</v>
      </c>
      <c r="D5" s="549"/>
      <c r="E5" s="550"/>
      <c r="F5" s="551"/>
      <c r="G5" s="551"/>
      <c r="H5" s="550" t="s">
        <v>184</v>
      </c>
      <c r="I5" s="550"/>
      <c r="J5" s="550" t="s">
        <v>629</v>
      </c>
      <c r="K5" s="552"/>
    </row>
    <row r="6" spans="1:11" ht="15">
      <c r="A6" s="547"/>
      <c r="B6" s="548"/>
      <c r="C6" s="549"/>
      <c r="D6" s="550"/>
      <c r="E6" s="551"/>
      <c r="F6" s="551"/>
      <c r="G6" s="551"/>
      <c r="H6" s="550"/>
      <c r="I6" s="550"/>
      <c r="J6" s="550"/>
      <c r="K6" s="552"/>
    </row>
    <row r="7" spans="1:11" ht="15">
      <c r="A7" s="710">
        <v>1</v>
      </c>
      <c r="B7" s="710"/>
      <c r="C7" s="710"/>
      <c r="D7" s="619">
        <v>2</v>
      </c>
      <c r="E7" s="619">
        <v>3</v>
      </c>
      <c r="F7" s="619">
        <v>4</v>
      </c>
      <c r="G7" s="619">
        <v>5</v>
      </c>
      <c r="H7" s="619">
        <v>6</v>
      </c>
      <c r="I7" s="619">
        <v>7</v>
      </c>
      <c r="J7" s="619">
        <v>8</v>
      </c>
      <c r="K7" s="620">
        <v>9</v>
      </c>
    </row>
    <row r="8" spans="1:11" ht="18.75" customHeight="1">
      <c r="A8" s="553" t="s">
        <v>154</v>
      </c>
      <c r="B8" s="554" t="s">
        <v>3</v>
      </c>
      <c r="C8" s="559">
        <f>skemA4!F6</f>
        <v>115653.15</v>
      </c>
      <c r="D8" s="521">
        <f>$C8*'Tabel 30'!D3</f>
        <v>115653.15</v>
      </c>
      <c r="E8" s="521">
        <f>$C8*'Tabel 30'!E3</f>
        <v>0</v>
      </c>
      <c r="F8" s="521">
        <f>$C8*'Tabel 30'!F3</f>
        <v>0</v>
      </c>
      <c r="G8" s="521">
        <f>$C8*'Tabel 30'!G3</f>
        <v>0</v>
      </c>
      <c r="H8" s="521">
        <f>$C8*'Tabel 30'!H3</f>
        <v>0</v>
      </c>
      <c r="I8" s="521">
        <f>$C8*'Tabel 30'!I3</f>
        <v>0</v>
      </c>
      <c r="J8" s="521">
        <f>$C8*'Tabel 30'!J3</f>
        <v>0</v>
      </c>
      <c r="K8" s="522">
        <f>$C8*'Tabel 30'!K3</f>
        <v>0</v>
      </c>
    </row>
    <row r="9" spans="1:11" ht="18.75">
      <c r="A9" s="634" t="s">
        <v>155</v>
      </c>
      <c r="B9" s="635" t="s">
        <v>3</v>
      </c>
      <c r="C9" s="636">
        <f>SUM(skemA4!F7:F8)</f>
        <v>5020.7500000000018</v>
      </c>
      <c r="D9" s="637">
        <f>$C9*'Tabel 30'!D4</f>
        <v>0</v>
      </c>
      <c r="E9" s="637">
        <f>$C9*'Tabel 30'!E4</f>
        <v>0</v>
      </c>
      <c r="F9" s="637">
        <f>$C9*'Tabel 30'!F4</f>
        <v>0</v>
      </c>
      <c r="G9" s="637">
        <f>$C9*'Tabel 30'!G4</f>
        <v>0</v>
      </c>
      <c r="H9" s="637">
        <f>$C9*'Tabel 30'!H4</f>
        <v>5020.7500000000018</v>
      </c>
      <c r="I9" s="637">
        <f>$C9*'Tabel 30'!I4</f>
        <v>401.66000000000014</v>
      </c>
      <c r="J9" s="637">
        <f>$C9*'Tabel 30'!J4</f>
        <v>0</v>
      </c>
      <c r="K9" s="638">
        <f>$C9*'Tabel 30'!K4</f>
        <v>0</v>
      </c>
    </row>
    <row r="10" spans="1:11" ht="18.75">
      <c r="A10" s="555" t="s">
        <v>156</v>
      </c>
      <c r="B10" s="556" t="s">
        <v>3</v>
      </c>
      <c r="C10" s="560">
        <f>SUM(skemA4!F9:F11)-SUM(skemA4!G12:G13)</f>
        <v>-5412.1500000000005</v>
      </c>
      <c r="D10" s="523">
        <f>$C10*'Tabel 30'!D5</f>
        <v>0</v>
      </c>
      <c r="E10" s="523">
        <f>$C10*'Tabel 30'!E5</f>
        <v>-378.85050000000007</v>
      </c>
      <c r="F10" s="523">
        <f>$C10*'Tabel 30'!F5</f>
        <v>0</v>
      </c>
      <c r="G10" s="523">
        <f>$C10*'Tabel 30'!G5</f>
        <v>0</v>
      </c>
      <c r="H10" s="523">
        <f>$C10*'Tabel 30'!H5</f>
        <v>-108.24300000000001</v>
      </c>
      <c r="I10" s="523">
        <f>$C10*'Tabel 30'!I5</f>
        <v>-5412.1500000000005</v>
      </c>
      <c r="J10" s="523">
        <f>$C10*'Tabel 30'!J5</f>
        <v>0</v>
      </c>
      <c r="K10" s="524">
        <f>$C10*'Tabel 30'!K5</f>
        <v>-108.24300000000001</v>
      </c>
    </row>
    <row r="11" spans="1:11" ht="18.75">
      <c r="A11" s="634" t="s">
        <v>157</v>
      </c>
      <c r="B11" s="635" t="s">
        <v>3</v>
      </c>
      <c r="C11" s="639">
        <f>SUM(skemA4!F14:F16)-SUM(skemA4!G17:G18)</f>
        <v>-1561.2999999999993</v>
      </c>
      <c r="D11" s="637">
        <f>$C11*'Tabel 30'!D6</f>
        <v>0</v>
      </c>
      <c r="E11" s="637">
        <f>$C11*'Tabel 30'!E6</f>
        <v>0</v>
      </c>
      <c r="F11" s="637">
        <f>$C11*'Tabel 30'!F6</f>
        <v>0</v>
      </c>
      <c r="G11" s="637">
        <f>$C11*'Tabel 30'!G6</f>
        <v>0</v>
      </c>
      <c r="H11" s="637">
        <f>$C11*'Tabel 30'!H6</f>
        <v>0</v>
      </c>
      <c r="I11" s="637">
        <f>$C11*'Tabel 30'!I6</f>
        <v>0</v>
      </c>
      <c r="J11" s="637">
        <f>$C11*'Tabel 30'!J6</f>
        <v>0</v>
      </c>
      <c r="K11" s="638">
        <f>$C11*'Tabel 30'!K6</f>
        <v>0</v>
      </c>
    </row>
    <row r="12" spans="1:11" ht="18.75">
      <c r="A12" s="555" t="s">
        <v>158</v>
      </c>
      <c r="B12" s="556" t="s">
        <v>3</v>
      </c>
      <c r="C12" s="560">
        <f>SUM(skemA4!F19:F20)</f>
        <v>-10152.450000000004</v>
      </c>
      <c r="D12" s="523">
        <f>$C12*'Tabel 30'!D7</f>
        <v>0</v>
      </c>
      <c r="E12" s="523">
        <f>$C12*'Tabel 30'!E7</f>
        <v>-304.57350000000014</v>
      </c>
      <c r="F12" s="523">
        <f>$C12*'Tabel 30'!F7</f>
        <v>-10152.450000000004</v>
      </c>
      <c r="G12" s="523">
        <f>$C12*'Tabel 30'!G7</f>
        <v>-304.57350000000014</v>
      </c>
      <c r="H12" s="523">
        <f>$C12*'Tabel 30'!H7</f>
        <v>0</v>
      </c>
      <c r="I12" s="523">
        <f>$C12*'Tabel 30'!I7</f>
        <v>0</v>
      </c>
      <c r="J12" s="523">
        <f>$C12*'Tabel 30'!J7</f>
        <v>0</v>
      </c>
      <c r="K12" s="524">
        <f>$C12*'Tabel 30'!K7</f>
        <v>0</v>
      </c>
    </row>
    <row r="13" spans="1:11" ht="18.75">
      <c r="A13" s="634" t="s">
        <v>159</v>
      </c>
      <c r="B13" s="635" t="s">
        <v>3</v>
      </c>
      <c r="C13" s="636">
        <f>SUM(skemA4!F21:F23)-SUM(skemA4!G24:G25)</f>
        <v>1946.6500000000024</v>
      </c>
      <c r="D13" s="637">
        <f>$C13*'Tabel 30'!D8</f>
        <v>0</v>
      </c>
      <c r="E13" s="637">
        <f>$C13*'Tabel 30'!E8</f>
        <v>1946.6500000000024</v>
      </c>
      <c r="F13" s="637">
        <f>$C13*'Tabel 30'!F8</f>
        <v>29.199750000000034</v>
      </c>
      <c r="G13" s="637">
        <f>$C13*'Tabel 30'!G8</f>
        <v>73.972700000000088</v>
      </c>
      <c r="H13" s="637">
        <f>$C13*'Tabel 30'!H8</f>
        <v>3.8933000000000049</v>
      </c>
      <c r="I13" s="637">
        <f>$C13*'Tabel 30'!I8</f>
        <v>112.90570000000014</v>
      </c>
      <c r="J13" s="637">
        <f>$C13*'Tabel 30'!J8</f>
        <v>0</v>
      </c>
      <c r="K13" s="638">
        <f>$C13*'Tabel 30'!K8</f>
        <v>68.132750000000087</v>
      </c>
    </row>
    <row r="14" spans="1:11" ht="18.75">
      <c r="A14" s="555" t="s">
        <v>160</v>
      </c>
      <c r="B14" s="556" t="s">
        <v>3</v>
      </c>
      <c r="C14" s="561">
        <f>SUM(skemA4!F26:F28)-SUM(skemA4!G29:G30)</f>
        <v>-7333.8999999999978</v>
      </c>
      <c r="D14" s="523">
        <f>$C14*'Tabel 30'!D9</f>
        <v>0</v>
      </c>
      <c r="E14" s="523">
        <f>$C14*'Tabel 30'!E9</f>
        <v>-440.03399999999988</v>
      </c>
      <c r="F14" s="523">
        <f>$C14*'Tabel 30'!F9</f>
        <v>0</v>
      </c>
      <c r="G14" s="523">
        <f>$C14*'Tabel 30'!G9</f>
        <v>-7333.8999999999978</v>
      </c>
      <c r="H14" s="523">
        <f>$C14*'Tabel 30'!H9</f>
        <v>0</v>
      </c>
      <c r="I14" s="523">
        <f>$C14*'Tabel 30'!I9</f>
        <v>0</v>
      </c>
      <c r="J14" s="523">
        <f>$C14*'Tabel 30'!J9</f>
        <v>0</v>
      </c>
      <c r="K14" s="524">
        <f>$C14*'Tabel 30'!K9</f>
        <v>0</v>
      </c>
    </row>
    <row r="15" spans="1:11" ht="18.75">
      <c r="A15" s="634" t="s">
        <v>176</v>
      </c>
      <c r="B15" s="635" t="s">
        <v>3</v>
      </c>
      <c r="C15" s="639">
        <f>SUM(skemA4!F31:F33)-SUM(skemA4!G34:G35)</f>
        <v>88.500000000000909</v>
      </c>
      <c r="D15" s="637">
        <f>$C15*'Tabel 30'!D10</f>
        <v>0</v>
      </c>
      <c r="E15" s="637">
        <f>$C15*'Tabel 30'!E10</f>
        <v>2.6550000000000273</v>
      </c>
      <c r="F15" s="637">
        <f>$C15*'Tabel 30'!F10</f>
        <v>0</v>
      </c>
      <c r="G15" s="637">
        <f>$C15*'Tabel 30'!G10</f>
        <v>0</v>
      </c>
      <c r="H15" s="637">
        <f>$C15*'Tabel 30'!H10</f>
        <v>0</v>
      </c>
      <c r="I15" s="637">
        <f>$C15*'Tabel 30'!I10</f>
        <v>0</v>
      </c>
      <c r="J15" s="637">
        <f>$C15*'Tabel 30'!J10</f>
        <v>0</v>
      </c>
      <c r="K15" s="638">
        <f>$C15*'Tabel 30'!K10</f>
        <v>88.500000000000909</v>
      </c>
    </row>
    <row r="16" spans="1:11" ht="18.75">
      <c r="A16" s="557" t="s">
        <v>162</v>
      </c>
      <c r="B16" s="558" t="s">
        <v>3</v>
      </c>
      <c r="C16" s="562">
        <f>SUM(skemA4!F36:F38)-SUM(skemA4!G39:G40)</f>
        <v>262.10000000000127</v>
      </c>
      <c r="D16" s="525">
        <f>$C16*'Tabel 30'!D11</f>
        <v>0</v>
      </c>
      <c r="E16" s="525">
        <f>$C16*'Tabel 30'!E11</f>
        <v>0</v>
      </c>
      <c r="F16" s="525">
        <f>$C16*'Tabel 30'!F11</f>
        <v>0</v>
      </c>
      <c r="G16" s="525">
        <f>$C16*'Tabel 30'!G11</f>
        <v>0</v>
      </c>
      <c r="H16" s="525">
        <f>$C16*'Tabel 30'!H11</f>
        <v>0</v>
      </c>
      <c r="I16" s="525">
        <f>$C16*'Tabel 30'!I11</f>
        <v>0</v>
      </c>
      <c r="J16" s="525">
        <f>$C16*'Tabel 30'!J11</f>
        <v>262.10000000000127</v>
      </c>
      <c r="K16" s="526">
        <f>$C16*'Tabel 30'!K11</f>
        <v>20.968000000000103</v>
      </c>
    </row>
    <row r="17" spans="1:11" ht="15">
      <c r="A17" s="710">
        <v>1</v>
      </c>
      <c r="B17" s="710"/>
      <c r="C17" s="710"/>
      <c r="D17" s="619">
        <v>2</v>
      </c>
      <c r="E17" s="619">
        <v>3</v>
      </c>
      <c r="F17" s="619">
        <v>4</v>
      </c>
      <c r="G17" s="619">
        <v>5</v>
      </c>
      <c r="H17" s="619">
        <v>6</v>
      </c>
      <c r="I17" s="619">
        <v>7</v>
      </c>
      <c r="J17" s="619">
        <v>8</v>
      </c>
      <c r="K17" s="620">
        <v>9</v>
      </c>
    </row>
    <row r="18" spans="1:11" ht="18.75" customHeight="1">
      <c r="A18" s="553" t="s">
        <v>164</v>
      </c>
      <c r="B18" s="554" t="s">
        <v>3</v>
      </c>
      <c r="C18" s="563">
        <f>SUM(skemA4!G7:G8)</f>
        <v>-19333.450000000004</v>
      </c>
      <c r="D18" s="521">
        <f>$C18*'Tabel 30'!D12</f>
        <v>0</v>
      </c>
      <c r="E18" s="521">
        <f>$C18*'Tabel 30'!E12</f>
        <v>0</v>
      </c>
      <c r="F18" s="521">
        <f>$C18*'Tabel 30'!F12</f>
        <v>0</v>
      </c>
      <c r="G18" s="521">
        <f>$C18*'Tabel 30'!G12</f>
        <v>0</v>
      </c>
      <c r="H18" s="521">
        <f>$C18*'Tabel 30'!H12</f>
        <v>-19333.450000000004</v>
      </c>
      <c r="I18" s="521">
        <f>$C18*'Tabel 30'!I12</f>
        <v>-1546.6760000000004</v>
      </c>
      <c r="J18" s="521">
        <f>$C18*'Tabel 30'!J12</f>
        <v>0</v>
      </c>
      <c r="K18" s="522">
        <f>$C18*'Tabel 30'!K12</f>
        <v>0</v>
      </c>
    </row>
    <row r="19" spans="1:11" ht="18.75">
      <c r="A19" s="634" t="s">
        <v>165</v>
      </c>
      <c r="B19" s="635" t="s">
        <v>3</v>
      </c>
      <c r="C19" s="640">
        <f>SUM(skemA4!G9:G11)+SUM(skemA4!F12:F13)</f>
        <v>1672.0499999999988</v>
      </c>
      <c r="D19" s="637">
        <f>$C19*'Tabel 30'!D13</f>
        <v>0</v>
      </c>
      <c r="E19" s="637">
        <f>$C19*'Tabel 30'!E13</f>
        <v>117.04349999999992</v>
      </c>
      <c r="F19" s="637">
        <f>$C19*'Tabel 30'!F13</f>
        <v>0</v>
      </c>
      <c r="G19" s="637">
        <f>$C19*'Tabel 30'!G13</f>
        <v>0</v>
      </c>
      <c r="H19" s="637">
        <f>$C19*'Tabel 30'!H13</f>
        <v>33.440999999999974</v>
      </c>
      <c r="I19" s="637">
        <f>$C19*'Tabel 30'!I13</f>
        <v>1672.0499999999988</v>
      </c>
      <c r="J19" s="637">
        <f>$C19*'Tabel 30'!J13</f>
        <v>0</v>
      </c>
      <c r="K19" s="638">
        <f>$C19*'Tabel 30'!K13</f>
        <v>50.161499999999961</v>
      </c>
    </row>
    <row r="20" spans="1:11" ht="18.75">
      <c r="A20" s="555" t="s">
        <v>166</v>
      </c>
      <c r="B20" s="556" t="s">
        <v>3</v>
      </c>
      <c r="C20" s="564">
        <f>SUM(skemA4!G14:G16)+SUM(skemA4!F17:F18)</f>
        <v>84.999999999998181</v>
      </c>
      <c r="D20" s="523">
        <f>$C20*'Tabel 30'!D14</f>
        <v>0</v>
      </c>
      <c r="E20" s="523">
        <f>$C20*'Tabel 30'!E14</f>
        <v>0</v>
      </c>
      <c r="F20" s="523">
        <f>$C20*'Tabel 30'!F14</f>
        <v>0</v>
      </c>
      <c r="G20" s="523">
        <f>$C20*'Tabel 30'!G14</f>
        <v>0</v>
      </c>
      <c r="H20" s="523">
        <f>$C20*'Tabel 30'!H14</f>
        <v>0</v>
      </c>
      <c r="I20" s="523">
        <f>$C20*'Tabel 30'!I14</f>
        <v>0</v>
      </c>
      <c r="J20" s="523">
        <f>$C20*'Tabel 30'!J14</f>
        <v>0</v>
      </c>
      <c r="K20" s="524">
        <f>$C20*'Tabel 30'!K14</f>
        <v>0</v>
      </c>
    </row>
    <row r="21" spans="1:11" ht="18.75">
      <c r="A21" s="634" t="s">
        <v>167</v>
      </c>
      <c r="B21" s="635" t="s">
        <v>3</v>
      </c>
      <c r="C21" s="640">
        <f>SUM(skemA4!G19:G20)</f>
        <v>-7250.4500000000007</v>
      </c>
      <c r="D21" s="637">
        <f>$C21*'Tabel 30'!D15</f>
        <v>0</v>
      </c>
      <c r="E21" s="637">
        <f>$C21*'Tabel 30'!E15</f>
        <v>-217.51350000000002</v>
      </c>
      <c r="F21" s="637">
        <f>$C21*'Tabel 30'!F15</f>
        <v>-7250.4500000000007</v>
      </c>
      <c r="G21" s="637">
        <f>$C21*'Tabel 30'!G15</f>
        <v>-217.51350000000002</v>
      </c>
      <c r="H21" s="637">
        <f>$C21*'Tabel 30'!H15</f>
        <v>0</v>
      </c>
      <c r="I21" s="637">
        <f>$C21*'Tabel 30'!I15</f>
        <v>0</v>
      </c>
      <c r="J21" s="637">
        <f>$C21*'Tabel 30'!J15</f>
        <v>0</v>
      </c>
      <c r="K21" s="638">
        <f>$C21*'Tabel 30'!K15</f>
        <v>0</v>
      </c>
    </row>
    <row r="22" spans="1:11" ht="18.75">
      <c r="A22" s="555" t="s">
        <v>168</v>
      </c>
      <c r="B22" s="556" t="s">
        <v>3</v>
      </c>
      <c r="C22" s="565">
        <f>SUM(skemA4!G21:G23)+SUM(skemA4!F24:F25)</f>
        <v>11937.25</v>
      </c>
      <c r="D22" s="523">
        <f>$C22*'Tabel 30'!D16</f>
        <v>0</v>
      </c>
      <c r="E22" s="523">
        <f>$C22*'Tabel 30'!E16</f>
        <v>11937.25</v>
      </c>
      <c r="F22" s="523">
        <f>$C22*'Tabel 30'!F16</f>
        <v>179.05875</v>
      </c>
      <c r="G22" s="523">
        <f>$C22*'Tabel 30'!G16</f>
        <v>381.99200000000002</v>
      </c>
      <c r="H22" s="523">
        <f>$C22*'Tabel 30'!H16</f>
        <v>0</v>
      </c>
      <c r="I22" s="523">
        <f>$C22*'Tabel 30'!I16</f>
        <v>680.42325000000005</v>
      </c>
      <c r="J22" s="523">
        <f>$C22*'Tabel 30'!J16</f>
        <v>0</v>
      </c>
      <c r="K22" s="524">
        <f>$C22*'Tabel 30'!K16</f>
        <v>417.80375000000004</v>
      </c>
    </row>
    <row r="23" spans="1:11" ht="18.75">
      <c r="A23" s="634" t="s">
        <v>169</v>
      </c>
      <c r="B23" s="635" t="s">
        <v>3</v>
      </c>
      <c r="C23" s="641">
        <f>SUM(skemA4!G26:G28)+SUM(skemA4!F29:F30)</f>
        <v>4531.2000000000007</v>
      </c>
      <c r="D23" s="637">
        <f>$C23*'Tabel 30'!D17</f>
        <v>0</v>
      </c>
      <c r="E23" s="637">
        <f>$C23*'Tabel 30'!E17</f>
        <v>271.87200000000001</v>
      </c>
      <c r="F23" s="637">
        <f>$C23*'Tabel 30'!F17</f>
        <v>0</v>
      </c>
      <c r="G23" s="637">
        <f>$C23*'Tabel 30'!G17</f>
        <v>4531.2000000000007</v>
      </c>
      <c r="H23" s="637">
        <f>$C23*'Tabel 30'!H17</f>
        <v>0</v>
      </c>
      <c r="I23" s="637">
        <f>$C23*'Tabel 30'!I17</f>
        <v>0</v>
      </c>
      <c r="J23" s="637">
        <f>$C23*'Tabel 30'!J17</f>
        <v>0</v>
      </c>
      <c r="K23" s="638">
        <f>$C23*'Tabel 30'!K17</f>
        <v>0</v>
      </c>
    </row>
    <row r="24" spans="1:11" ht="18.75">
      <c r="A24" s="555" t="s">
        <v>177</v>
      </c>
      <c r="B24" s="556" t="s">
        <v>3</v>
      </c>
      <c r="C24" s="565">
        <f>SUM(skemA4!G31:G33)+SUM(skemA4!F34:F35)</f>
        <v>730.55000000000109</v>
      </c>
      <c r="D24" s="523">
        <f>$C24*'Tabel 30'!D18</f>
        <v>0</v>
      </c>
      <c r="E24" s="523">
        <f>$C24*'Tabel 30'!E18</f>
        <v>21.916500000000031</v>
      </c>
      <c r="F24" s="523">
        <f>$C24*'Tabel 30'!F18</f>
        <v>0</v>
      </c>
      <c r="G24" s="523">
        <f>$C24*'Tabel 30'!G18</f>
        <v>0</v>
      </c>
      <c r="H24" s="523">
        <f>$C24*'Tabel 30'!H18</f>
        <v>0</v>
      </c>
      <c r="I24" s="523">
        <f>$C24*'Tabel 30'!I18</f>
        <v>0</v>
      </c>
      <c r="J24" s="523">
        <f>$C24*'Tabel 30'!J18</f>
        <v>7.305500000000011</v>
      </c>
      <c r="K24" s="524">
        <f>$C24*'Tabel 30'!K18</f>
        <v>730.55000000000109</v>
      </c>
    </row>
    <row r="25" spans="1:11" ht="18.75">
      <c r="A25" s="634" t="s">
        <v>171</v>
      </c>
      <c r="B25" s="635" t="s">
        <v>3</v>
      </c>
      <c r="C25" s="640">
        <f>SUM(skemA4!G36:G38)+SUM(skemA4!F39:F40)</f>
        <v>448.849999999999</v>
      </c>
      <c r="D25" s="637">
        <f>$C25*'Tabel 30'!D19</f>
        <v>0</v>
      </c>
      <c r="E25" s="637">
        <f>$C25*'Tabel 30'!E19</f>
        <v>0</v>
      </c>
      <c r="F25" s="637">
        <f>$C25*'Tabel 30'!F19</f>
        <v>0</v>
      </c>
      <c r="G25" s="637">
        <f>$C25*'Tabel 30'!G19</f>
        <v>0</v>
      </c>
      <c r="H25" s="637">
        <f>$C25*'Tabel 30'!H19</f>
        <v>0</v>
      </c>
      <c r="I25" s="637">
        <f>$C25*'Tabel 30'!I19</f>
        <v>0</v>
      </c>
      <c r="J25" s="637">
        <f>$C25*'Tabel 30'!J19</f>
        <v>448.849999999999</v>
      </c>
      <c r="K25" s="638">
        <f>$C25*'Tabel 30'!K19</f>
        <v>35.907999999999923</v>
      </c>
    </row>
    <row r="26" spans="1:11" ht="18.75" customHeight="1">
      <c r="A26" s="621" t="s">
        <v>185</v>
      </c>
      <c r="B26" s="622"/>
      <c r="C26" s="623"/>
      <c r="D26" s="623">
        <f t="shared" ref="D26:K26" si="0">SUM(D8:D16)</f>
        <v>115653.15</v>
      </c>
      <c r="E26" s="623">
        <f t="shared" si="0"/>
        <v>825.84700000000225</v>
      </c>
      <c r="F26" s="623">
        <f t="shared" si="0"/>
        <v>-10123.250250000005</v>
      </c>
      <c r="G26" s="623">
        <f>SUM(G8:G16)</f>
        <v>-7564.500799999998</v>
      </c>
      <c r="H26" s="623">
        <f t="shared" si="0"/>
        <v>4916.4003000000012</v>
      </c>
      <c r="I26" s="623">
        <f t="shared" si="0"/>
        <v>-4897.5843000000004</v>
      </c>
      <c r="J26" s="623">
        <f t="shared" si="0"/>
        <v>262.10000000000127</v>
      </c>
      <c r="K26" s="624">
        <f t="shared" si="0"/>
        <v>69.35775000000109</v>
      </c>
    </row>
    <row r="27" spans="1:11" ht="18.75" customHeight="1">
      <c r="A27" s="625" t="s">
        <v>186</v>
      </c>
      <c r="B27" s="626"/>
      <c r="C27" s="627"/>
      <c r="D27" s="627">
        <f t="shared" ref="D27:K27" si="1">SUM(D18:D25)</f>
        <v>0</v>
      </c>
      <c r="E27" s="627">
        <f>SUM(E18:E25)</f>
        <v>12130.568499999999</v>
      </c>
      <c r="F27" s="627">
        <f>SUM(F18:F25)</f>
        <v>-7071.3912500000006</v>
      </c>
      <c r="G27" s="627">
        <f>SUM(G18:G25)</f>
        <v>4695.6785000000009</v>
      </c>
      <c r="H27" s="627">
        <f t="shared" si="1"/>
        <v>-19300.009000000005</v>
      </c>
      <c r="I27" s="627">
        <f t="shared" si="1"/>
        <v>805.79724999999848</v>
      </c>
      <c r="J27" s="627">
        <f t="shared" si="1"/>
        <v>456.15549999999899</v>
      </c>
      <c r="K27" s="628">
        <f t="shared" si="1"/>
        <v>1234.423250000001</v>
      </c>
    </row>
    <row r="28" spans="1:11" ht="15">
      <c r="A28" s="629"/>
      <c r="B28" s="630"/>
      <c r="C28" s="631"/>
      <c r="D28" s="632" t="s">
        <v>639</v>
      </c>
      <c r="E28" s="632" t="s">
        <v>538</v>
      </c>
      <c r="F28" s="632" t="s">
        <v>640</v>
      </c>
      <c r="G28" s="632" t="s">
        <v>641</v>
      </c>
      <c r="H28" s="632" t="s">
        <v>539</v>
      </c>
      <c r="I28" s="632" t="s">
        <v>540</v>
      </c>
      <c r="J28" s="632" t="s">
        <v>642</v>
      </c>
      <c r="K28" s="633" t="s">
        <v>643</v>
      </c>
    </row>
  </sheetData>
  <sheetProtection selectLockedCells="1" selectUnlockedCells="1"/>
  <mergeCells count="3">
    <mergeCell ref="A7:C7"/>
    <mergeCell ref="A17:C17"/>
    <mergeCell ref="J4:K4"/>
  </mergeCells>
  <phoneticPr fontId="26" type="noConversion"/>
  <pageMargins left="1.429861111111111" right="0.74791666666666667" top="0.74027777777777781" bottom="0.37986111111111109" header="0.51180555555555551" footer="0.51180555555555551"/>
  <pageSetup paperSize="9" firstPageNumber="0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29"/>
  <sheetViews>
    <sheetView workbookViewId="0">
      <selection activeCell="E8" sqref="E8"/>
    </sheetView>
  </sheetViews>
  <sheetFormatPr defaultColWidth="9.140625" defaultRowHeight="14.25"/>
  <cols>
    <col min="1" max="1" width="2.85546875" style="1" customWidth="1"/>
    <col min="2" max="2" width="9.140625" style="1"/>
    <col min="3" max="3" width="9.28515625" style="1" customWidth="1"/>
    <col min="4" max="4" width="2.7109375" style="1" customWidth="1"/>
    <col min="5" max="5" width="9.28515625" style="1" customWidth="1"/>
    <col min="6" max="6" width="2.85546875" style="1" customWidth="1"/>
    <col min="7" max="7" width="9.140625" style="1"/>
    <col min="8" max="8" width="2.85546875" style="1" customWidth="1"/>
    <col min="9" max="9" width="12.140625" style="1" customWidth="1"/>
    <col min="10" max="11" width="9.140625" style="1"/>
    <col min="12" max="12" width="12" style="1" customWidth="1"/>
    <col min="13" max="16384" width="9.140625" style="1"/>
  </cols>
  <sheetData>
    <row r="1" spans="2:10" ht="15">
      <c r="B1" s="52" t="s">
        <v>199</v>
      </c>
    </row>
    <row r="2" spans="2:10" ht="15">
      <c r="C2" s="52" t="s">
        <v>200</v>
      </c>
    </row>
    <row r="3" spans="2:10" ht="18.75">
      <c r="B3" s="115" t="s">
        <v>201</v>
      </c>
      <c r="C3" s="116"/>
      <c r="D3" s="116"/>
      <c r="E3" s="116"/>
      <c r="F3" s="116"/>
      <c r="G3" s="116"/>
      <c r="H3" s="116"/>
      <c r="I3" s="145"/>
      <c r="J3" s="146"/>
    </row>
    <row r="4" spans="2:10" ht="18.75">
      <c r="B4" s="146"/>
      <c r="C4" s="43" t="s">
        <v>202</v>
      </c>
      <c r="D4" s="43" t="s">
        <v>3</v>
      </c>
      <c r="E4" s="43" t="s">
        <v>203</v>
      </c>
      <c r="F4" s="43" t="s">
        <v>3</v>
      </c>
      <c r="G4" s="43" t="s">
        <v>204</v>
      </c>
      <c r="H4" s="43" t="s">
        <v>3</v>
      </c>
      <c r="I4" s="147">
        <v>0</v>
      </c>
      <c r="J4" s="146"/>
    </row>
    <row r="5" spans="2:10">
      <c r="B5" s="146"/>
      <c r="I5" s="148"/>
      <c r="J5" s="146"/>
    </row>
    <row r="6" spans="2:10" ht="18.75">
      <c r="B6" s="146" t="s">
        <v>205</v>
      </c>
      <c r="I6" s="148"/>
      <c r="J6" s="146"/>
    </row>
    <row r="7" spans="2:10" ht="18.75">
      <c r="B7" s="146"/>
      <c r="C7" s="43" t="s">
        <v>206</v>
      </c>
      <c r="D7" s="43" t="s">
        <v>3</v>
      </c>
      <c r="E7" s="142">
        <v>1</v>
      </c>
      <c r="I7" s="148"/>
      <c r="J7" s="146"/>
    </row>
    <row r="8" spans="2:10" ht="18.75">
      <c r="B8" s="146"/>
      <c r="C8" s="43" t="s">
        <v>207</v>
      </c>
      <c r="D8" s="43" t="s">
        <v>3</v>
      </c>
      <c r="E8" s="142">
        <v>0</v>
      </c>
      <c r="I8" s="148"/>
      <c r="J8" s="146"/>
    </row>
    <row r="9" spans="2:10" ht="18.75">
      <c r="B9" s="146"/>
      <c r="C9" s="43" t="s">
        <v>208</v>
      </c>
      <c r="D9" s="43" t="s">
        <v>3</v>
      </c>
      <c r="E9" s="142">
        <v>0</v>
      </c>
      <c r="I9" s="148"/>
      <c r="J9" s="146"/>
    </row>
    <row r="10" spans="2:10">
      <c r="B10" s="146"/>
      <c r="I10" s="148"/>
      <c r="J10" s="146"/>
    </row>
    <row r="11" spans="2:10" ht="18.75">
      <c r="B11" s="146" t="s">
        <v>209</v>
      </c>
      <c r="I11" s="148"/>
      <c r="J11" s="146"/>
    </row>
    <row r="12" spans="2:10" ht="18.75">
      <c r="B12" s="146"/>
      <c r="C12" s="43" t="s">
        <v>210</v>
      </c>
      <c r="D12" s="43" t="s">
        <v>3</v>
      </c>
      <c r="E12" s="43" t="s">
        <v>211</v>
      </c>
      <c r="F12" s="43" t="s">
        <v>3</v>
      </c>
      <c r="G12" s="43" t="s">
        <v>212</v>
      </c>
      <c r="I12" s="148"/>
      <c r="J12" s="146"/>
    </row>
    <row r="13" spans="2:10" ht="18.75">
      <c r="B13" s="146"/>
      <c r="C13" s="43" t="s">
        <v>213</v>
      </c>
      <c r="D13" s="43" t="s">
        <v>3</v>
      </c>
      <c r="E13" s="43" t="s">
        <v>214</v>
      </c>
      <c r="F13" s="43" t="s">
        <v>3</v>
      </c>
      <c r="G13" s="43" t="s">
        <v>215</v>
      </c>
      <c r="I13" s="148"/>
      <c r="J13" s="146"/>
    </row>
    <row r="14" spans="2:10">
      <c r="B14" s="146"/>
      <c r="I14" s="148"/>
      <c r="J14" s="146"/>
    </row>
    <row r="15" spans="2:10" ht="18.75">
      <c r="B15" s="146" t="s">
        <v>216</v>
      </c>
      <c r="I15" s="148"/>
      <c r="J15" s="146"/>
    </row>
    <row r="16" spans="2:10" ht="18.75">
      <c r="B16" s="146"/>
      <c r="C16" s="43" t="s">
        <v>217</v>
      </c>
      <c r="D16" s="43" t="s">
        <v>3</v>
      </c>
      <c r="E16" s="1" t="s">
        <v>218</v>
      </c>
      <c r="I16" s="148"/>
      <c r="J16" s="146"/>
    </row>
    <row r="17" spans="2:10" ht="18.75">
      <c r="B17" s="146"/>
      <c r="C17" s="43" t="s">
        <v>219</v>
      </c>
      <c r="D17" s="43" t="s">
        <v>3</v>
      </c>
      <c r="E17" s="1" t="s">
        <v>220</v>
      </c>
      <c r="I17" s="148"/>
      <c r="J17" s="146"/>
    </row>
    <row r="18" spans="2:10" ht="18.75">
      <c r="B18" s="146"/>
      <c r="C18" s="43" t="s">
        <v>221</v>
      </c>
      <c r="D18" s="43" t="s">
        <v>3</v>
      </c>
      <c r="E18" s="1" t="s">
        <v>222</v>
      </c>
      <c r="I18" s="148"/>
      <c r="J18" s="146"/>
    </row>
    <row r="19" spans="2:10">
      <c r="B19" s="146"/>
      <c r="I19" s="148"/>
      <c r="J19" s="146"/>
    </row>
    <row r="20" spans="2:10" ht="18.75">
      <c r="B20" s="146" t="s">
        <v>223</v>
      </c>
      <c r="I20" s="148"/>
      <c r="J20" s="146"/>
    </row>
    <row r="21" spans="2:10" ht="18.75">
      <c r="B21" s="146"/>
      <c r="C21" s="1" t="s">
        <v>224</v>
      </c>
      <c r="D21" s="43" t="s">
        <v>3</v>
      </c>
      <c r="E21" s="1" t="s">
        <v>225</v>
      </c>
      <c r="I21" s="148"/>
      <c r="J21" s="146"/>
    </row>
    <row r="22" spans="2:10">
      <c r="B22" s="146"/>
      <c r="I22" s="148"/>
      <c r="J22" s="146"/>
    </row>
    <row r="23" spans="2:10" ht="18.75">
      <c r="B23" s="146" t="s">
        <v>226</v>
      </c>
      <c r="I23" s="148"/>
      <c r="J23" s="146"/>
    </row>
    <row r="24" spans="2:10" ht="18.75">
      <c r="B24" s="146"/>
      <c r="C24" s="43" t="s">
        <v>227</v>
      </c>
      <c r="D24" s="43" t="s">
        <v>3</v>
      </c>
      <c r="E24" s="1" t="s">
        <v>228</v>
      </c>
      <c r="I24" s="148"/>
      <c r="J24" s="146"/>
    </row>
    <row r="25" spans="2:10" ht="18.75">
      <c r="B25" s="146"/>
      <c r="C25" s="43" t="s">
        <v>229</v>
      </c>
      <c r="D25" s="43" t="s">
        <v>3</v>
      </c>
      <c r="E25" s="1" t="s">
        <v>230</v>
      </c>
      <c r="I25" s="148"/>
      <c r="J25" s="146"/>
    </row>
    <row r="26" spans="2:10">
      <c r="B26" s="146"/>
      <c r="I26" s="148"/>
      <c r="J26" s="146"/>
    </row>
    <row r="27" spans="2:10" ht="18.75">
      <c r="B27" s="146" t="s">
        <v>231</v>
      </c>
      <c r="I27" s="148"/>
      <c r="J27" s="146"/>
    </row>
    <row r="28" spans="2:10" ht="18.75">
      <c r="B28" s="146"/>
      <c r="C28" s="43" t="s">
        <v>232</v>
      </c>
      <c r="D28" s="43" t="s">
        <v>3</v>
      </c>
      <c r="E28" s="1" t="s">
        <v>233</v>
      </c>
      <c r="I28" s="148"/>
      <c r="J28" s="146"/>
    </row>
    <row r="29" spans="2:10" ht="18.75">
      <c r="B29" s="149"/>
      <c r="C29" s="150" t="s">
        <v>234</v>
      </c>
      <c r="D29" s="150" t="s">
        <v>3</v>
      </c>
      <c r="E29" s="151" t="s">
        <v>235</v>
      </c>
      <c r="F29" s="151"/>
      <c r="G29" s="151"/>
      <c r="H29" s="151"/>
      <c r="I29" s="152"/>
      <c r="J29" s="146"/>
    </row>
  </sheetData>
  <sheetProtection selectLockedCells="1" selectUnlockedCells="1"/>
  <phoneticPr fontId="26" type="noConversion"/>
  <printOptions horizontalCentered="1"/>
  <pageMargins left="1" right="0.5" top="1.1402777777777777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ColWidth="11.5703125" defaultRowHeight="12.75"/>
  <sheetData/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landscape" horizontalDpi="300" verticalDpi="30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ColWidth="11.5703125" defaultRowHeight="12.75"/>
  <sheetData/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landscape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ColWidth="11.5703125" defaultRowHeight="12.75"/>
  <sheetData/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landscape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ColWidth="11.5703125" defaultRowHeight="12.75"/>
  <sheetData/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landscape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ColWidth="11.5703125" defaultRowHeight="12.75"/>
  <sheetData/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landscape" horizontalDpi="300" verticalDpi="30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50"/>
  <sheetViews>
    <sheetView topLeftCell="A10" workbookViewId="0">
      <selection activeCell="H12" sqref="H12"/>
    </sheetView>
  </sheetViews>
  <sheetFormatPr defaultColWidth="5.7109375" defaultRowHeight="15" customHeight="1"/>
  <cols>
    <col min="1" max="5" width="5.7109375" style="97" customWidth="1"/>
    <col min="6" max="6" width="7.140625" style="97" customWidth="1"/>
    <col min="7" max="16384" width="5.7109375" style="97"/>
  </cols>
  <sheetData>
    <row r="1" spans="2:18" ht="15" customHeight="1">
      <c r="B1" s="153" t="s">
        <v>236</v>
      </c>
    </row>
    <row r="3" spans="2:18" ht="15" customHeight="1" thickTop="1">
      <c r="B3" s="154" t="s">
        <v>237</v>
      </c>
      <c r="C3" s="155" t="s">
        <v>238</v>
      </c>
      <c r="D3" s="155">
        <v>2022</v>
      </c>
      <c r="E3" s="155"/>
      <c r="F3" s="156" t="s">
        <v>3</v>
      </c>
      <c r="G3" s="155">
        <f>VLOOKUP(D3,$N$4:$R$29,2)</f>
        <v>0.98499999999999999</v>
      </c>
      <c r="H3" s="155" t="s">
        <v>390</v>
      </c>
      <c r="I3" s="155"/>
      <c r="J3" s="155"/>
      <c r="K3" s="157"/>
      <c r="M3" s="158"/>
      <c r="N3" s="97" t="s">
        <v>380</v>
      </c>
      <c r="O3" s="97" t="s">
        <v>538</v>
      </c>
      <c r="P3" s="97" t="s">
        <v>539</v>
      </c>
      <c r="Q3" s="97" t="s">
        <v>540</v>
      </c>
      <c r="R3" s="97" t="s">
        <v>541</v>
      </c>
    </row>
    <row r="4" spans="2:18" ht="15" customHeight="1">
      <c r="B4" s="159"/>
      <c r="D4" s="97">
        <v>2023</v>
      </c>
      <c r="F4" s="160" t="s">
        <v>3</v>
      </c>
      <c r="G4" s="465">
        <f>VLOOKUP(D4,$N$4:$R$29,2)</f>
        <v>0.97499999999999998</v>
      </c>
      <c r="K4" s="161"/>
      <c r="M4" s="158"/>
      <c r="N4" s="97">
        <v>2000</v>
      </c>
      <c r="O4" s="97">
        <v>1.022</v>
      </c>
      <c r="P4" s="97">
        <v>0.92200000000000004</v>
      </c>
      <c r="Q4" s="97">
        <v>0.94399999999999995</v>
      </c>
      <c r="R4" s="97">
        <v>0.85599999999999998</v>
      </c>
    </row>
    <row r="5" spans="2:18" ht="15" customHeight="1">
      <c r="B5" s="159"/>
      <c r="C5" s="97" t="s">
        <v>239</v>
      </c>
      <c r="F5" s="158" t="s">
        <v>3</v>
      </c>
      <c r="G5" s="162">
        <f>G4-G3</f>
        <v>-1.0000000000000009E-2</v>
      </c>
      <c r="K5" s="161"/>
      <c r="M5" s="158"/>
      <c r="N5" s="97">
        <v>2001</v>
      </c>
      <c r="O5" s="97">
        <v>1.0110000000000001</v>
      </c>
      <c r="P5" s="97">
        <v>0.95799999999999996</v>
      </c>
      <c r="Q5" s="97">
        <v>1.008</v>
      </c>
      <c r="R5" s="97">
        <v>0.94099999999999995</v>
      </c>
    </row>
    <row r="6" spans="2:18" ht="15" customHeight="1">
      <c r="B6" s="159"/>
      <c r="H6" s="158"/>
      <c r="K6" s="161"/>
      <c r="M6" s="158"/>
      <c r="N6" s="97">
        <v>2002</v>
      </c>
      <c r="O6" s="97">
        <v>0.99800000000000011</v>
      </c>
      <c r="P6" s="97">
        <v>0.997</v>
      </c>
      <c r="Q6" s="97">
        <v>1.0670000000000002</v>
      </c>
      <c r="R6" s="97">
        <v>1.0369999999999999</v>
      </c>
    </row>
    <row r="7" spans="2:18" ht="15" customHeight="1">
      <c r="B7" s="159"/>
      <c r="C7" s="97" t="s">
        <v>240</v>
      </c>
      <c r="D7" s="158">
        <f>skemA1!C41</f>
        <v>11</v>
      </c>
      <c r="E7" s="97" t="s">
        <v>386</v>
      </c>
      <c r="K7" s="161"/>
      <c r="M7" s="158"/>
      <c r="N7" s="97">
        <v>2003</v>
      </c>
      <c r="O7" s="97">
        <v>0.9860000000000001</v>
      </c>
      <c r="P7" s="97">
        <v>1.0349999999999999</v>
      </c>
      <c r="Q7" s="97">
        <v>1.1160000000000001</v>
      </c>
      <c r="R7" s="97">
        <v>1.133</v>
      </c>
    </row>
    <row r="8" spans="2:18" ht="15" customHeight="1">
      <c r="B8" s="159"/>
      <c r="D8" s="714" t="s">
        <v>238</v>
      </c>
      <c r="E8" s="714" t="s">
        <v>3</v>
      </c>
      <c r="F8" s="714">
        <f>G3</f>
        <v>0.98499999999999999</v>
      </c>
      <c r="G8" s="714" t="s">
        <v>76</v>
      </c>
      <c r="H8" s="466">
        <v>5</v>
      </c>
      <c r="I8" s="714" t="s">
        <v>241</v>
      </c>
      <c r="J8" s="715">
        <f>G5</f>
        <v>-1.0000000000000009E-2</v>
      </c>
      <c r="K8" s="161"/>
      <c r="M8" s="158"/>
      <c r="N8" s="97">
        <v>2004</v>
      </c>
      <c r="O8" s="97">
        <v>0.97600000000000009</v>
      </c>
      <c r="P8" s="97">
        <v>1.0680000000000001</v>
      </c>
      <c r="Q8" s="97">
        <v>1.1520000000000001</v>
      </c>
      <c r="R8" s="97">
        <v>1.218</v>
      </c>
    </row>
    <row r="9" spans="2:18" ht="15" customHeight="1">
      <c r="B9" s="159"/>
      <c r="D9" s="714"/>
      <c r="E9" s="714"/>
      <c r="F9" s="714"/>
      <c r="G9" s="714"/>
      <c r="H9" s="158">
        <v>12</v>
      </c>
      <c r="I9" s="714"/>
      <c r="J9" s="715"/>
      <c r="K9" s="161"/>
      <c r="M9" s="158"/>
      <c r="N9" s="97">
        <v>2005</v>
      </c>
      <c r="O9" s="97">
        <v>0.96800000000000008</v>
      </c>
      <c r="P9" s="97">
        <v>1.0940000000000001</v>
      </c>
      <c r="Q9" s="97">
        <v>1.1740000000000002</v>
      </c>
      <c r="R9" s="97">
        <v>1.2789999999999999</v>
      </c>
    </row>
    <row r="10" spans="2:18" ht="15" customHeight="1">
      <c r="B10" s="163"/>
      <c r="C10" s="164"/>
      <c r="D10" s="165" t="s">
        <v>238</v>
      </c>
      <c r="E10" s="165" t="s">
        <v>3</v>
      </c>
      <c r="F10" s="713">
        <f>F8+((H8/H9)*J8)</f>
        <v>0.98083333333333333</v>
      </c>
      <c r="G10" s="713"/>
      <c r="H10" s="164"/>
      <c r="I10" s="164"/>
      <c r="J10" s="164"/>
      <c r="K10" s="166"/>
      <c r="M10" s="158"/>
      <c r="N10" s="97">
        <v>2006</v>
      </c>
      <c r="O10" s="97">
        <v>0.96499999999999997</v>
      </c>
      <c r="P10" s="97">
        <v>1.1110000000000002</v>
      </c>
      <c r="Q10" s="97">
        <v>1.18</v>
      </c>
      <c r="R10" s="97">
        <v>1.31</v>
      </c>
    </row>
    <row r="11" spans="2:18" ht="15" customHeight="1">
      <c r="D11" s="158"/>
      <c r="M11" s="158"/>
      <c r="N11" s="97">
        <v>2007</v>
      </c>
      <c r="O11" s="97">
        <v>0.96499999999999997</v>
      </c>
      <c r="P11" s="97">
        <v>1.1180000000000001</v>
      </c>
      <c r="Q11" s="97">
        <v>1.169</v>
      </c>
      <c r="R11" s="97">
        <v>1.3069999999999999</v>
      </c>
    </row>
    <row r="12" spans="2:18" ht="15" customHeight="1" thickTop="1">
      <c r="B12" s="154" t="s">
        <v>237</v>
      </c>
      <c r="C12" s="155" t="s">
        <v>242</v>
      </c>
      <c r="D12" s="155">
        <f>D3</f>
        <v>2022</v>
      </c>
      <c r="E12" s="155"/>
      <c r="F12" s="156" t="s">
        <v>3</v>
      </c>
      <c r="G12" s="155">
        <f>VLOOKUP(D12,$N$4:$R$29,3)</f>
        <v>1.0629999999999999</v>
      </c>
      <c r="H12" s="155" t="str">
        <f>H3</f>
        <v>Mei</v>
      </c>
      <c r="I12" s="155"/>
      <c r="J12" s="155"/>
      <c r="K12" s="157"/>
      <c r="M12" s="158"/>
      <c r="N12" s="97">
        <v>2008</v>
      </c>
      <c r="O12" s="97">
        <v>0.97</v>
      </c>
      <c r="P12" s="97">
        <v>1.115</v>
      </c>
      <c r="Q12" s="97">
        <v>1.143</v>
      </c>
      <c r="R12" s="97">
        <v>1.2689999999999999</v>
      </c>
    </row>
    <row r="13" spans="2:18" ht="15" customHeight="1">
      <c r="B13" s="159"/>
      <c r="D13" s="97">
        <f>D12+1</f>
        <v>2023</v>
      </c>
      <c r="F13" s="160" t="s">
        <v>3</v>
      </c>
      <c r="G13" s="465">
        <f>VLOOKUP(D13,$N$4:$R$29,3)</f>
        <v>1.089</v>
      </c>
      <c r="K13" s="161"/>
      <c r="M13" s="158"/>
      <c r="N13" s="97">
        <v>2009</v>
      </c>
      <c r="O13" s="97">
        <v>0.97800000000000009</v>
      </c>
      <c r="P13" s="97">
        <v>1.1020000000000001</v>
      </c>
      <c r="Q13" s="97">
        <v>1.1030000000000002</v>
      </c>
      <c r="R13" s="97">
        <v>1.2030000000000001</v>
      </c>
    </row>
    <row r="14" spans="2:18" ht="15" customHeight="1">
      <c r="B14" s="159"/>
      <c r="C14" s="97" t="s">
        <v>239</v>
      </c>
      <c r="F14" s="158" t="s">
        <v>3</v>
      </c>
      <c r="G14" s="162">
        <f>G12-G13</f>
        <v>-2.6000000000000023E-2</v>
      </c>
      <c r="K14" s="161"/>
      <c r="M14" s="158"/>
      <c r="N14" s="97">
        <v>2010</v>
      </c>
      <c r="O14" s="97">
        <v>0.9880000000000001</v>
      </c>
      <c r="P14" s="97">
        <v>1.0810000000000002</v>
      </c>
      <c r="Q14" s="97">
        <v>1.0510000000000002</v>
      </c>
      <c r="R14" s="97">
        <v>1.115</v>
      </c>
    </row>
    <row r="15" spans="2:18" ht="15" customHeight="1">
      <c r="B15" s="159"/>
      <c r="H15" s="158"/>
      <c r="K15" s="161"/>
      <c r="N15" s="97">
        <v>2011</v>
      </c>
      <c r="O15" s="97">
        <v>1.0010000000000001</v>
      </c>
      <c r="P15" s="97">
        <v>1.052</v>
      </c>
      <c r="Q15" s="97">
        <v>0.9890000000000001</v>
      </c>
      <c r="R15" s="97">
        <v>1.0169999999999999</v>
      </c>
    </row>
    <row r="16" spans="2:18" ht="15" customHeight="1">
      <c r="B16" s="159"/>
      <c r="C16" s="97" t="s">
        <v>240</v>
      </c>
      <c r="D16" s="158">
        <f>D7</f>
        <v>11</v>
      </c>
      <c r="E16" s="97" t="str">
        <f>E7</f>
        <v>Januari</v>
      </c>
      <c r="K16" s="161"/>
      <c r="N16" s="97">
        <v>2012</v>
      </c>
      <c r="O16" s="97">
        <v>1.0130000000000001</v>
      </c>
      <c r="P16" s="97">
        <v>1.016</v>
      </c>
      <c r="Q16" s="97">
        <v>0.92400000000000015</v>
      </c>
      <c r="R16" s="97">
        <v>0.92200000000000004</v>
      </c>
    </row>
    <row r="17" spans="2:18" ht="15" customHeight="1">
      <c r="B17" s="159"/>
      <c r="D17" s="714" t="s">
        <v>242</v>
      </c>
      <c r="E17" s="714" t="s">
        <v>3</v>
      </c>
      <c r="F17" s="714">
        <f>G12</f>
        <v>1.0629999999999999</v>
      </c>
      <c r="G17" s="714" t="s">
        <v>77</v>
      </c>
      <c r="H17" s="160">
        <f>H8</f>
        <v>5</v>
      </c>
      <c r="I17" s="714" t="s">
        <v>241</v>
      </c>
      <c r="J17" s="715">
        <f>G14</f>
        <v>-2.6000000000000023E-2</v>
      </c>
      <c r="K17" s="161"/>
      <c r="N17" s="97">
        <v>2013</v>
      </c>
      <c r="O17" s="97">
        <v>1.024</v>
      </c>
      <c r="P17" s="97">
        <v>0.97600000000000009</v>
      </c>
      <c r="Q17" s="97">
        <v>0.8660000000000001</v>
      </c>
      <c r="R17" s="97">
        <v>0.84199999999999997</v>
      </c>
    </row>
    <row r="18" spans="2:18" ht="15" customHeight="1">
      <c r="B18" s="159"/>
      <c r="D18" s="714"/>
      <c r="E18" s="714"/>
      <c r="F18" s="714"/>
      <c r="G18" s="714"/>
      <c r="H18" s="158">
        <f>H9</f>
        <v>12</v>
      </c>
      <c r="I18" s="714"/>
      <c r="J18" s="715"/>
      <c r="K18" s="161"/>
      <c r="N18" s="97">
        <v>2014</v>
      </c>
      <c r="O18" s="97">
        <v>1.0330000000000001</v>
      </c>
      <c r="P18" s="97">
        <v>0.93800000000000017</v>
      </c>
      <c r="Q18" s="97">
        <v>0.82300000000000006</v>
      </c>
      <c r="R18" s="97">
        <v>0.78400000000000003</v>
      </c>
    </row>
    <row r="19" spans="2:18" ht="15" customHeight="1">
      <c r="B19" s="163"/>
      <c r="C19" s="164"/>
      <c r="D19" s="165" t="s">
        <v>242</v>
      </c>
      <c r="E19" s="165" t="s">
        <v>3</v>
      </c>
      <c r="F19" s="713">
        <f>F17-((H17/H18)*J17)</f>
        <v>1.0738333333333332</v>
      </c>
      <c r="G19" s="713"/>
      <c r="H19" s="164"/>
      <c r="I19" s="164"/>
      <c r="J19" s="164"/>
      <c r="K19" s="166"/>
      <c r="N19" s="97">
        <v>2015</v>
      </c>
      <c r="O19" s="97">
        <v>1.038</v>
      </c>
      <c r="P19" s="97">
        <v>0.90700000000000014</v>
      </c>
      <c r="Q19" s="97">
        <v>0.80400000000000016</v>
      </c>
      <c r="R19" s="97">
        <v>0.751</v>
      </c>
    </row>
    <row r="20" spans="2:18" ht="15" customHeight="1" thickTop="1" thickBot="1">
      <c r="D20" s="158"/>
      <c r="N20" s="97">
        <v>2016</v>
      </c>
      <c r="O20" s="97">
        <v>1.0390000000000001</v>
      </c>
      <c r="P20" s="97">
        <v>0.88900000000000012</v>
      </c>
      <c r="Q20" s="97">
        <v>0.81400000000000006</v>
      </c>
      <c r="R20" s="97">
        <v>0.745</v>
      </c>
    </row>
    <row r="21" spans="2:18" ht="15" customHeight="1" thickTop="1">
      <c r="B21" s="154" t="s">
        <v>237</v>
      </c>
      <c r="C21" s="155" t="s">
        <v>243</v>
      </c>
      <c r="D21" s="155">
        <f>D3</f>
        <v>2022</v>
      </c>
      <c r="E21" s="155"/>
      <c r="F21" s="156" t="s">
        <v>3</v>
      </c>
      <c r="G21" s="467">
        <f>VLOOKUP(D21,$N$4:$R$29,4)</f>
        <v>1.1120000000000001</v>
      </c>
      <c r="H21" s="155" t="str">
        <f>H12</f>
        <v>Mei</v>
      </c>
      <c r="I21" s="155"/>
      <c r="J21" s="155"/>
      <c r="K21" s="157"/>
      <c r="N21" s="97">
        <v>2017</v>
      </c>
      <c r="O21" s="97">
        <v>1.0349999999999999</v>
      </c>
      <c r="P21" s="97">
        <v>0.88900000000000012</v>
      </c>
      <c r="Q21" s="97">
        <v>0.85100000000000009</v>
      </c>
      <c r="R21" s="97">
        <v>0.76700000000000002</v>
      </c>
    </row>
    <row r="22" spans="2:18" ht="15" customHeight="1">
      <c r="B22" s="159"/>
      <c r="D22" s="97">
        <f>D21+1</f>
        <v>2023</v>
      </c>
      <c r="F22" s="160" t="s">
        <v>3</v>
      </c>
      <c r="G22" s="213">
        <f>VLOOKUP(D22,$N$4:$R$29,4)</f>
        <v>1.151</v>
      </c>
      <c r="K22" s="161"/>
      <c r="N22" s="97">
        <v>2018</v>
      </c>
      <c r="O22" s="97">
        <v>1.028</v>
      </c>
      <c r="P22" s="97">
        <v>0.90500000000000003</v>
      </c>
      <c r="Q22" s="97">
        <v>0.90300000000000002</v>
      </c>
      <c r="R22" s="97">
        <v>0.81499999999999995</v>
      </c>
    </row>
    <row r="23" spans="2:18" ht="15" customHeight="1">
      <c r="B23" s="159"/>
      <c r="C23" s="97" t="s">
        <v>239</v>
      </c>
      <c r="F23" s="158" t="s">
        <v>3</v>
      </c>
      <c r="G23" s="162">
        <f>G21-G22</f>
        <v>-3.8999999999999924E-2</v>
      </c>
      <c r="K23" s="161"/>
      <c r="N23" s="97">
        <v>2019</v>
      </c>
      <c r="O23" s="97">
        <v>1.018</v>
      </c>
      <c r="P23" s="97">
        <v>0.93500000000000005</v>
      </c>
      <c r="Q23" s="97">
        <v>0.96699999999999997</v>
      </c>
      <c r="R23" s="97">
        <v>0.88700000000000001</v>
      </c>
    </row>
    <row r="24" spans="2:18" ht="15" customHeight="1">
      <c r="B24" s="159"/>
      <c r="H24" s="158"/>
      <c r="K24" s="161"/>
      <c r="N24" s="97">
        <v>2020</v>
      </c>
      <c r="O24" s="97">
        <v>1.006</v>
      </c>
      <c r="P24" s="97">
        <v>0.97300000000000009</v>
      </c>
      <c r="Q24" s="97">
        <v>1.04</v>
      </c>
      <c r="R24" s="97">
        <v>0.97699999999999998</v>
      </c>
    </row>
    <row r="25" spans="2:18" ht="15" customHeight="1">
      <c r="B25" s="159"/>
      <c r="C25" s="97" t="s">
        <v>240</v>
      </c>
      <c r="D25" s="158">
        <f>D16</f>
        <v>11</v>
      </c>
      <c r="E25" s="97" t="str">
        <f>E16</f>
        <v>Januari</v>
      </c>
      <c r="K25" s="161"/>
      <c r="N25" s="97">
        <v>2021</v>
      </c>
      <c r="O25" s="97">
        <v>0.99529999999999996</v>
      </c>
      <c r="P25" s="97">
        <v>1.03</v>
      </c>
      <c r="Q25" s="97">
        <v>1.0609999999999999</v>
      </c>
      <c r="R25" s="97">
        <v>1.079</v>
      </c>
    </row>
    <row r="26" spans="2:18" ht="15" customHeight="1">
      <c r="B26" s="159"/>
      <c r="D26" s="714" t="s">
        <v>243</v>
      </c>
      <c r="E26" s="714" t="s">
        <v>3</v>
      </c>
      <c r="F26" s="714">
        <f>G21</f>
        <v>1.1120000000000001</v>
      </c>
      <c r="G26" s="714" t="s">
        <v>77</v>
      </c>
      <c r="H26" s="160">
        <f>H17</f>
        <v>5</v>
      </c>
      <c r="I26" s="714" t="s">
        <v>241</v>
      </c>
      <c r="J26" s="715">
        <f>G23</f>
        <v>-3.8999999999999924E-2</v>
      </c>
      <c r="K26" s="161"/>
      <c r="N26" s="97">
        <v>2022</v>
      </c>
      <c r="O26" s="97">
        <v>0.98499999999999999</v>
      </c>
      <c r="P26" s="97">
        <v>1.0629999999999999</v>
      </c>
      <c r="Q26" s="97">
        <v>1.1120000000000001</v>
      </c>
      <c r="R26" s="97">
        <v>1.1719999999999999</v>
      </c>
    </row>
    <row r="27" spans="2:18" ht="15" customHeight="1">
      <c r="B27" s="159"/>
      <c r="D27" s="714"/>
      <c r="E27" s="714"/>
      <c r="F27" s="714"/>
      <c r="G27" s="714"/>
      <c r="H27" s="158">
        <f>H18</f>
        <v>12</v>
      </c>
      <c r="I27" s="714"/>
      <c r="J27" s="715"/>
      <c r="K27" s="161"/>
      <c r="N27" s="97">
        <v>2023</v>
      </c>
      <c r="O27" s="97">
        <v>0.97499999999999998</v>
      </c>
      <c r="P27" s="97">
        <v>1.089</v>
      </c>
      <c r="Q27" s="97">
        <v>1.151</v>
      </c>
      <c r="R27" s="97">
        <v>1.2330000000000001</v>
      </c>
    </row>
    <row r="28" spans="2:18" ht="15" customHeight="1" thickBot="1">
      <c r="B28" s="163"/>
      <c r="C28" s="164"/>
      <c r="D28" s="165" t="s">
        <v>243</v>
      </c>
      <c r="E28" s="165" t="s">
        <v>3</v>
      </c>
      <c r="F28" s="713">
        <f>F26-((H26/H27)*J26)</f>
        <v>1.12825</v>
      </c>
      <c r="G28" s="713"/>
      <c r="H28" s="164"/>
      <c r="I28" s="164"/>
      <c r="J28" s="164"/>
      <c r="K28" s="166"/>
      <c r="N28" s="97">
        <v>2024</v>
      </c>
      <c r="O28" s="97">
        <v>0.96699999999999997</v>
      </c>
      <c r="P28" s="97">
        <v>1.1060000000000001</v>
      </c>
      <c r="Q28" s="97">
        <v>1.175</v>
      </c>
      <c r="R28" s="97">
        <v>1.29</v>
      </c>
    </row>
    <row r="29" spans="2:18" ht="15" customHeight="1" thickTop="1" thickBot="1">
      <c r="D29" s="167"/>
      <c r="N29" s="97">
        <v>2025</v>
      </c>
      <c r="O29" s="97">
        <v>0.96399999999999997</v>
      </c>
      <c r="P29" s="97">
        <v>1.113</v>
      </c>
      <c r="Q29" s="97">
        <v>1.1830000000000001</v>
      </c>
      <c r="R29" s="97">
        <v>1.3149999999999999</v>
      </c>
    </row>
    <row r="30" spans="2:18" ht="15" customHeight="1" thickTop="1">
      <c r="B30" s="154" t="s">
        <v>237</v>
      </c>
      <c r="C30" s="155" t="s">
        <v>244</v>
      </c>
      <c r="D30" s="155">
        <f>D3</f>
        <v>2022</v>
      </c>
      <c r="E30" s="155"/>
      <c r="F30" s="156" t="s">
        <v>3</v>
      </c>
      <c r="G30" s="155">
        <f>VLOOKUP(D30,$N$4:$R$29,5)</f>
        <v>1.1719999999999999</v>
      </c>
      <c r="H30" s="155" t="str">
        <f>H21</f>
        <v>Mei</v>
      </c>
      <c r="I30" s="155"/>
      <c r="J30" s="155"/>
      <c r="K30" s="157"/>
      <c r="O30" s="318"/>
      <c r="P30" s="97">
        <v>1.1100000000000001</v>
      </c>
      <c r="Q30" s="97">
        <v>1.175</v>
      </c>
      <c r="R30" s="97">
        <v>1.306</v>
      </c>
    </row>
    <row r="31" spans="2:18" ht="15" customHeight="1">
      <c r="B31" s="159"/>
      <c r="D31" s="97">
        <f>D30+1</f>
        <v>2023</v>
      </c>
      <c r="F31" s="160" t="s">
        <v>3</v>
      </c>
      <c r="G31" s="213">
        <f>VLOOKUP(D31,$N$4:$R$29,5)</f>
        <v>1.2330000000000001</v>
      </c>
      <c r="K31" s="161"/>
      <c r="P31" s="97">
        <v>1.097</v>
      </c>
      <c r="Q31" s="97">
        <v>1.151</v>
      </c>
      <c r="R31" s="97">
        <v>1.264</v>
      </c>
    </row>
    <row r="32" spans="2:18" ht="15" customHeight="1">
      <c r="B32" s="159"/>
      <c r="C32" s="97" t="s">
        <v>239</v>
      </c>
      <c r="F32" s="158" t="s">
        <v>3</v>
      </c>
      <c r="G32" s="162">
        <f>G30-G31</f>
        <v>-6.1000000000000165E-2</v>
      </c>
      <c r="K32" s="161"/>
      <c r="P32" s="97">
        <v>1.0760000000000001</v>
      </c>
      <c r="Q32" s="97">
        <v>1.113</v>
      </c>
      <c r="R32" s="97">
        <v>1.1930000000000001</v>
      </c>
    </row>
    <row r="33" spans="2:17" ht="15" customHeight="1">
      <c r="B33" s="159"/>
      <c r="H33" s="158"/>
      <c r="K33" s="161"/>
      <c r="P33" s="97">
        <v>1.0469999999999999</v>
      </c>
      <c r="Q33" s="97">
        <v>1.0629999999999999</v>
      </c>
    </row>
    <row r="34" spans="2:17" ht="15" customHeight="1">
      <c r="B34" s="159"/>
      <c r="C34" s="97" t="s">
        <v>240</v>
      </c>
      <c r="D34" s="158">
        <f>D25</f>
        <v>11</v>
      </c>
      <c r="E34" s="97" t="str">
        <f>E25</f>
        <v>Januari</v>
      </c>
      <c r="K34" s="161"/>
      <c r="P34" s="97">
        <v>1.0109999999999999</v>
      </c>
      <c r="Q34" s="97">
        <v>1.0029999999999999</v>
      </c>
    </row>
    <row r="35" spans="2:17" ht="15" customHeight="1">
      <c r="B35" s="159"/>
      <c r="D35" s="714" t="s">
        <v>244</v>
      </c>
      <c r="E35" s="714" t="s">
        <v>3</v>
      </c>
      <c r="F35" s="714">
        <f>G30</f>
        <v>1.1719999999999999</v>
      </c>
      <c r="G35" s="714" t="s">
        <v>77</v>
      </c>
      <c r="H35" s="160">
        <f>H26</f>
        <v>5</v>
      </c>
      <c r="I35" s="714" t="s">
        <v>241</v>
      </c>
      <c r="J35" s="715">
        <f>G32</f>
        <v>-6.1000000000000165E-2</v>
      </c>
      <c r="K35" s="161"/>
      <c r="P35" s="97">
        <v>0.97099999999999997</v>
      </c>
      <c r="Q35" s="97">
        <v>0.93799999999999994</v>
      </c>
    </row>
    <row r="36" spans="2:17" ht="15" customHeight="1">
      <c r="B36" s="159"/>
      <c r="D36" s="714"/>
      <c r="E36" s="714"/>
      <c r="F36" s="714"/>
      <c r="G36" s="714"/>
      <c r="H36" s="158">
        <f>H27</f>
        <v>12</v>
      </c>
      <c r="I36" s="714"/>
      <c r="J36" s="715"/>
      <c r="K36" s="161"/>
      <c r="P36" s="97">
        <v>0.93300000000000005</v>
      </c>
      <c r="Q36" s="97">
        <v>0.878</v>
      </c>
    </row>
    <row r="37" spans="2:17" ht="15" customHeight="1" thickBot="1">
      <c r="B37" s="163"/>
      <c r="C37" s="164"/>
      <c r="D37" s="165" t="s">
        <v>244</v>
      </c>
      <c r="E37" s="165" t="s">
        <v>3</v>
      </c>
      <c r="F37" s="713">
        <f>F35-((H35/H36)*J35)</f>
        <v>1.1974166666666666</v>
      </c>
      <c r="G37" s="713"/>
      <c r="H37" s="164"/>
      <c r="I37" s="164"/>
      <c r="J37" s="164"/>
      <c r="K37" s="166"/>
      <c r="P37" s="97">
        <v>0.90200000000000002</v>
      </c>
      <c r="Q37" s="97">
        <v>0.83099999999999996</v>
      </c>
    </row>
    <row r="38" spans="2:17" ht="15" customHeight="1" thickTop="1" thickBot="1">
      <c r="D38" s="167"/>
      <c r="P38" s="97">
        <v>0.88400000000000001</v>
      </c>
      <c r="Q38" s="97">
        <v>0.80600000000000005</v>
      </c>
    </row>
    <row r="39" spans="2:17" ht="15" customHeight="1">
      <c r="C39" s="168" t="s">
        <v>238</v>
      </c>
      <c r="D39" s="169"/>
      <c r="E39" s="170" t="s">
        <v>3</v>
      </c>
      <c r="F39" s="171">
        <f>F10</f>
        <v>0.98083333333333333</v>
      </c>
      <c r="G39" s="172"/>
      <c r="P39" s="97">
        <v>0.88400000000000001</v>
      </c>
      <c r="Q39" s="97">
        <v>0.82199999999999995</v>
      </c>
    </row>
    <row r="40" spans="2:17" ht="15" customHeight="1">
      <c r="C40" s="173" t="s">
        <v>242</v>
      </c>
      <c r="E40" s="158" t="s">
        <v>3</v>
      </c>
      <c r="F40" s="174">
        <f>F19</f>
        <v>1.0738333333333332</v>
      </c>
      <c r="G40" s="175"/>
      <c r="P40" s="97">
        <v>0.9</v>
      </c>
      <c r="Q40" s="97">
        <v>0.86399999999999999</v>
      </c>
    </row>
    <row r="41" spans="2:17" ht="15" customHeight="1">
      <c r="C41" s="173" t="s">
        <v>243</v>
      </c>
      <c r="E41" s="158" t="s">
        <v>3</v>
      </c>
      <c r="F41" s="174">
        <f>F28</f>
        <v>1.12825</v>
      </c>
      <c r="G41" s="175"/>
      <c r="P41" s="97">
        <v>0.93</v>
      </c>
      <c r="Q41" s="97">
        <v>0.86399999999999999</v>
      </c>
    </row>
    <row r="42" spans="2:17" ht="15" customHeight="1">
      <c r="C42" s="173" t="s">
        <v>244</v>
      </c>
      <c r="E42" s="158" t="s">
        <v>3</v>
      </c>
      <c r="F42" s="174">
        <f>F37</f>
        <v>1.1974166666666666</v>
      </c>
      <c r="G42" s="175"/>
      <c r="P42" s="97">
        <v>0.96799999999999997</v>
      </c>
    </row>
    <row r="43" spans="2:17" ht="15" customHeight="1">
      <c r="C43" s="173"/>
      <c r="F43" s="174"/>
      <c r="G43" s="176"/>
      <c r="P43" s="97">
        <v>1.0069999999999999</v>
      </c>
    </row>
    <row r="44" spans="2:17" ht="15" customHeight="1">
      <c r="C44" s="173" t="s">
        <v>245</v>
      </c>
      <c r="E44" s="158" t="s">
        <v>3</v>
      </c>
      <c r="F44" s="158">
        <v>1</v>
      </c>
      <c r="G44" s="175"/>
      <c r="P44" s="97">
        <v>1.044</v>
      </c>
    </row>
    <row r="45" spans="2:17" ht="15" customHeight="1">
      <c r="C45" s="173" t="s">
        <v>246</v>
      </c>
      <c r="E45" s="158" t="s">
        <v>3</v>
      </c>
      <c r="F45" s="174">
        <f>F39</f>
        <v>0.98083333333333333</v>
      </c>
      <c r="G45" s="175"/>
      <c r="P45" s="97">
        <v>1.0740000000000001</v>
      </c>
    </row>
    <row r="46" spans="2:17" ht="15" customHeight="1">
      <c r="C46" s="173" t="s">
        <v>247</v>
      </c>
      <c r="E46" s="158" t="s">
        <v>3</v>
      </c>
      <c r="F46" s="174">
        <f>F39</f>
        <v>0.98083333333333333</v>
      </c>
      <c r="G46" s="175"/>
      <c r="P46" s="97">
        <v>1.0960000000000001</v>
      </c>
    </row>
    <row r="47" spans="2:17" ht="15" customHeight="1" thickBot="1">
      <c r="C47" s="177" t="s">
        <v>248</v>
      </c>
      <c r="D47" s="178"/>
      <c r="E47" s="179" t="s">
        <v>3</v>
      </c>
      <c r="F47" s="180">
        <f>F39^2</f>
        <v>0.9620340277777778</v>
      </c>
      <c r="G47" s="181"/>
      <c r="P47" s="97">
        <v>1.109</v>
      </c>
    </row>
    <row r="48" spans="2:17" ht="15" customHeight="1">
      <c r="P48" s="97">
        <v>1.113</v>
      </c>
    </row>
    <row r="49" spans="16:16" ht="15" customHeight="1">
      <c r="P49" s="97">
        <v>1.1060000000000001</v>
      </c>
    </row>
    <row r="50" spans="16:16" ht="15" customHeight="1">
      <c r="P50" s="97">
        <v>1.0900000000000001</v>
      </c>
    </row>
  </sheetData>
  <sheetProtection selectLockedCells="1" selectUnlockedCells="1"/>
  <mergeCells count="28">
    <mergeCell ref="I8:I9"/>
    <mergeCell ref="J8:J9"/>
    <mergeCell ref="I17:I18"/>
    <mergeCell ref="J17:J18"/>
    <mergeCell ref="D8:D9"/>
    <mergeCell ref="E8:E9"/>
    <mergeCell ref="F10:G10"/>
    <mergeCell ref="D17:D18"/>
    <mergeCell ref="E17:E18"/>
    <mergeCell ref="F17:F18"/>
    <mergeCell ref="G17:G18"/>
    <mergeCell ref="F8:F9"/>
    <mergeCell ref="G8:G9"/>
    <mergeCell ref="D35:D36"/>
    <mergeCell ref="E35:E36"/>
    <mergeCell ref="F35:F36"/>
    <mergeCell ref="G35:G36"/>
    <mergeCell ref="F19:G19"/>
    <mergeCell ref="D26:D27"/>
    <mergeCell ref="E26:E27"/>
    <mergeCell ref="F26:F27"/>
    <mergeCell ref="G26:G27"/>
    <mergeCell ref="F37:G37"/>
    <mergeCell ref="I26:I27"/>
    <mergeCell ref="J26:J27"/>
    <mergeCell ref="F28:G28"/>
    <mergeCell ref="I35:I36"/>
    <mergeCell ref="J35:J36"/>
  </mergeCells>
  <phoneticPr fontId="26" type="noConversion"/>
  <printOptions horizontalCentered="1"/>
  <pageMargins left="1" right="0.5" top="0.98402777777777772" bottom="0.98402777777777772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L35"/>
  <sheetViews>
    <sheetView topLeftCell="A10" workbookViewId="0">
      <selection activeCell="D2" sqref="D2"/>
    </sheetView>
  </sheetViews>
  <sheetFormatPr defaultColWidth="5.7109375" defaultRowHeight="15" customHeight="1"/>
  <cols>
    <col min="1" max="16384" width="5.7109375" style="97"/>
  </cols>
  <sheetData>
    <row r="1" spans="2:12" ht="15" customHeight="1">
      <c r="B1" s="717" t="s">
        <v>249</v>
      </c>
      <c r="C1" s="717"/>
      <c r="D1" s="717"/>
      <c r="E1" s="717"/>
      <c r="F1" s="717"/>
      <c r="G1" s="717"/>
      <c r="H1" s="717"/>
      <c r="I1" s="717"/>
    </row>
    <row r="2" spans="2:12" ht="15" customHeight="1">
      <c r="B2" s="97" t="s">
        <v>250</v>
      </c>
      <c r="D2" s="158">
        <f>skemA1!C41</f>
        <v>11</v>
      </c>
    </row>
    <row r="3" spans="2:12" ht="7.5" customHeight="1">
      <c r="D3" s="158"/>
    </row>
    <row r="4" spans="2:12" ht="15" customHeight="1">
      <c r="B4" s="154" t="s">
        <v>237</v>
      </c>
      <c r="C4" s="155" t="s">
        <v>238</v>
      </c>
      <c r="D4" s="156">
        <f>D2</f>
        <v>11</v>
      </c>
      <c r="E4" s="156" t="s">
        <v>3</v>
      </c>
      <c r="F4" s="155"/>
      <c r="G4" s="155"/>
      <c r="H4" s="156">
        <f>VLOOKUP(D4,'Tabel 42 (V'''''')'!$B$4:$F$34,2)</f>
        <v>116.2</v>
      </c>
      <c r="I4" s="157"/>
      <c r="L4" s="158"/>
    </row>
    <row r="5" spans="2:12" ht="15" customHeight="1">
      <c r="B5" s="159"/>
      <c r="D5" s="714">
        <f>D4+1</f>
        <v>12</v>
      </c>
      <c r="E5" s="714" t="s">
        <v>3</v>
      </c>
      <c r="F5" s="714">
        <f>VLOOKUP(D5,'Tabel 42 (V'''''')'!$B$4:$F$34,2)</f>
        <v>91.8</v>
      </c>
      <c r="G5" s="160">
        <v>12</v>
      </c>
      <c r="H5" s="714">
        <f>F5*G5/G6</f>
        <v>45.9</v>
      </c>
      <c r="I5" s="161"/>
      <c r="L5" s="158"/>
    </row>
    <row r="6" spans="2:12" ht="15" customHeight="1">
      <c r="B6" s="159"/>
      <c r="D6" s="714"/>
      <c r="E6" s="714"/>
      <c r="F6" s="714"/>
      <c r="G6" s="158">
        <v>24</v>
      </c>
      <c r="H6" s="714"/>
      <c r="I6" s="161"/>
      <c r="L6" s="158"/>
    </row>
    <row r="7" spans="2:12" ht="15" customHeight="1">
      <c r="B7" s="159"/>
      <c r="D7" s="714">
        <f>D4</f>
        <v>11</v>
      </c>
      <c r="E7" s="714" t="s">
        <v>3</v>
      </c>
      <c r="F7" s="716">
        <f>H4</f>
        <v>116.2</v>
      </c>
      <c r="G7" s="160">
        <f>G5</f>
        <v>12</v>
      </c>
      <c r="H7" s="716">
        <f>F7*G7/G8</f>
        <v>58.1</v>
      </c>
      <c r="I7" s="161"/>
      <c r="L7" s="158"/>
    </row>
    <row r="8" spans="2:12" ht="15" customHeight="1">
      <c r="B8" s="159"/>
      <c r="D8" s="714"/>
      <c r="E8" s="714"/>
      <c r="F8" s="716"/>
      <c r="G8" s="179">
        <f>G6</f>
        <v>24</v>
      </c>
      <c r="H8" s="716"/>
      <c r="I8" s="161"/>
      <c r="L8" s="158"/>
    </row>
    <row r="9" spans="2:12" ht="15" customHeight="1">
      <c r="B9" s="163"/>
      <c r="C9" s="164"/>
      <c r="D9" s="165"/>
      <c r="E9" s="164"/>
      <c r="F9" s="164" t="s">
        <v>238</v>
      </c>
      <c r="G9" s="165" t="s">
        <v>3</v>
      </c>
      <c r="H9" s="468">
        <f>H4+(H5-H7)</f>
        <v>104</v>
      </c>
      <c r="I9" s="183"/>
      <c r="L9" s="158"/>
    </row>
    <row r="10" spans="2:12" ht="15" customHeight="1">
      <c r="D10" s="167"/>
      <c r="H10" s="167"/>
      <c r="I10" s="167"/>
      <c r="L10" s="158"/>
    </row>
    <row r="11" spans="2:12" ht="15" customHeight="1">
      <c r="B11" s="154" t="s">
        <v>237</v>
      </c>
      <c r="C11" s="155" t="s">
        <v>246</v>
      </c>
      <c r="D11" s="156">
        <f>D2</f>
        <v>11</v>
      </c>
      <c r="E11" s="156" t="s">
        <v>3</v>
      </c>
      <c r="F11" s="155"/>
      <c r="G11" s="155"/>
      <c r="H11" s="156">
        <f>VLOOKUP(D11,'Tabel 42 (V'''''')'!$B$4:$F$34,3)</f>
        <v>345.5</v>
      </c>
      <c r="I11" s="157"/>
      <c r="L11" s="158"/>
    </row>
    <row r="12" spans="2:12" ht="15" customHeight="1">
      <c r="B12" s="159"/>
      <c r="D12" s="714">
        <f>D11+1</f>
        <v>12</v>
      </c>
      <c r="E12" s="714" t="s">
        <v>3</v>
      </c>
      <c r="F12" s="714">
        <f>VLOOKUP(D12,'Tabel 42 (V'''''')'!$B$4:$F$34,3)</f>
        <v>308.10000000000002</v>
      </c>
      <c r="G12" s="469">
        <f>G7</f>
        <v>12</v>
      </c>
      <c r="H12" s="714">
        <f>F12*G12/G13</f>
        <v>154.05000000000001</v>
      </c>
      <c r="I12" s="161"/>
      <c r="L12" s="158"/>
    </row>
    <row r="13" spans="2:12" ht="15" customHeight="1">
      <c r="B13" s="159"/>
      <c r="D13" s="714"/>
      <c r="E13" s="714"/>
      <c r="F13" s="714"/>
      <c r="G13" s="158">
        <f>G8</f>
        <v>24</v>
      </c>
      <c r="H13" s="714"/>
      <c r="I13" s="161"/>
      <c r="L13" s="158"/>
    </row>
    <row r="14" spans="2:12" ht="15" customHeight="1">
      <c r="B14" s="159"/>
      <c r="D14" s="714">
        <f>D11</f>
        <v>11</v>
      </c>
      <c r="E14" s="714" t="s">
        <v>3</v>
      </c>
      <c r="F14" s="714">
        <f>H11</f>
        <v>345.5</v>
      </c>
      <c r="G14" s="469">
        <f>G12</f>
        <v>12</v>
      </c>
      <c r="H14" s="714">
        <f>F14*G14/G15</f>
        <v>172.75</v>
      </c>
      <c r="I14" s="161"/>
      <c r="L14" s="158"/>
    </row>
    <row r="15" spans="2:12" ht="15" customHeight="1">
      <c r="B15" s="159"/>
      <c r="D15" s="714"/>
      <c r="E15" s="714"/>
      <c r="F15" s="714"/>
      <c r="G15" s="158">
        <f>G13</f>
        <v>24</v>
      </c>
      <c r="H15" s="714"/>
      <c r="I15" s="161"/>
      <c r="L15" s="158"/>
    </row>
    <row r="16" spans="2:12" ht="15" customHeight="1">
      <c r="B16" s="163"/>
      <c r="C16" s="164"/>
      <c r="D16" s="165"/>
      <c r="E16" s="164"/>
      <c r="F16" s="164" t="s">
        <v>246</v>
      </c>
      <c r="G16" s="165" t="s">
        <v>3</v>
      </c>
      <c r="H16" s="468">
        <f>H11+(H12-H14)</f>
        <v>326.8</v>
      </c>
      <c r="I16" s="166"/>
    </row>
    <row r="17" spans="2:9" ht="15" customHeight="1">
      <c r="E17" s="162"/>
      <c r="F17" s="162"/>
    </row>
    <row r="18" spans="2:9" ht="15" customHeight="1">
      <c r="B18" s="154" t="s">
        <v>237</v>
      </c>
      <c r="C18" s="155" t="s">
        <v>242</v>
      </c>
      <c r="D18" s="156">
        <f>D2</f>
        <v>11</v>
      </c>
      <c r="E18" s="156" t="s">
        <v>3</v>
      </c>
      <c r="F18" s="155"/>
      <c r="G18" s="155"/>
      <c r="H18" s="156">
        <f>VLOOKUP(D18,'Tabel 42 (V'''''')'!$B$4:$F$34,4)</f>
        <v>9.9</v>
      </c>
      <c r="I18" s="157"/>
    </row>
    <row r="19" spans="2:9" ht="15" customHeight="1">
      <c r="B19" s="159"/>
      <c r="D19" s="714">
        <f>D18+1</f>
        <v>12</v>
      </c>
      <c r="E19" s="714" t="s">
        <v>3</v>
      </c>
      <c r="F19" s="714">
        <f>VLOOKUP(D19,'Tabel 42 (V'''''')'!$B$4:$F$34,4)</f>
        <v>10.8</v>
      </c>
      <c r="G19" s="160">
        <f>G14</f>
        <v>12</v>
      </c>
      <c r="H19" s="714">
        <f>F19*G19/G20</f>
        <v>5.4000000000000012</v>
      </c>
      <c r="I19" s="161"/>
    </row>
    <row r="20" spans="2:9" ht="15" customHeight="1">
      <c r="B20" s="159"/>
      <c r="D20" s="714"/>
      <c r="E20" s="714"/>
      <c r="F20" s="714"/>
      <c r="G20" s="158">
        <f>G15</f>
        <v>24</v>
      </c>
      <c r="H20" s="714"/>
      <c r="I20" s="161"/>
    </row>
    <row r="21" spans="2:9" ht="15" customHeight="1">
      <c r="B21" s="159"/>
      <c r="D21" s="714">
        <f>D18</f>
        <v>11</v>
      </c>
      <c r="E21" s="714" t="s">
        <v>3</v>
      </c>
      <c r="F21" s="716">
        <f>H18</f>
        <v>9.9</v>
      </c>
      <c r="G21" s="160">
        <f>G19</f>
        <v>12</v>
      </c>
      <c r="H21" s="716">
        <f>F21*G21/G22</f>
        <v>4.95</v>
      </c>
      <c r="I21" s="161"/>
    </row>
    <row r="22" spans="2:9" ht="15" customHeight="1">
      <c r="B22" s="159"/>
      <c r="D22" s="714"/>
      <c r="E22" s="714"/>
      <c r="F22" s="716"/>
      <c r="G22" s="179">
        <f>G20</f>
        <v>24</v>
      </c>
      <c r="H22" s="716"/>
      <c r="I22" s="161"/>
    </row>
    <row r="23" spans="2:9" ht="15" customHeight="1">
      <c r="B23" s="163"/>
      <c r="C23" s="164"/>
      <c r="D23" s="165"/>
      <c r="E23" s="164"/>
      <c r="F23" s="164" t="s">
        <v>242</v>
      </c>
      <c r="G23" s="165" t="s">
        <v>3</v>
      </c>
      <c r="H23" s="468">
        <f>H18+(H19-H21)</f>
        <v>10.350000000000001</v>
      </c>
      <c r="I23" s="166"/>
    </row>
    <row r="25" spans="2:9" ht="15" customHeight="1">
      <c r="B25" s="154" t="s">
        <v>237</v>
      </c>
      <c r="C25" s="155" t="s">
        <v>243</v>
      </c>
      <c r="D25" s="156">
        <f>D2</f>
        <v>11</v>
      </c>
      <c r="E25" s="156" t="s">
        <v>3</v>
      </c>
      <c r="F25" s="155"/>
      <c r="G25" s="155"/>
      <c r="H25" s="156">
        <f>VLOOKUP(D25,'Tabel 42 (V'''''')'!$B$4:$F$34,5)</f>
        <v>106.3</v>
      </c>
      <c r="I25" s="157"/>
    </row>
    <row r="26" spans="2:9" ht="15" customHeight="1">
      <c r="B26" s="159"/>
      <c r="D26" s="714">
        <f>D25+1</f>
        <v>12</v>
      </c>
      <c r="E26" s="714" t="s">
        <v>3</v>
      </c>
      <c r="F26" s="714">
        <f>VLOOKUP(D26,'Tabel 42 (V'''''')'!$B$4:$F$34,5)</f>
        <v>81</v>
      </c>
      <c r="G26" s="160">
        <f>G21</f>
        <v>12</v>
      </c>
      <c r="H26" s="714">
        <f>F26*G26/G27</f>
        <v>40.5</v>
      </c>
      <c r="I26" s="161"/>
    </row>
    <row r="27" spans="2:9" ht="15" customHeight="1">
      <c r="B27" s="159"/>
      <c r="D27" s="714"/>
      <c r="E27" s="714"/>
      <c r="F27" s="714"/>
      <c r="G27" s="158">
        <f>G22</f>
        <v>24</v>
      </c>
      <c r="H27" s="714"/>
      <c r="I27" s="161"/>
    </row>
    <row r="28" spans="2:9" ht="15" customHeight="1">
      <c r="B28" s="159"/>
      <c r="D28" s="714">
        <f>D25</f>
        <v>11</v>
      </c>
      <c r="E28" s="714" t="s">
        <v>3</v>
      </c>
      <c r="F28" s="716">
        <f>H25</f>
        <v>106.3</v>
      </c>
      <c r="G28" s="160">
        <f>G26</f>
        <v>12</v>
      </c>
      <c r="H28" s="716">
        <f>F28*G28/G29</f>
        <v>53.15</v>
      </c>
      <c r="I28" s="161"/>
    </row>
    <row r="29" spans="2:9" ht="15" customHeight="1">
      <c r="B29" s="159"/>
      <c r="D29" s="714"/>
      <c r="E29" s="714"/>
      <c r="F29" s="716"/>
      <c r="G29" s="179">
        <f>G27</f>
        <v>24</v>
      </c>
      <c r="H29" s="716"/>
      <c r="I29" s="161"/>
    </row>
    <row r="30" spans="2:9" ht="15" customHeight="1">
      <c r="B30" s="163"/>
      <c r="C30" s="164"/>
      <c r="D30" s="165"/>
      <c r="E30" s="164"/>
      <c r="F30" s="164" t="s">
        <v>243</v>
      </c>
      <c r="G30" s="165" t="s">
        <v>3</v>
      </c>
      <c r="H30" s="468">
        <f>H25+(H26-H28)</f>
        <v>93.65</v>
      </c>
      <c r="I30" s="166"/>
    </row>
    <row r="32" spans="2:9" ht="15" customHeight="1">
      <c r="D32" s="168" t="s">
        <v>238</v>
      </c>
      <c r="E32" s="170" t="s">
        <v>3</v>
      </c>
      <c r="F32" s="184">
        <f>H4</f>
        <v>116.2</v>
      </c>
    </row>
    <row r="33" spans="4:6" ht="15" customHeight="1">
      <c r="D33" s="173" t="s">
        <v>246</v>
      </c>
      <c r="E33" s="158" t="s">
        <v>3</v>
      </c>
      <c r="F33" s="176">
        <f>H11</f>
        <v>345.5</v>
      </c>
    </row>
    <row r="34" spans="4:6" ht="15" customHeight="1">
      <c r="D34" s="173" t="s">
        <v>242</v>
      </c>
      <c r="E34" s="158" t="s">
        <v>3</v>
      </c>
      <c r="F34" s="176">
        <f>H18</f>
        <v>9.9</v>
      </c>
    </row>
    <row r="35" spans="4:6" ht="15" customHeight="1">
      <c r="D35" s="177" t="s">
        <v>243</v>
      </c>
      <c r="E35" s="179" t="s">
        <v>3</v>
      </c>
      <c r="F35" s="185">
        <f>H25</f>
        <v>106.3</v>
      </c>
    </row>
  </sheetData>
  <sheetProtection selectLockedCells="1" selectUnlockedCells="1"/>
  <mergeCells count="33">
    <mergeCell ref="D7:D8"/>
    <mergeCell ref="E7:E8"/>
    <mergeCell ref="F7:F8"/>
    <mergeCell ref="H7:H8"/>
    <mergeCell ref="B1:I1"/>
    <mergeCell ref="D5:D6"/>
    <mergeCell ref="E5:E6"/>
    <mergeCell ref="F5:F6"/>
    <mergeCell ref="H5:H6"/>
    <mergeCell ref="D14:D15"/>
    <mergeCell ref="E14:E15"/>
    <mergeCell ref="F14:F15"/>
    <mergeCell ref="H14:H15"/>
    <mergeCell ref="D12:D13"/>
    <mergeCell ref="E12:E13"/>
    <mergeCell ref="F12:F13"/>
    <mergeCell ref="H12:H13"/>
    <mergeCell ref="D21:D22"/>
    <mergeCell ref="E21:E22"/>
    <mergeCell ref="F21:F22"/>
    <mergeCell ref="H21:H22"/>
    <mergeCell ref="D19:D20"/>
    <mergeCell ref="E19:E20"/>
    <mergeCell ref="F19:F20"/>
    <mergeCell ref="H19:H20"/>
    <mergeCell ref="D28:D29"/>
    <mergeCell ref="E28:E29"/>
    <mergeCell ref="F28:F29"/>
    <mergeCell ref="H28:H29"/>
    <mergeCell ref="D26:D27"/>
    <mergeCell ref="E26:E27"/>
    <mergeCell ref="F26:F27"/>
    <mergeCell ref="H26:H27"/>
  </mergeCells>
  <phoneticPr fontId="26" type="noConversion"/>
  <printOptions horizontalCentered="1"/>
  <pageMargins left="1" right="0.5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56"/>
  <sheetViews>
    <sheetView topLeftCell="A13" workbookViewId="0">
      <selection activeCell="D5" sqref="D5"/>
    </sheetView>
  </sheetViews>
  <sheetFormatPr defaultColWidth="5.7109375" defaultRowHeight="15" customHeight="1"/>
  <cols>
    <col min="1" max="5" width="5.7109375" style="97" customWidth="1"/>
    <col min="6" max="6" width="7.140625" style="97" customWidth="1"/>
    <col min="7" max="16384" width="5.7109375" style="97"/>
  </cols>
  <sheetData>
    <row r="1" spans="2:18" ht="15" customHeight="1">
      <c r="B1" s="153" t="s">
        <v>251</v>
      </c>
    </row>
    <row r="2" spans="2:18" ht="15" customHeight="1" thickBot="1"/>
    <row r="3" spans="2:18" ht="15" customHeight="1" thickTop="1">
      <c r="B3" s="154" t="s">
        <v>237</v>
      </c>
      <c r="C3" s="155" t="s">
        <v>238</v>
      </c>
      <c r="D3" s="155">
        <v>2022</v>
      </c>
      <c r="E3" s="155"/>
      <c r="F3" s="156" t="s">
        <v>3</v>
      </c>
      <c r="G3" s="186">
        <f>VLOOKUP(D3,$O$4:$R$56,2)</f>
        <v>-1.5</v>
      </c>
      <c r="H3" s="155" t="s">
        <v>390</v>
      </c>
      <c r="I3" s="155"/>
      <c r="J3" s="155"/>
      <c r="K3" s="157"/>
      <c r="M3" s="158"/>
      <c r="O3" s="97" t="s">
        <v>380</v>
      </c>
      <c r="P3" s="97" t="s">
        <v>538</v>
      </c>
      <c r="Q3" s="97" t="s">
        <v>539</v>
      </c>
      <c r="R3" s="97" t="s">
        <v>540</v>
      </c>
    </row>
    <row r="4" spans="2:18" ht="15" customHeight="1">
      <c r="B4" s="159"/>
      <c r="D4" s="97">
        <v>2023</v>
      </c>
      <c r="F4" s="160" t="s">
        <v>3</v>
      </c>
      <c r="G4" s="187">
        <f>VLOOKUP(D4,$O$4:$R$56,2)</f>
        <v>-0.9</v>
      </c>
      <c r="K4" s="161"/>
      <c r="M4" s="158"/>
      <c r="O4" s="97">
        <v>2000</v>
      </c>
      <c r="P4" s="97">
        <v>-1.7</v>
      </c>
      <c r="Q4" s="97">
        <v>-7.9</v>
      </c>
      <c r="R4" s="97">
        <v>10.1</v>
      </c>
    </row>
    <row r="5" spans="2:18" ht="15" customHeight="1">
      <c r="B5" s="159"/>
      <c r="C5" s="97" t="s">
        <v>239</v>
      </c>
      <c r="F5" s="158" t="s">
        <v>3</v>
      </c>
      <c r="G5" s="453">
        <f>G4-G3</f>
        <v>0.6</v>
      </c>
      <c r="K5" s="161"/>
      <c r="M5" s="158"/>
      <c r="O5" s="97">
        <v>2001</v>
      </c>
      <c r="P5" s="97">
        <v>-2</v>
      </c>
      <c r="Q5" s="97">
        <v>-8.8000000000000007</v>
      </c>
      <c r="R5" s="97">
        <v>11.1</v>
      </c>
    </row>
    <row r="6" spans="2:18" ht="15" customHeight="1">
      <c r="B6" s="159"/>
      <c r="H6" s="158"/>
      <c r="K6" s="161"/>
      <c r="M6" s="158"/>
      <c r="O6" s="97">
        <v>2002</v>
      </c>
      <c r="P6" s="97">
        <v>-2</v>
      </c>
      <c r="Q6" s="97">
        <v>-8.5</v>
      </c>
      <c r="R6" s="97">
        <v>10.8</v>
      </c>
    </row>
    <row r="7" spans="2:18" ht="15" customHeight="1">
      <c r="B7" s="159"/>
      <c r="C7" s="97" t="s">
        <v>240</v>
      </c>
      <c r="D7" s="158">
        <f>'Hitung f'!D7</f>
        <v>11</v>
      </c>
      <c r="E7" s="97" t="str">
        <f>H3</f>
        <v>Mei</v>
      </c>
      <c r="K7" s="161"/>
      <c r="M7" s="158"/>
      <c r="O7" s="97">
        <v>2003</v>
      </c>
      <c r="P7" s="97">
        <v>-1.9</v>
      </c>
      <c r="Q7" s="97">
        <v>-7.5</v>
      </c>
      <c r="R7" s="97">
        <v>9.4</v>
      </c>
    </row>
    <row r="8" spans="2:18" ht="15" customHeight="1">
      <c r="B8" s="159"/>
      <c r="D8" s="714" t="s">
        <v>238</v>
      </c>
      <c r="E8" s="714" t="s">
        <v>3</v>
      </c>
      <c r="F8" s="714">
        <f>G3</f>
        <v>-1.5</v>
      </c>
      <c r="G8" s="714" t="s">
        <v>76</v>
      </c>
      <c r="H8" s="160">
        <v>5</v>
      </c>
      <c r="I8" s="714" t="s">
        <v>241</v>
      </c>
      <c r="J8" s="714">
        <f>G5</f>
        <v>0.6</v>
      </c>
      <c r="K8" s="161"/>
      <c r="M8" s="158"/>
      <c r="O8" s="97">
        <v>2004</v>
      </c>
      <c r="P8" s="97">
        <v>-1.5</v>
      </c>
      <c r="Q8" s="97">
        <v>-5.7</v>
      </c>
      <c r="R8" s="97">
        <v>7.4</v>
      </c>
    </row>
    <row r="9" spans="2:18" ht="15" customHeight="1">
      <c r="B9" s="159"/>
      <c r="D9" s="714"/>
      <c r="E9" s="714"/>
      <c r="F9" s="714"/>
      <c r="G9" s="714"/>
      <c r="H9" s="158">
        <f>'Hitung f'!H9</f>
        <v>12</v>
      </c>
      <c r="I9" s="714"/>
      <c r="J9" s="714"/>
      <c r="K9" s="161"/>
      <c r="M9" s="158"/>
      <c r="O9" s="97">
        <v>2005</v>
      </c>
      <c r="P9" s="97">
        <v>-0.9</v>
      </c>
      <c r="Q9" s="97">
        <v>-3.4</v>
      </c>
      <c r="R9" s="97">
        <v>5</v>
      </c>
    </row>
    <row r="10" spans="2:18" ht="15" customHeight="1">
      <c r="B10" s="163"/>
      <c r="C10" s="164"/>
      <c r="D10" s="165" t="s">
        <v>238</v>
      </c>
      <c r="E10" s="165" t="s">
        <v>3</v>
      </c>
      <c r="F10" s="713">
        <f>F8+((H8/H9)*J8)</f>
        <v>-1.25</v>
      </c>
      <c r="G10" s="713"/>
      <c r="H10" s="164"/>
      <c r="I10" s="164"/>
      <c r="J10" s="164"/>
      <c r="K10" s="166"/>
      <c r="M10" s="158"/>
      <c r="O10" s="97">
        <v>2006</v>
      </c>
      <c r="P10" s="97">
        <v>-0.2</v>
      </c>
      <c r="Q10" s="97">
        <v>-0.9</v>
      </c>
      <c r="R10" s="97">
        <v>2</v>
      </c>
    </row>
    <row r="11" spans="2:18" ht="15" customHeight="1" thickTop="1" thickBot="1">
      <c r="D11" s="158"/>
      <c r="M11" s="158"/>
      <c r="O11" s="97">
        <v>2007</v>
      </c>
      <c r="P11" s="97">
        <v>0.5</v>
      </c>
      <c r="Q11" s="97">
        <v>1.7</v>
      </c>
      <c r="R11" s="97">
        <v>-0.90000000000000169</v>
      </c>
    </row>
    <row r="12" spans="2:18" ht="15" customHeight="1" thickTop="1">
      <c r="B12" s="154" t="s">
        <v>237</v>
      </c>
      <c r="C12" s="155" t="s">
        <v>242</v>
      </c>
      <c r="D12" s="155">
        <f>D3</f>
        <v>2022</v>
      </c>
      <c r="E12" s="155"/>
      <c r="F12" s="156" t="s">
        <v>3</v>
      </c>
      <c r="G12" s="186">
        <f>VLOOKUP(D12,$O$4:$R$56,3)</f>
        <v>-5.5</v>
      </c>
      <c r="H12" s="155" t="str">
        <f>H3</f>
        <v>Mei</v>
      </c>
      <c r="I12" s="155"/>
      <c r="J12" s="155"/>
      <c r="K12" s="157"/>
      <c r="M12" s="158"/>
      <c r="O12" s="97">
        <v>2008</v>
      </c>
      <c r="P12" s="97">
        <v>1.2</v>
      </c>
      <c r="Q12" s="97">
        <v>4.0999999999999996</v>
      </c>
      <c r="R12" s="97">
        <v>-3.7</v>
      </c>
    </row>
    <row r="13" spans="2:18" ht="15" customHeight="1">
      <c r="B13" s="159"/>
      <c r="D13" s="97">
        <f>D12+1</f>
        <v>2023</v>
      </c>
      <c r="F13" s="160" t="s">
        <v>3</v>
      </c>
      <c r="G13" s="187">
        <f>VLOOKUP(D13,$O$4:$R$56,3)</f>
        <v>-3.2</v>
      </c>
      <c r="K13" s="161"/>
      <c r="M13" s="158"/>
      <c r="O13" s="97">
        <v>2009</v>
      </c>
      <c r="P13" s="97">
        <v>1.8</v>
      </c>
      <c r="Q13" s="97">
        <v>6.3</v>
      </c>
      <c r="R13" s="97">
        <v>-6.3</v>
      </c>
    </row>
    <row r="14" spans="2:18" ht="15" customHeight="1">
      <c r="B14" s="159"/>
      <c r="C14" s="97" t="s">
        <v>239</v>
      </c>
      <c r="F14" s="158" t="s">
        <v>3</v>
      </c>
      <c r="G14" s="188">
        <f>G13-G12</f>
        <v>2.2999999999999998</v>
      </c>
      <c r="K14" s="161"/>
      <c r="M14" s="158"/>
      <c r="O14" s="97">
        <v>2010</v>
      </c>
      <c r="P14" s="97">
        <v>2.1</v>
      </c>
      <c r="Q14" s="97">
        <v>7.9</v>
      </c>
      <c r="R14" s="97">
        <v>-8.6</v>
      </c>
    </row>
    <row r="15" spans="2:18" ht="15" customHeight="1">
      <c r="B15" s="159"/>
      <c r="H15" s="158"/>
      <c r="K15" s="161"/>
      <c r="O15" s="97">
        <v>2011</v>
      </c>
      <c r="P15" s="97">
        <v>2.2000000000000002</v>
      </c>
      <c r="Q15" s="97">
        <v>8.9</v>
      </c>
      <c r="R15" s="97">
        <v>-10.1</v>
      </c>
    </row>
    <row r="16" spans="2:18" ht="15" customHeight="1">
      <c r="B16" s="159"/>
      <c r="C16" s="97" t="s">
        <v>240</v>
      </c>
      <c r="D16" s="158">
        <f>D7</f>
        <v>11</v>
      </c>
      <c r="E16" s="97" t="str">
        <f>E7</f>
        <v>Mei</v>
      </c>
      <c r="K16" s="161"/>
      <c r="O16" s="97">
        <v>2012</v>
      </c>
      <c r="P16" s="97">
        <v>2.1</v>
      </c>
      <c r="Q16" s="97">
        <v>8.9</v>
      </c>
      <c r="R16" s="97">
        <v>-10.8</v>
      </c>
    </row>
    <row r="17" spans="2:18" ht="15" customHeight="1">
      <c r="B17" s="159"/>
      <c r="D17" s="714" t="s">
        <v>242</v>
      </c>
      <c r="E17" s="714" t="s">
        <v>3</v>
      </c>
      <c r="F17" s="714">
        <f>G12</f>
        <v>-5.5</v>
      </c>
      <c r="G17" s="714" t="s">
        <v>77</v>
      </c>
      <c r="H17" s="160">
        <f>H8</f>
        <v>5</v>
      </c>
      <c r="I17" s="714" t="s">
        <v>241</v>
      </c>
      <c r="J17" s="718">
        <f>G14</f>
        <v>2.2999999999999998</v>
      </c>
      <c r="K17" s="161"/>
      <c r="O17" s="97">
        <v>2013</v>
      </c>
      <c r="P17" s="97">
        <v>1.8</v>
      </c>
      <c r="Q17" s="97">
        <v>7.8</v>
      </c>
      <c r="R17" s="97">
        <v>-10.1</v>
      </c>
    </row>
    <row r="18" spans="2:18" ht="15" customHeight="1">
      <c r="B18" s="159"/>
      <c r="D18" s="714"/>
      <c r="E18" s="714"/>
      <c r="F18" s="714"/>
      <c r="G18" s="714"/>
      <c r="H18" s="158">
        <f>H9</f>
        <v>12</v>
      </c>
      <c r="I18" s="714"/>
      <c r="J18" s="718"/>
      <c r="K18" s="161"/>
      <c r="O18" s="97">
        <v>2014</v>
      </c>
      <c r="P18" s="97">
        <v>1.3</v>
      </c>
      <c r="Q18" s="97">
        <v>5.6</v>
      </c>
      <c r="R18" s="97">
        <v>-7.9</v>
      </c>
    </row>
    <row r="19" spans="2:18" ht="15" customHeight="1">
      <c r="B19" s="163"/>
      <c r="C19" s="164"/>
      <c r="D19" s="165" t="s">
        <v>242</v>
      </c>
      <c r="E19" s="165" t="s">
        <v>3</v>
      </c>
      <c r="F19" s="713">
        <f>F17-((H17/H18)*J17)</f>
        <v>-6.458333333333333</v>
      </c>
      <c r="G19" s="713"/>
      <c r="H19" s="164"/>
      <c r="I19" s="164"/>
      <c r="J19" s="164"/>
      <c r="K19" s="166"/>
      <c r="O19" s="97">
        <v>2015</v>
      </c>
      <c r="P19" s="97">
        <v>0.6</v>
      </c>
      <c r="Q19" s="97">
        <v>2.6</v>
      </c>
      <c r="R19" s="97">
        <v>-4.0999999999999996</v>
      </c>
    </row>
    <row r="20" spans="2:18" ht="15" customHeight="1" thickTop="1" thickBot="1">
      <c r="D20" s="158"/>
      <c r="O20" s="97">
        <v>2016</v>
      </c>
      <c r="P20" s="97">
        <v>-0.1</v>
      </c>
      <c r="Q20" s="97">
        <v>-0.89999999999999947</v>
      </c>
      <c r="R20" s="97">
        <v>0.49999999999999822</v>
      </c>
    </row>
    <row r="21" spans="2:18" ht="15" customHeight="1" thickTop="1">
      <c r="B21" s="154" t="s">
        <v>237</v>
      </c>
      <c r="C21" s="155" t="s">
        <v>243</v>
      </c>
      <c r="D21" s="155">
        <f>D12</f>
        <v>2022</v>
      </c>
      <c r="E21" s="155"/>
      <c r="F21" s="156" t="s">
        <v>3</v>
      </c>
      <c r="G21" s="186">
        <f>VLOOKUP(D21,$O$3:$R$246,4)</f>
        <v>6.2</v>
      </c>
      <c r="H21" s="155" t="str">
        <f>H12</f>
        <v>Mei</v>
      </c>
      <c r="I21" s="155"/>
      <c r="J21" s="155"/>
      <c r="K21" s="157"/>
      <c r="O21" s="97">
        <v>2017</v>
      </c>
      <c r="P21" s="97">
        <v>-0.8</v>
      </c>
      <c r="Q21" s="97">
        <v>-4.2</v>
      </c>
      <c r="R21" s="97">
        <v>5.0999999999999996</v>
      </c>
    </row>
    <row r="22" spans="2:18" ht="15" customHeight="1">
      <c r="B22" s="159"/>
      <c r="D22" s="97">
        <f>D21+1</f>
        <v>2023</v>
      </c>
      <c r="F22" s="160" t="s">
        <v>3</v>
      </c>
      <c r="G22" s="187">
        <f>VLOOKUP(D22,$O$3:$R$56,4)</f>
        <v>3.6</v>
      </c>
      <c r="K22" s="161"/>
      <c r="O22" s="97">
        <v>2018</v>
      </c>
      <c r="P22" s="97">
        <v>-1.4</v>
      </c>
      <c r="Q22" s="97">
        <v>-6.8</v>
      </c>
      <c r="R22" s="97">
        <v>8.6999999999999993</v>
      </c>
    </row>
    <row r="23" spans="2:18" ht="15" customHeight="1">
      <c r="B23" s="159"/>
      <c r="C23" s="97" t="s">
        <v>239</v>
      </c>
      <c r="F23" s="158" t="s">
        <v>3</v>
      </c>
      <c r="G23" s="188">
        <f>G21-G22</f>
        <v>2.6</v>
      </c>
      <c r="K23" s="161"/>
      <c r="O23" s="97">
        <v>2019</v>
      </c>
      <c r="P23" s="97">
        <v>-1.8</v>
      </c>
      <c r="Q23" s="97">
        <v>-8.4</v>
      </c>
      <c r="R23" s="97">
        <v>10.7</v>
      </c>
    </row>
    <row r="24" spans="2:18" ht="15" customHeight="1">
      <c r="B24" s="159"/>
      <c r="H24" s="158"/>
      <c r="K24" s="161"/>
      <c r="O24" s="97">
        <v>2020</v>
      </c>
      <c r="P24" s="97">
        <v>-2.1</v>
      </c>
      <c r="Q24" s="97">
        <v>-8.5</v>
      </c>
      <c r="R24" s="97">
        <v>10.199999999999999</v>
      </c>
    </row>
    <row r="25" spans="2:18" ht="15" customHeight="1">
      <c r="B25" s="159"/>
      <c r="C25" s="97" t="s">
        <v>240</v>
      </c>
      <c r="D25" s="158">
        <f>D16</f>
        <v>11</v>
      </c>
      <c r="E25" s="97" t="str">
        <f>E16</f>
        <v>Mei</v>
      </c>
      <c r="K25" s="161"/>
      <c r="O25" s="97">
        <v>2021</v>
      </c>
      <c r="P25" s="97">
        <v>-1.9</v>
      </c>
      <c r="Q25" s="97">
        <v>-7.3</v>
      </c>
      <c r="R25" s="97">
        <v>8.5</v>
      </c>
    </row>
    <row r="26" spans="2:18" ht="15" customHeight="1">
      <c r="B26" s="159"/>
      <c r="D26" s="714" t="s">
        <v>243</v>
      </c>
      <c r="E26" s="714" t="s">
        <v>3</v>
      </c>
      <c r="F26" s="714">
        <f>G21</f>
        <v>6.2</v>
      </c>
      <c r="G26" s="714" t="s">
        <v>77</v>
      </c>
      <c r="H26" s="160">
        <f>H17</f>
        <v>5</v>
      </c>
      <c r="I26" s="714" t="s">
        <v>241</v>
      </c>
      <c r="J26" s="718">
        <f>G23</f>
        <v>2.6</v>
      </c>
      <c r="K26" s="161"/>
      <c r="O26" s="97">
        <v>2022</v>
      </c>
      <c r="P26" s="97">
        <v>-1.5</v>
      </c>
      <c r="Q26" s="97">
        <v>-5.5</v>
      </c>
      <c r="R26" s="97">
        <v>6.2</v>
      </c>
    </row>
    <row r="27" spans="2:18" ht="15" customHeight="1">
      <c r="B27" s="159"/>
      <c r="D27" s="714"/>
      <c r="E27" s="714"/>
      <c r="F27" s="714"/>
      <c r="G27" s="714"/>
      <c r="H27" s="158">
        <f>H18</f>
        <v>12</v>
      </c>
      <c r="I27" s="714"/>
      <c r="J27" s="718"/>
      <c r="K27" s="161"/>
      <c r="O27" s="97">
        <v>2023</v>
      </c>
      <c r="P27" s="97">
        <v>-0.9</v>
      </c>
      <c r="Q27" s="97">
        <v>-3.2</v>
      </c>
      <c r="R27" s="97">
        <v>3.6</v>
      </c>
    </row>
    <row r="28" spans="2:18" ht="15" customHeight="1">
      <c r="B28" s="163"/>
      <c r="C28" s="164"/>
      <c r="D28" s="165" t="s">
        <v>243</v>
      </c>
      <c r="E28" s="165" t="s">
        <v>3</v>
      </c>
      <c r="F28" s="713">
        <f>F26-((H26/H27)*J26)</f>
        <v>5.1166666666666671</v>
      </c>
      <c r="G28" s="713"/>
      <c r="H28" s="164"/>
      <c r="I28" s="164"/>
      <c r="J28" s="164"/>
      <c r="K28" s="166"/>
      <c r="O28" s="97">
        <v>2024</v>
      </c>
      <c r="P28" s="97">
        <v>-0.2</v>
      </c>
      <c r="Q28" s="97">
        <v>-0.6</v>
      </c>
      <c r="R28" s="97">
        <v>0.7</v>
      </c>
    </row>
    <row r="29" spans="2:18" ht="15" customHeight="1">
      <c r="D29" s="167"/>
      <c r="O29" s="97">
        <v>2025</v>
      </c>
      <c r="P29" s="97">
        <v>0.6</v>
      </c>
      <c r="Q29" s="97">
        <v>2</v>
      </c>
      <c r="R29" s="97">
        <v>-2.2000000000000002</v>
      </c>
    </row>
    <row r="30" spans="2:18" ht="15" customHeight="1">
      <c r="D30" s="167"/>
      <c r="O30" s="97">
        <v>2026</v>
      </c>
      <c r="P30" s="97">
        <v>1.2</v>
      </c>
      <c r="Q30" s="97">
        <v>4.4000000000000004</v>
      </c>
      <c r="R30" s="97">
        <v>-5</v>
      </c>
    </row>
    <row r="31" spans="2:18" ht="15" customHeight="1">
      <c r="C31" s="168" t="s">
        <v>238</v>
      </c>
      <c r="D31" s="169"/>
      <c r="E31" s="170" t="s">
        <v>3</v>
      </c>
      <c r="F31" s="171">
        <f>F10</f>
        <v>-1.25</v>
      </c>
      <c r="G31" s="172"/>
      <c r="O31" s="97">
        <v>2027</v>
      </c>
      <c r="P31" s="97">
        <v>1.7</v>
      </c>
      <c r="Q31" s="97">
        <v>6.5</v>
      </c>
      <c r="R31" s="97">
        <v>-7.5</v>
      </c>
    </row>
    <row r="32" spans="2:18" ht="15" customHeight="1">
      <c r="C32" s="173" t="s">
        <v>242</v>
      </c>
      <c r="E32" s="158" t="s">
        <v>3</v>
      </c>
      <c r="F32" s="174">
        <f>F19</f>
        <v>-6.458333333333333</v>
      </c>
      <c r="G32" s="175"/>
      <c r="O32" s="97">
        <v>2028</v>
      </c>
      <c r="P32" s="97">
        <v>2.1</v>
      </c>
      <c r="Q32" s="97">
        <v>8</v>
      </c>
      <c r="R32" s="97">
        <v>-9.5</v>
      </c>
    </row>
    <row r="33" spans="3:18" ht="15" customHeight="1">
      <c r="C33" s="173" t="s">
        <v>243</v>
      </c>
      <c r="E33" s="158" t="s">
        <v>3</v>
      </c>
      <c r="F33" s="174">
        <f>F28</f>
        <v>5.1166666666666671</v>
      </c>
      <c r="G33" s="175"/>
      <c r="O33" s="97">
        <v>2029</v>
      </c>
      <c r="P33" s="97">
        <v>2.1</v>
      </c>
      <c r="Q33" s="97">
        <v>8.8000000000000007</v>
      </c>
      <c r="R33" s="97">
        <v>-10.7</v>
      </c>
    </row>
    <row r="34" spans="3:18" ht="15" customHeight="1">
      <c r="C34" s="173"/>
      <c r="F34" s="174"/>
      <c r="G34" s="176"/>
      <c r="O34" s="97">
        <v>2030</v>
      </c>
      <c r="P34" s="97">
        <v>2</v>
      </c>
      <c r="Q34" s="97">
        <v>8.6999999999999993</v>
      </c>
      <c r="R34" s="97">
        <v>-10.9</v>
      </c>
    </row>
    <row r="35" spans="3:18" ht="15" customHeight="1">
      <c r="C35" s="173" t="s">
        <v>248</v>
      </c>
      <c r="E35" s="158" t="s">
        <v>3</v>
      </c>
      <c r="F35" s="174">
        <f>F31*2</f>
        <v>-2.5</v>
      </c>
      <c r="G35" s="175"/>
      <c r="O35" s="97">
        <v>2031</v>
      </c>
      <c r="P35" s="97">
        <v>1.6</v>
      </c>
      <c r="Q35" s="97">
        <v>7.4</v>
      </c>
      <c r="R35" s="97">
        <v>-9.6</v>
      </c>
    </row>
    <row r="36" spans="3:18" ht="15" customHeight="1">
      <c r="C36" s="173" t="s">
        <v>246</v>
      </c>
      <c r="E36" s="158" t="s">
        <v>3</v>
      </c>
      <c r="F36" s="174">
        <f>F31</f>
        <v>-1.25</v>
      </c>
      <c r="G36" s="175"/>
      <c r="O36" s="97">
        <v>2032</v>
      </c>
      <c r="P36" s="97">
        <v>1.1000000000000001</v>
      </c>
      <c r="Q36" s="97">
        <v>5</v>
      </c>
      <c r="R36" s="97">
        <v>-6.8</v>
      </c>
    </row>
    <row r="37" spans="3:18" ht="15" customHeight="1">
      <c r="C37" s="173" t="s">
        <v>247</v>
      </c>
      <c r="E37" s="158" t="s">
        <v>3</v>
      </c>
      <c r="F37" s="174">
        <f>F31</f>
        <v>-1.25</v>
      </c>
      <c r="G37" s="175"/>
      <c r="O37" s="97">
        <v>2033</v>
      </c>
      <c r="P37" s="97">
        <v>0.4</v>
      </c>
      <c r="Q37" s="97">
        <v>1.9</v>
      </c>
      <c r="R37" s="97">
        <v>-2.6</v>
      </c>
    </row>
    <row r="38" spans="3:18" ht="15" customHeight="1">
      <c r="C38" s="177" t="s">
        <v>245</v>
      </c>
      <c r="D38" s="178"/>
      <c r="E38" s="179" t="s">
        <v>3</v>
      </c>
      <c r="F38" s="179">
        <v>0</v>
      </c>
      <c r="G38" s="181"/>
      <c r="O38" s="97">
        <v>2034</v>
      </c>
      <c r="P38" s="97">
        <v>-0.3</v>
      </c>
      <c r="Q38" s="97">
        <v>-1.6</v>
      </c>
      <c r="R38" s="97">
        <v>2.2000000000000002</v>
      </c>
    </row>
    <row r="39" spans="3:18" ht="15" customHeight="1">
      <c r="O39" s="97">
        <v>2035</v>
      </c>
      <c r="P39" s="97">
        <v>-1</v>
      </c>
      <c r="Q39" s="97">
        <v>-4.8</v>
      </c>
      <c r="R39" s="97">
        <v>6.4</v>
      </c>
    </row>
    <row r="40" spans="3:18" ht="15" customHeight="1">
      <c r="O40" s="97">
        <v>2036</v>
      </c>
      <c r="P40" s="97">
        <v>-1.6</v>
      </c>
      <c r="Q40" s="97">
        <v>-7.3</v>
      </c>
      <c r="R40" s="97">
        <v>9.4</v>
      </c>
    </row>
    <row r="41" spans="3:18" ht="15" customHeight="1">
      <c r="O41" s="97">
        <v>2037</v>
      </c>
      <c r="P41" s="97">
        <v>-2</v>
      </c>
      <c r="Q41" s="97">
        <v>-8.6</v>
      </c>
      <c r="R41" s="97">
        <v>10.8</v>
      </c>
    </row>
    <row r="42" spans="3:18" ht="15" customHeight="1">
      <c r="O42" s="97">
        <v>2038</v>
      </c>
      <c r="P42" s="97">
        <v>-2.1</v>
      </c>
      <c r="Q42" s="97">
        <v>-8.9</v>
      </c>
      <c r="R42" s="97">
        <v>10.8</v>
      </c>
    </row>
    <row r="43" spans="3:18" ht="15" customHeight="1">
      <c r="O43" s="97">
        <v>2039</v>
      </c>
      <c r="P43" s="97">
        <v>-2.1</v>
      </c>
      <c r="Q43" s="97">
        <v>-8.1</v>
      </c>
      <c r="R43" s="97">
        <v>9.5</v>
      </c>
    </row>
    <row r="44" spans="3:18" ht="15" customHeight="1">
      <c r="O44" s="97">
        <v>2040</v>
      </c>
      <c r="P44" s="97">
        <v>-1.8</v>
      </c>
      <c r="Q44" s="97">
        <v>-6.7</v>
      </c>
      <c r="R44" s="97">
        <v>7.7</v>
      </c>
    </row>
    <row r="45" spans="3:18" ht="15" customHeight="1">
      <c r="O45" s="97">
        <v>2041</v>
      </c>
      <c r="P45" s="97">
        <v>-1.3</v>
      </c>
      <c r="Q45" s="97">
        <v>-4.5999999999999996</v>
      </c>
      <c r="R45" s="97">
        <v>5.2</v>
      </c>
    </row>
    <row r="46" spans="3:18" ht="15" customHeight="1">
      <c r="O46" s="97">
        <v>2042</v>
      </c>
      <c r="P46" s="97">
        <v>-0.6</v>
      </c>
      <c r="Q46" s="97">
        <v>-2.2000000000000002</v>
      </c>
      <c r="R46" s="97">
        <v>2.5</v>
      </c>
    </row>
    <row r="47" spans="3:18" ht="15" customHeight="1">
      <c r="O47" s="97">
        <v>2043</v>
      </c>
      <c r="P47" s="97">
        <v>0.1</v>
      </c>
      <c r="Q47" s="97">
        <v>0.4</v>
      </c>
      <c r="R47" s="97">
        <v>-0.4</v>
      </c>
    </row>
    <row r="48" spans="3:18" ht="15" customHeight="1">
      <c r="O48" s="97">
        <v>2044</v>
      </c>
      <c r="P48" s="97">
        <v>0.8</v>
      </c>
      <c r="Q48" s="97">
        <v>2.9</v>
      </c>
      <c r="R48" s="97">
        <v>-3.3</v>
      </c>
    </row>
    <row r="49" spans="15:18" ht="15" customHeight="1">
      <c r="O49" s="97">
        <v>2045</v>
      </c>
      <c r="P49" s="97">
        <v>1.4</v>
      </c>
      <c r="Q49" s="97">
        <v>5.3</v>
      </c>
      <c r="R49" s="97">
        <v>-6</v>
      </c>
    </row>
    <row r="50" spans="15:18" ht="15" customHeight="1">
      <c r="O50" s="97">
        <v>2046</v>
      </c>
      <c r="P50" s="97">
        <v>1.9</v>
      </c>
      <c r="Q50" s="97">
        <v>7.2</v>
      </c>
      <c r="R50" s="97">
        <v>-8.3000000000000007</v>
      </c>
    </row>
    <row r="51" spans="15:18" ht="15" customHeight="1">
      <c r="O51" s="97">
        <v>2047</v>
      </c>
      <c r="P51" s="97">
        <v>2.1</v>
      </c>
      <c r="Q51" s="97">
        <v>8.5</v>
      </c>
      <c r="R51" s="97">
        <v>-10</v>
      </c>
    </row>
    <row r="52" spans="15:18" ht="15" customHeight="1">
      <c r="O52" s="97">
        <v>2048</v>
      </c>
      <c r="P52" s="97">
        <v>2.1</v>
      </c>
      <c r="Q52" s="97">
        <v>8.9</v>
      </c>
      <c r="R52" s="97">
        <v>-10.9</v>
      </c>
    </row>
    <row r="53" spans="15:18" ht="15" customHeight="1">
      <c r="O53" s="97">
        <v>2049</v>
      </c>
      <c r="P53" s="97">
        <v>1.9</v>
      </c>
      <c r="Q53" s="97">
        <v>8.3000000000000007</v>
      </c>
      <c r="R53" s="97">
        <v>-10.6</v>
      </c>
    </row>
    <row r="54" spans="15:18" ht="15" customHeight="1">
      <c r="O54" s="97">
        <v>2050</v>
      </c>
      <c r="P54" s="97">
        <v>1.4</v>
      </c>
      <c r="Q54" s="97">
        <v>6.6</v>
      </c>
      <c r="R54" s="97">
        <v>-8.6999999999999993</v>
      </c>
    </row>
    <row r="55" spans="15:18" ht="15" customHeight="1">
      <c r="O55" s="97">
        <v>2051</v>
      </c>
      <c r="P55" s="97">
        <v>0.8</v>
      </c>
      <c r="Q55" s="97">
        <v>3.9</v>
      </c>
      <c r="R55" s="97">
        <v>-5.3</v>
      </c>
    </row>
    <row r="56" spans="15:18" ht="15" customHeight="1">
      <c r="O56" s="97">
        <v>2052</v>
      </c>
      <c r="P56" s="97">
        <v>0.1</v>
      </c>
      <c r="Q56" s="97">
        <v>0.6</v>
      </c>
      <c r="R56" s="97">
        <v>-0.8</v>
      </c>
    </row>
  </sheetData>
  <sheetProtection selectLockedCells="1" selectUnlockedCells="1"/>
  <mergeCells count="21">
    <mergeCell ref="I26:I27"/>
    <mergeCell ref="D17:D18"/>
    <mergeCell ref="F28:G28"/>
    <mergeCell ref="F19:G19"/>
    <mergeCell ref="J8:J9"/>
    <mergeCell ref="I17:I18"/>
    <mergeCell ref="J17:J18"/>
    <mergeCell ref="F10:G10"/>
    <mergeCell ref="I8:I9"/>
    <mergeCell ref="J26:J27"/>
    <mergeCell ref="D26:D27"/>
    <mergeCell ref="E26:E27"/>
    <mergeCell ref="F26:F27"/>
    <mergeCell ref="G26:G27"/>
    <mergeCell ref="G8:G9"/>
    <mergeCell ref="D8:D9"/>
    <mergeCell ref="E8:E9"/>
    <mergeCell ref="F17:F18"/>
    <mergeCell ref="E17:E18"/>
    <mergeCell ref="F8:F9"/>
    <mergeCell ref="G17:G18"/>
  </mergeCells>
  <phoneticPr fontId="26" type="noConversion"/>
  <printOptions horizontalCentered="1"/>
  <pageMargins left="1" right="0.5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O57"/>
  <sheetViews>
    <sheetView workbookViewId="0">
      <selection activeCell="G8" sqref="G8"/>
    </sheetView>
  </sheetViews>
  <sheetFormatPr defaultColWidth="5.7109375" defaultRowHeight="15" customHeight="1"/>
  <cols>
    <col min="1" max="1" width="2.42578125" style="97" customWidth="1"/>
    <col min="2" max="5" width="5.7109375" style="97" customWidth="1"/>
    <col min="6" max="6" width="7.140625" style="97" customWidth="1"/>
    <col min="7" max="16384" width="5.7109375" style="97"/>
  </cols>
  <sheetData>
    <row r="1" spans="2:15" ht="15" customHeight="1">
      <c r="B1" s="153" t="s">
        <v>252</v>
      </c>
    </row>
    <row r="2" spans="2:15" ht="15" customHeight="1">
      <c r="E2" s="158"/>
      <c r="F2" s="189" t="s">
        <v>253</v>
      </c>
      <c r="G2" s="190" t="s">
        <v>254</v>
      </c>
      <c r="H2" s="190" t="s">
        <v>255</v>
      </c>
      <c r="I2" s="190" t="s">
        <v>256</v>
      </c>
      <c r="J2" s="190" t="s">
        <v>257</v>
      </c>
      <c r="K2" s="190" t="s">
        <v>258</v>
      </c>
      <c r="L2" s="190" t="s">
        <v>259</v>
      </c>
      <c r="M2" s="190" t="s">
        <v>260</v>
      </c>
      <c r="N2" s="190" t="s">
        <v>261</v>
      </c>
      <c r="O2" s="191" t="s">
        <v>262</v>
      </c>
    </row>
    <row r="3" spans="2:15" ht="15" customHeight="1">
      <c r="C3" s="97" t="s">
        <v>263</v>
      </c>
      <c r="E3" s="158" t="s">
        <v>3</v>
      </c>
      <c r="F3" s="192">
        <f>skemA7!D6</f>
        <v>0</v>
      </c>
      <c r="G3" s="193">
        <f>skemA7!E6</f>
        <v>12130.568499999999</v>
      </c>
      <c r="H3" s="193">
        <f>skemA7!F6</f>
        <v>-7071.3912500000006</v>
      </c>
      <c r="I3" s="193">
        <f>skemA7!G6</f>
        <v>4695.6785000000009</v>
      </c>
      <c r="J3" s="193">
        <f>skemA7!H6</f>
        <v>-19300.009000000005</v>
      </c>
      <c r="K3" s="193">
        <f>skemA7!I6</f>
        <v>805.79724999999848</v>
      </c>
      <c r="L3" s="193">
        <f>skemA7!J6</f>
        <v>456.15549999999899</v>
      </c>
      <c r="M3" s="193">
        <f>skemA7!K6</f>
        <v>1234.423250000001</v>
      </c>
      <c r="N3" s="193">
        <f>skemA7!L6</f>
        <v>0</v>
      </c>
      <c r="O3" s="194">
        <f>skemA7!M6</f>
        <v>0</v>
      </c>
    </row>
    <row r="4" spans="2:15" ht="15" customHeight="1">
      <c r="C4" s="97" t="s">
        <v>264</v>
      </c>
      <c r="E4" s="158" t="s">
        <v>3</v>
      </c>
      <c r="F4" s="195">
        <f>skemA7!D5</f>
        <v>115653.15</v>
      </c>
      <c r="G4" s="196">
        <f>skemA7!E5</f>
        <v>825.84700000000225</v>
      </c>
      <c r="H4" s="196">
        <f>skemA7!F5</f>
        <v>-10123.250250000005</v>
      </c>
      <c r="I4" s="196">
        <f>skemA7!G5</f>
        <v>-7564.500799999998</v>
      </c>
      <c r="J4" s="196">
        <f>skemA7!H5</f>
        <v>4916.4003000000012</v>
      </c>
      <c r="K4" s="196">
        <f>skemA7!I5</f>
        <v>-4897.5843000000004</v>
      </c>
      <c r="L4" s="196">
        <f>skemA7!J5</f>
        <v>262.10000000000127</v>
      </c>
      <c r="M4" s="196">
        <f>skemA7!K5</f>
        <v>69.35775000000109</v>
      </c>
      <c r="N4" s="196">
        <f>skemA7!L5</f>
        <v>0</v>
      </c>
      <c r="O4" s="197">
        <f>skemA7!M5</f>
        <v>0</v>
      </c>
    </row>
    <row r="5" spans="2:15" ht="15" customHeight="1">
      <c r="C5" s="97" t="s">
        <v>265</v>
      </c>
      <c r="E5" s="158"/>
      <c r="F5" s="198"/>
      <c r="G5" s="199" t="str">
        <f>IF(AND(G3&gt;0,G4&gt;0),"I",IF(AND(G3&gt;0,G4&lt;0),"II",IF(AND(G3&lt;0,G4&lt;0),"III",IF(AND(G3&lt;0,G4&gt;0),"IV",FALSE))))</f>
        <v>I</v>
      </c>
      <c r="H5" s="199" t="str">
        <f t="shared" ref="H5:M5" si="0">IF(AND(H3&gt;0,H4&gt;0),"I",IF(AND(H3&gt;0,H4&lt;0),"II",IF(AND(H3&lt;0,H4&lt;0),"III",IF(AND(H3&lt;0,H4&gt;0),"IV",FALSE))))</f>
        <v>III</v>
      </c>
      <c r="I5" s="199" t="str">
        <f t="shared" si="0"/>
        <v>II</v>
      </c>
      <c r="J5" s="199" t="str">
        <f t="shared" si="0"/>
        <v>IV</v>
      </c>
      <c r="K5" s="199" t="str">
        <f t="shared" si="0"/>
        <v>II</v>
      </c>
      <c r="L5" s="199" t="str">
        <f t="shared" si="0"/>
        <v>I</v>
      </c>
      <c r="M5" s="199" t="str">
        <f t="shared" si="0"/>
        <v>I</v>
      </c>
      <c r="N5" s="200"/>
      <c r="O5" s="201"/>
    </row>
    <row r="6" spans="2:15" ht="15" customHeight="1">
      <c r="C6" s="97" t="s">
        <v>266</v>
      </c>
      <c r="E6" s="158" t="s">
        <v>3</v>
      </c>
      <c r="F6" s="202"/>
      <c r="G6" s="203">
        <f t="shared" ref="G6:M6" si="1">G3/G4</f>
        <v>14.688639057839971</v>
      </c>
      <c r="H6" s="203">
        <f t="shared" si="1"/>
        <v>0.69852972863137486</v>
      </c>
      <c r="I6" s="203">
        <f t="shared" si="1"/>
        <v>-0.62075193382225591</v>
      </c>
      <c r="J6" s="203">
        <f t="shared" si="1"/>
        <v>-3.9256382357636745</v>
      </c>
      <c r="K6" s="203">
        <f t="shared" si="1"/>
        <v>-0.1645295314263398</v>
      </c>
      <c r="L6" s="203">
        <f t="shared" si="1"/>
        <v>1.7403872567722121</v>
      </c>
      <c r="M6" s="203">
        <f t="shared" si="1"/>
        <v>17.797913715482142</v>
      </c>
      <c r="N6" s="203"/>
      <c r="O6" s="204"/>
    </row>
    <row r="7" spans="2:15" ht="15" customHeight="1">
      <c r="C7" s="97" t="s">
        <v>267</v>
      </c>
      <c r="E7" s="158" t="s">
        <v>3</v>
      </c>
      <c r="F7" s="205"/>
      <c r="G7" s="206">
        <f>DEGREES(ATAN(G6))</f>
        <v>86.105322945031645</v>
      </c>
      <c r="H7" s="206">
        <f t="shared" ref="H7:M7" si="2">DEGREES(ATAN(H6))</f>
        <v>34.935443994234326</v>
      </c>
      <c r="I7" s="206">
        <f>DEGREES(ATAN(I6))</f>
        <v>-31.830022421948488</v>
      </c>
      <c r="J7" s="206">
        <f t="shared" si="2"/>
        <v>-75.708670551365103</v>
      </c>
      <c r="K7" s="206">
        <f t="shared" si="2"/>
        <v>-9.343141674661144</v>
      </c>
      <c r="L7" s="206">
        <f t="shared" si="2"/>
        <v>60.118981170375129</v>
      </c>
      <c r="M7" s="206">
        <f t="shared" si="2"/>
        <v>86.784139877916843</v>
      </c>
      <c r="N7" s="206"/>
      <c r="O7" s="207"/>
    </row>
    <row r="8" spans="2:15" ht="15" customHeight="1">
      <c r="C8" s="97" t="s">
        <v>268</v>
      </c>
      <c r="E8" s="158" t="s">
        <v>3</v>
      </c>
      <c r="F8" s="208"/>
      <c r="G8" s="209">
        <f t="shared" ref="G8:M8" si="3">IF(AND(G3&gt;0,G4&gt;0),G7,IF(AND(G3&gt;0,G4&lt;0),G7+180,IF(AND(G3&lt;0,G4&lt;0),180+G7,IF(AND(G3&lt;0,G4&gt;0),360+G7,FALSE))))</f>
        <v>86.105322945031645</v>
      </c>
      <c r="H8" s="209">
        <f t="shared" si="3"/>
        <v>214.93544399423433</v>
      </c>
      <c r="I8" s="209">
        <f t="shared" si="3"/>
        <v>148.16997757805152</v>
      </c>
      <c r="J8" s="209">
        <f t="shared" si="3"/>
        <v>284.29132944863488</v>
      </c>
      <c r="K8" s="209">
        <f t="shared" si="3"/>
        <v>170.65685832533885</v>
      </c>
      <c r="L8" s="209">
        <f t="shared" si="3"/>
        <v>60.118981170375129</v>
      </c>
      <c r="M8" s="209">
        <f t="shared" si="3"/>
        <v>86.784139877916843</v>
      </c>
      <c r="N8" s="210"/>
      <c r="O8" s="211"/>
    </row>
    <row r="10" spans="2:15" ht="15" customHeight="1">
      <c r="F10" s="719">
        <v>90</v>
      </c>
      <c r="G10" s="719"/>
    </row>
    <row r="11" spans="2:15" ht="15" customHeight="1">
      <c r="B11" s="97" t="s">
        <v>269</v>
      </c>
      <c r="F11" s="719" t="s">
        <v>76</v>
      </c>
      <c r="G11" s="719"/>
      <c r="I11" s="97" t="s">
        <v>270</v>
      </c>
    </row>
    <row r="12" spans="2:15" ht="15" customHeight="1">
      <c r="E12" s="158" t="s">
        <v>271</v>
      </c>
      <c r="G12" s="212"/>
      <c r="H12" s="158" t="s">
        <v>272</v>
      </c>
    </row>
    <row r="13" spans="2:15" ht="15" customHeight="1">
      <c r="C13" s="714">
        <v>180</v>
      </c>
      <c r="D13" s="714" t="s">
        <v>77</v>
      </c>
      <c r="E13" s="213"/>
      <c r="F13" s="213"/>
      <c r="G13" s="214"/>
      <c r="H13" s="213"/>
      <c r="I13" s="714" t="s">
        <v>76</v>
      </c>
      <c r="J13" s="714">
        <v>0</v>
      </c>
    </row>
    <row r="14" spans="2:15" ht="15" customHeight="1">
      <c r="C14" s="714"/>
      <c r="D14" s="714"/>
      <c r="G14" s="212"/>
      <c r="I14" s="714"/>
      <c r="J14" s="714"/>
    </row>
    <row r="15" spans="2:15" ht="15" customHeight="1">
      <c r="E15" s="158" t="s">
        <v>273</v>
      </c>
      <c r="G15" s="212"/>
      <c r="H15" s="158" t="s">
        <v>274</v>
      </c>
    </row>
    <row r="16" spans="2:15" ht="15" customHeight="1">
      <c r="B16" s="97" t="s">
        <v>275</v>
      </c>
      <c r="F16" s="719" t="s">
        <v>77</v>
      </c>
      <c r="G16" s="719"/>
      <c r="I16" s="97" t="s">
        <v>276</v>
      </c>
    </row>
    <row r="17" spans="6:7" ht="15" customHeight="1">
      <c r="F17" s="719">
        <v>270</v>
      </c>
      <c r="G17" s="719"/>
    </row>
    <row r="48" spans="4:4" ht="15" customHeight="1">
      <c r="D48" s="167"/>
    </row>
    <row r="49" spans="3:7" ht="15" customHeight="1">
      <c r="C49" s="215" t="s">
        <v>238</v>
      </c>
      <c r="D49" s="216"/>
      <c r="E49" s="217" t="s">
        <v>3</v>
      </c>
      <c r="F49" s="218" t="e">
        <f>#REF!</f>
        <v>#REF!</v>
      </c>
      <c r="G49" s="219"/>
    </row>
    <row r="50" spans="3:7" ht="15" customHeight="1">
      <c r="C50" s="212" t="s">
        <v>242</v>
      </c>
      <c r="E50" s="158" t="s">
        <v>3</v>
      </c>
      <c r="F50" s="174" t="e">
        <f>#REF!</f>
        <v>#REF!</v>
      </c>
      <c r="G50" s="220"/>
    </row>
    <row r="51" spans="3:7" ht="15" customHeight="1">
      <c r="C51" s="212" t="s">
        <v>243</v>
      </c>
      <c r="E51" s="158" t="s">
        <v>3</v>
      </c>
      <c r="F51" s="174" t="e">
        <f>#REF!</f>
        <v>#REF!</v>
      </c>
      <c r="G51" s="220"/>
    </row>
    <row r="52" spans="3:7" ht="15" customHeight="1">
      <c r="C52" s="212" t="s">
        <v>244</v>
      </c>
      <c r="E52" s="158" t="s">
        <v>3</v>
      </c>
      <c r="F52" s="174" t="e">
        <f>#REF!</f>
        <v>#REF!</v>
      </c>
      <c r="G52" s="220"/>
    </row>
    <row r="53" spans="3:7" ht="15" customHeight="1">
      <c r="C53" s="212"/>
      <c r="F53" s="174"/>
      <c r="G53" s="221"/>
    </row>
    <row r="54" spans="3:7" ht="15" customHeight="1">
      <c r="C54" s="212" t="s">
        <v>245</v>
      </c>
      <c r="E54" s="158" t="s">
        <v>3</v>
      </c>
      <c r="F54" s="158">
        <v>1</v>
      </c>
      <c r="G54" s="220"/>
    </row>
    <row r="55" spans="3:7" ht="15" customHeight="1">
      <c r="C55" s="212" t="s">
        <v>246</v>
      </c>
      <c r="E55" s="158" t="s">
        <v>3</v>
      </c>
      <c r="F55" s="174" t="e">
        <f>F49</f>
        <v>#REF!</v>
      </c>
      <c r="G55" s="220"/>
    </row>
    <row r="56" spans="3:7" ht="15" customHeight="1">
      <c r="C56" s="212" t="s">
        <v>247</v>
      </c>
      <c r="E56" s="158" t="s">
        <v>3</v>
      </c>
      <c r="F56" s="174" t="e">
        <f>F49</f>
        <v>#REF!</v>
      </c>
      <c r="G56" s="220"/>
    </row>
    <row r="57" spans="3:7" ht="15" customHeight="1">
      <c r="C57" s="214" t="s">
        <v>248</v>
      </c>
      <c r="D57" s="213"/>
      <c r="E57" s="160" t="s">
        <v>3</v>
      </c>
      <c r="F57" s="222" t="e">
        <f>F49^2</f>
        <v>#REF!</v>
      </c>
      <c r="G57" s="223"/>
    </row>
  </sheetData>
  <sheetProtection selectLockedCells="1" selectUnlockedCells="1"/>
  <mergeCells count="8">
    <mergeCell ref="F17:G17"/>
    <mergeCell ref="F10:G10"/>
    <mergeCell ref="F11:G11"/>
    <mergeCell ref="C13:C14"/>
    <mergeCell ref="D13:D14"/>
    <mergeCell ref="I13:I14"/>
    <mergeCell ref="J13:J14"/>
    <mergeCell ref="F16:G16"/>
  </mergeCells>
  <phoneticPr fontId="26" type="noConversion"/>
  <pageMargins left="1.7701388888888889" right="0.74791666666666667" top="1.4097222222222223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2:O24"/>
  <sheetViews>
    <sheetView workbookViewId="0">
      <selection activeCell="D7" sqref="D7"/>
    </sheetView>
  </sheetViews>
  <sheetFormatPr defaultColWidth="9.140625" defaultRowHeight="14.25"/>
  <cols>
    <col min="1" max="1" width="2.85546875" style="1" customWidth="1"/>
    <col min="2" max="3" width="9.140625" style="1"/>
    <col min="4" max="4" width="9.5703125" style="1" customWidth="1"/>
    <col min="5" max="5" width="9.7109375" style="1" customWidth="1"/>
    <col min="6" max="6" width="9.28515625" style="1" customWidth="1"/>
    <col min="7" max="7" width="9.7109375" style="1" customWidth="1"/>
    <col min="8" max="8" width="9.42578125" style="1" customWidth="1"/>
    <col min="9" max="9" width="9.5703125" style="1" customWidth="1"/>
    <col min="10" max="11" width="9.28515625" style="1" customWidth="1"/>
    <col min="12" max="13" width="6.42578125" style="1" customWidth="1"/>
    <col min="14" max="16384" width="9.140625" style="1"/>
  </cols>
  <sheetData>
    <row r="2" spans="2:13">
      <c r="B2" s="1" t="s">
        <v>277</v>
      </c>
    </row>
    <row r="3" spans="2:13" ht="16.5">
      <c r="B3" s="224" t="s">
        <v>278</v>
      </c>
    </row>
    <row r="5" spans="2:13" ht="18.75">
      <c r="B5" s="85"/>
      <c r="C5" s="87"/>
      <c r="D5" s="63" t="s">
        <v>191</v>
      </c>
      <c r="E5" s="63" t="s">
        <v>192</v>
      </c>
      <c r="F5" s="63" t="s">
        <v>193</v>
      </c>
      <c r="G5" s="63" t="s">
        <v>194</v>
      </c>
      <c r="H5" s="63" t="s">
        <v>195</v>
      </c>
      <c r="I5" s="63" t="s">
        <v>196</v>
      </c>
      <c r="J5" s="63" t="s">
        <v>197</v>
      </c>
      <c r="K5" s="63" t="s">
        <v>198</v>
      </c>
      <c r="L5" s="63" t="s">
        <v>279</v>
      </c>
      <c r="M5" s="63" t="s">
        <v>280</v>
      </c>
    </row>
    <row r="6" spans="2:13">
      <c r="B6" s="225" t="s">
        <v>281</v>
      </c>
      <c r="C6" s="226"/>
      <c r="D6" s="66">
        <v>67787.11</v>
      </c>
      <c r="E6" s="66">
        <v>-3795.71</v>
      </c>
      <c r="F6" s="66">
        <v>6167.43</v>
      </c>
      <c r="G6" s="66">
        <v>796.95</v>
      </c>
      <c r="H6" s="66">
        <v>-9227.84</v>
      </c>
      <c r="I6" s="66">
        <v>200.98</v>
      </c>
      <c r="J6" s="66">
        <v>675.17</v>
      </c>
      <c r="K6" s="66">
        <v>-732.76</v>
      </c>
      <c r="L6" s="66"/>
      <c r="M6" s="66"/>
    </row>
    <row r="7" spans="2:13">
      <c r="B7" s="227" t="s">
        <v>282</v>
      </c>
      <c r="C7" s="131"/>
      <c r="D7" s="61">
        <v>0</v>
      </c>
      <c r="E7" s="61">
        <v>-6263.04</v>
      </c>
      <c r="F7" s="61">
        <v>710.49</v>
      </c>
      <c r="G7" s="61">
        <v>1123.74</v>
      </c>
      <c r="H7" s="61">
        <v>-2906.17</v>
      </c>
      <c r="I7" s="61">
        <v>-4612.63</v>
      </c>
      <c r="J7" s="61">
        <v>623.63</v>
      </c>
      <c r="K7" s="61">
        <v>401.84</v>
      </c>
      <c r="L7" s="61"/>
      <c r="M7" s="61"/>
    </row>
    <row r="8" spans="2:13">
      <c r="B8" s="227" t="s">
        <v>283</v>
      </c>
      <c r="C8" s="131"/>
      <c r="D8" s="61">
        <v>67787.11</v>
      </c>
      <c r="E8" s="61">
        <v>7323.4612339862906</v>
      </c>
      <c r="F8" s="61">
        <v>6208.2194585082125</v>
      </c>
      <c r="G8" s="61">
        <v>1377.6504963523948</v>
      </c>
      <c r="H8" s="61">
        <v>9674.6501298238181</v>
      </c>
      <c r="I8" s="61">
        <v>4617.0064411152807</v>
      </c>
      <c r="J8" s="61">
        <v>919.11310827340492</v>
      </c>
      <c r="K8" s="61">
        <v>835.71083707224955</v>
      </c>
      <c r="L8" s="61"/>
      <c r="M8" s="61"/>
    </row>
    <row r="9" spans="2:13">
      <c r="B9" s="227" t="s">
        <v>284</v>
      </c>
      <c r="C9" s="131"/>
      <c r="D9" s="61">
        <v>360</v>
      </c>
      <c r="E9" s="61">
        <v>175</v>
      </c>
      <c r="F9" s="61">
        <v>214</v>
      </c>
      <c r="G9" s="61">
        <v>166</v>
      </c>
      <c r="H9" s="61">
        <v>217</v>
      </c>
      <c r="I9" s="61">
        <v>177</v>
      </c>
      <c r="J9" s="61">
        <v>273</v>
      </c>
      <c r="K9" s="61">
        <v>280</v>
      </c>
      <c r="L9" s="61"/>
      <c r="M9" s="61"/>
    </row>
    <row r="10" spans="2:13">
      <c r="B10" s="227" t="s">
        <v>285</v>
      </c>
      <c r="C10" s="131"/>
      <c r="D10" s="61"/>
      <c r="E10" s="228">
        <v>0.97883333333333333</v>
      </c>
      <c r="F10" s="61">
        <v>1</v>
      </c>
      <c r="G10" s="61">
        <v>0.97883333333333333</v>
      </c>
      <c r="H10" s="61">
        <v>1.0753333333333335</v>
      </c>
      <c r="I10" s="61">
        <v>1.1213333333333333</v>
      </c>
      <c r="J10" s="61">
        <v>0.95811469444444441</v>
      </c>
      <c r="K10" s="61">
        <v>0.97883333333333333</v>
      </c>
      <c r="L10" s="61"/>
      <c r="M10" s="61"/>
    </row>
    <row r="11" spans="2:13">
      <c r="B11" s="227" t="s">
        <v>286</v>
      </c>
      <c r="C11" s="131"/>
      <c r="D11" s="61"/>
      <c r="E11" s="61">
        <v>153.5</v>
      </c>
      <c r="F11" s="61"/>
      <c r="G11" s="61">
        <v>217.2</v>
      </c>
      <c r="H11" s="61">
        <v>9.8000000000000007</v>
      </c>
      <c r="I11" s="61">
        <v>143.69999999999999</v>
      </c>
      <c r="J11" s="61"/>
      <c r="K11" s="61"/>
      <c r="L11" s="61"/>
      <c r="M11" s="61"/>
    </row>
    <row r="12" spans="2:13">
      <c r="B12" s="227" t="s">
        <v>287</v>
      </c>
      <c r="C12" s="131"/>
      <c r="D12" s="61"/>
      <c r="E12" s="61">
        <v>183.9</v>
      </c>
      <c r="F12" s="61"/>
      <c r="G12" s="61">
        <v>217.1</v>
      </c>
      <c r="H12" s="61">
        <v>269.10000000000002</v>
      </c>
      <c r="I12" s="61">
        <v>274.8</v>
      </c>
      <c r="J12" s="61"/>
      <c r="K12" s="61"/>
      <c r="L12" s="61"/>
      <c r="M12" s="61"/>
    </row>
    <row r="13" spans="2:13">
      <c r="B13" s="227" t="s">
        <v>288</v>
      </c>
      <c r="C13" s="131"/>
      <c r="D13" s="61"/>
      <c r="E13" s="229">
        <v>151.06666666666666</v>
      </c>
      <c r="F13" s="229"/>
      <c r="G13" s="229">
        <v>206.23333333333332</v>
      </c>
      <c r="H13" s="229">
        <v>23.033333333333331</v>
      </c>
      <c r="I13" s="229">
        <v>128.13333333333333</v>
      </c>
      <c r="J13" s="61"/>
      <c r="K13" s="61"/>
      <c r="L13" s="61"/>
      <c r="M13" s="61"/>
    </row>
    <row r="14" spans="2:13">
      <c r="B14" s="227" t="s">
        <v>289</v>
      </c>
      <c r="C14" s="131"/>
      <c r="D14" s="61"/>
      <c r="E14" s="230">
        <v>-2</v>
      </c>
      <c r="F14" s="61">
        <v>0</v>
      </c>
      <c r="G14" s="230">
        <v>-2</v>
      </c>
      <c r="H14" s="61">
        <v>-7.9</v>
      </c>
      <c r="I14" s="61">
        <v>9.1999999999999993</v>
      </c>
      <c r="J14" s="230">
        <v>-4</v>
      </c>
      <c r="K14" s="230">
        <v>-2</v>
      </c>
      <c r="L14" s="61"/>
      <c r="M14" s="61"/>
    </row>
    <row r="15" spans="2:13">
      <c r="B15" s="227" t="s">
        <v>290</v>
      </c>
      <c r="C15" s="131"/>
      <c r="D15" s="61"/>
      <c r="E15" s="61">
        <v>333</v>
      </c>
      <c r="F15" s="61">
        <v>345</v>
      </c>
      <c r="G15" s="61">
        <v>327</v>
      </c>
      <c r="H15" s="61">
        <v>173</v>
      </c>
      <c r="I15" s="61">
        <v>160</v>
      </c>
      <c r="J15" s="61">
        <v>307</v>
      </c>
      <c r="K15" s="61">
        <v>318</v>
      </c>
      <c r="L15" s="61"/>
      <c r="M15" s="61"/>
    </row>
    <row r="16" spans="2:13">
      <c r="B16" s="227" t="s">
        <v>291</v>
      </c>
      <c r="C16" s="131"/>
      <c r="D16" s="61"/>
      <c r="E16" s="229">
        <v>211.21792224902202</v>
      </c>
      <c r="F16" s="229">
        <v>6.571524653867451</v>
      </c>
      <c r="G16" s="229">
        <v>54.655951504100344</v>
      </c>
      <c r="H16" s="229">
        <v>252.51895960263883</v>
      </c>
      <c r="I16" s="229">
        <v>272.49489484805713</v>
      </c>
      <c r="J16" s="229">
        <v>42.727536284664943</v>
      </c>
      <c r="K16" s="229">
        <v>151.25997201021153</v>
      </c>
      <c r="L16" s="61"/>
      <c r="M16" s="61"/>
    </row>
    <row r="17" spans="2:15">
      <c r="B17" s="227" t="s">
        <v>292</v>
      </c>
      <c r="C17" s="131"/>
      <c r="D17" s="61"/>
      <c r="E17" s="61"/>
      <c r="F17" s="61">
        <v>11.618181818181801</v>
      </c>
      <c r="G17" s="61">
        <v>-0.50769230769231666</v>
      </c>
      <c r="H17" s="61">
        <v>17.222566646001237</v>
      </c>
      <c r="I17" s="61"/>
      <c r="J17" s="61"/>
      <c r="K17" s="61">
        <v>11.37226363636362</v>
      </c>
      <c r="L17" s="61"/>
      <c r="M17" s="61"/>
    </row>
    <row r="18" spans="2:15">
      <c r="B18" s="227" t="s">
        <v>293</v>
      </c>
      <c r="C18" s="131"/>
      <c r="D18" s="61"/>
      <c r="E18" s="61">
        <v>1</v>
      </c>
      <c r="F18" s="61">
        <v>1.2288512396694218</v>
      </c>
      <c r="G18" s="61">
        <v>0.81669230769230761</v>
      </c>
      <c r="H18" s="230">
        <v>0.86980781153130815</v>
      </c>
      <c r="I18" s="61">
        <v>1</v>
      </c>
      <c r="J18" s="61">
        <v>1</v>
      </c>
      <c r="K18" s="61">
        <v>1.2240072217630855</v>
      </c>
      <c r="L18" s="61"/>
      <c r="M18" s="61"/>
    </row>
    <row r="19" spans="2:15">
      <c r="B19" s="227" t="s">
        <v>294</v>
      </c>
      <c r="C19" s="131"/>
      <c r="D19" s="61"/>
      <c r="E19" s="61">
        <v>1030.6845889156887</v>
      </c>
      <c r="F19" s="61">
        <v>363.18970647204929</v>
      </c>
      <c r="G19" s="61">
        <v>1019.6815925297414</v>
      </c>
      <c r="H19" s="61">
        <v>736.77485958197349</v>
      </c>
      <c r="I19" s="61">
        <v>988.3282281813905</v>
      </c>
      <c r="J19" s="61">
        <v>345.72753628466495</v>
      </c>
      <c r="K19" s="61">
        <v>478.63223564657517</v>
      </c>
      <c r="L19" s="61"/>
      <c r="M19" s="61"/>
    </row>
    <row r="20" spans="2:15">
      <c r="B20" s="227" t="s">
        <v>295</v>
      </c>
      <c r="C20" s="131"/>
      <c r="D20" s="61"/>
      <c r="E20" s="61">
        <v>720</v>
      </c>
      <c r="F20" s="61">
        <v>360</v>
      </c>
      <c r="G20" s="61">
        <v>720</v>
      </c>
      <c r="H20" s="61">
        <v>720</v>
      </c>
      <c r="I20" s="61">
        <v>720</v>
      </c>
      <c r="J20" s="61">
        <v>0</v>
      </c>
      <c r="K20" s="61">
        <v>360</v>
      </c>
      <c r="L20" s="61"/>
      <c r="M20" s="61"/>
    </row>
    <row r="21" spans="2:15">
      <c r="B21" s="227" t="s">
        <v>296</v>
      </c>
      <c r="C21" s="131"/>
      <c r="D21" s="231">
        <v>188.29752777777782</v>
      </c>
      <c r="E21" s="231">
        <v>42.753294645148742</v>
      </c>
      <c r="F21" s="231">
        <v>23</v>
      </c>
      <c r="G21" s="231">
        <v>10.381587039931048</v>
      </c>
      <c r="H21" s="231">
        <v>47.666045421876511</v>
      </c>
      <c r="I21" s="231">
        <v>24</v>
      </c>
      <c r="J21" s="231">
        <v>3</v>
      </c>
      <c r="K21" s="231">
        <v>2.4911809369041218</v>
      </c>
      <c r="L21" s="231">
        <v>6.3740833703321167</v>
      </c>
      <c r="M21" s="231">
        <v>15.729794989219249</v>
      </c>
      <c r="O21" s="232"/>
    </row>
    <row r="22" spans="2:15" ht="16.5">
      <c r="B22" s="132" t="s">
        <v>297</v>
      </c>
      <c r="C22" s="144"/>
      <c r="D22" s="62"/>
      <c r="E22" s="233">
        <v>347</v>
      </c>
      <c r="F22" s="233">
        <v>8</v>
      </c>
      <c r="G22" s="233">
        <v>317</v>
      </c>
      <c r="H22" s="233">
        <v>322</v>
      </c>
      <c r="I22" s="233">
        <v>276</v>
      </c>
      <c r="J22" s="233">
        <v>280</v>
      </c>
      <c r="K22" s="233">
        <v>250</v>
      </c>
      <c r="L22" s="233">
        <v>8</v>
      </c>
      <c r="M22" s="233">
        <v>322</v>
      </c>
    </row>
    <row r="23" spans="2:15" ht="20.25">
      <c r="D23" s="234" t="s">
        <v>298</v>
      </c>
      <c r="E23" s="47">
        <v>28.984000000000002</v>
      </c>
      <c r="F23" s="47">
        <v>30</v>
      </c>
      <c r="G23" s="47">
        <v>28.44</v>
      </c>
      <c r="H23" s="47">
        <v>15.041</v>
      </c>
      <c r="I23" s="47">
        <v>13.943</v>
      </c>
      <c r="J23" s="235">
        <v>57.968000000000004</v>
      </c>
      <c r="K23" s="235">
        <v>58.984000000000002</v>
      </c>
      <c r="L23" s="47">
        <v>30.082000000000001</v>
      </c>
      <c r="M23" s="47">
        <v>14.959</v>
      </c>
    </row>
    <row r="24" spans="2:15">
      <c r="D24" s="43"/>
      <c r="E24" s="43"/>
      <c r="F24" s="43"/>
      <c r="G24" s="43"/>
      <c r="H24" s="43"/>
      <c r="I24" s="43"/>
      <c r="J24" s="43"/>
      <c r="K24" s="43"/>
      <c r="L24" s="43"/>
      <c r="M24" s="43"/>
    </row>
  </sheetData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20"/>
  <sheetViews>
    <sheetView workbookViewId="0">
      <selection activeCell="G13" sqref="G13"/>
    </sheetView>
  </sheetViews>
  <sheetFormatPr defaultColWidth="7.140625" defaultRowHeight="16.5" customHeight="1"/>
  <cols>
    <col min="1" max="16384" width="7.140625" style="97"/>
  </cols>
  <sheetData>
    <row r="1" spans="1:22" ht="16.5" customHeight="1">
      <c r="A1" s="720" t="s">
        <v>299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</row>
    <row r="3" spans="1:22" ht="16.5" customHeight="1">
      <c r="B3" s="182" t="s">
        <v>300</v>
      </c>
    </row>
    <row r="4" spans="1:22" ht="16.5" customHeight="1">
      <c r="A4" s="182" t="s">
        <v>301</v>
      </c>
      <c r="B4" s="158">
        <f>SUM(skemA7!H10:H12)</f>
        <v>138.80000000000001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</row>
    <row r="5" spans="1:22" ht="16.5" customHeight="1">
      <c r="A5" s="182" t="s">
        <v>302</v>
      </c>
      <c r="B5" s="179">
        <f>skemA7!H14</f>
        <v>-6.458333333333333</v>
      </c>
      <c r="C5" s="158"/>
      <c r="E5" s="236"/>
      <c r="F5" s="237" t="s">
        <v>303</v>
      </c>
      <c r="G5" s="238" t="s">
        <v>304</v>
      </c>
      <c r="H5" s="158"/>
      <c r="I5" s="182" t="s">
        <v>305</v>
      </c>
      <c r="J5" s="182">
        <f>skemA7!L9</f>
        <v>1.1974166666666666</v>
      </c>
      <c r="K5" s="158"/>
      <c r="L5" s="158"/>
      <c r="M5" s="239"/>
      <c r="N5" s="240" t="s">
        <v>306</v>
      </c>
      <c r="O5" s="241" t="s">
        <v>307</v>
      </c>
    </row>
    <row r="6" spans="1:22" ht="16.5" customHeight="1">
      <c r="A6" s="182" t="s">
        <v>308</v>
      </c>
      <c r="B6" s="158">
        <f>SUM(B4:B5)</f>
        <v>132.34166666666667</v>
      </c>
      <c r="C6" s="158"/>
      <c r="E6" s="242">
        <f>ROUNDDOWN(B7/10,0)*10</f>
        <v>130</v>
      </c>
      <c r="F6" s="243">
        <f>VLOOKUP(E6,'Tabel 44 (w_1+W)'!$B$4:$D$40,2)</f>
        <v>12</v>
      </c>
      <c r="G6" s="244">
        <f>VLOOKUP(E6,'Tabel 44 (w_1+W)'!$B$4:$D$40,3)</f>
        <v>4.1000000000000002E-2</v>
      </c>
      <c r="H6" s="158"/>
      <c r="I6" s="245" t="s">
        <v>309</v>
      </c>
      <c r="J6" s="246">
        <f>F6+(F7-F6)/(B7-E6)</f>
        <v>12.725978647686832</v>
      </c>
      <c r="K6" s="244">
        <f>J6</f>
        <v>12.725978647686832</v>
      </c>
      <c r="L6" s="158"/>
      <c r="M6" s="247" t="s">
        <v>292</v>
      </c>
      <c r="N6" s="248">
        <f>$J$5*J6</f>
        <v>15.238298932384339</v>
      </c>
      <c r="O6" s="249">
        <f>$J$5*K6</f>
        <v>15.238298932384339</v>
      </c>
    </row>
    <row r="7" spans="1:22" ht="16.5" customHeight="1">
      <c r="A7" s="158"/>
      <c r="B7" s="158">
        <f>IF(B6&gt;360,B6-360,B6)</f>
        <v>132.34166666666667</v>
      </c>
      <c r="C7" s="158"/>
      <c r="E7" s="250">
        <f>ROUNDUP(B7/10,0)*10</f>
        <v>140</v>
      </c>
      <c r="F7" s="251">
        <f>VLOOKUP(E7,'Tabel 44 (w_1+W)'!$B$4:$D$40,2)</f>
        <v>13.7</v>
      </c>
      <c r="G7" s="252">
        <f>VLOOKUP(E7,'Tabel 44 (w_1+W)'!$B$4:$D$40,3)</f>
        <v>-5.8000000000000003E-2</v>
      </c>
      <c r="H7" s="158"/>
      <c r="I7" s="251" t="s">
        <v>310</v>
      </c>
      <c r="J7" s="253">
        <f>-(G6+(G7-G6)/(B7-E6))</f>
        <v>1.2775800711743446E-3</v>
      </c>
      <c r="K7" s="252">
        <f>J7</f>
        <v>1.2775800711743446E-3</v>
      </c>
      <c r="L7" s="158"/>
      <c r="M7" s="251" t="s">
        <v>293</v>
      </c>
      <c r="N7" s="254">
        <f>$J$5*(J7+1)</f>
        <v>1.1989464623368919</v>
      </c>
      <c r="O7" s="255">
        <f>$J$5*(K7+1)</f>
        <v>1.1989464623368919</v>
      </c>
    </row>
    <row r="8" spans="1:22" ht="16.5" customHeight="1">
      <c r="A8" s="158"/>
      <c r="B8" s="158"/>
      <c r="C8" s="158"/>
      <c r="E8" s="158"/>
      <c r="F8" s="158"/>
      <c r="G8" s="158"/>
      <c r="H8" s="158"/>
      <c r="I8" s="158"/>
      <c r="J8" s="158"/>
      <c r="K8" s="158"/>
      <c r="L8" s="158"/>
      <c r="M8" s="158"/>
      <c r="N8" s="256"/>
      <c r="O8" s="158"/>
    </row>
    <row r="9" spans="1:22" ht="16.5" customHeight="1">
      <c r="A9" s="158"/>
      <c r="B9" s="182" t="s">
        <v>300</v>
      </c>
      <c r="C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</row>
    <row r="10" spans="1:22" ht="16.5" customHeight="1">
      <c r="A10" s="182" t="s">
        <v>311</v>
      </c>
      <c r="B10" s="158">
        <f>B4*2</f>
        <v>277.60000000000002</v>
      </c>
      <c r="C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</row>
    <row r="11" spans="1:22" ht="16.5" customHeight="1">
      <c r="A11" s="182" t="s">
        <v>302</v>
      </c>
      <c r="B11" s="179">
        <f>B5</f>
        <v>-6.458333333333333</v>
      </c>
      <c r="C11" s="158"/>
      <c r="E11" s="257"/>
      <c r="F11" s="237" t="s">
        <v>312</v>
      </c>
      <c r="G11" s="238" t="s">
        <v>313</v>
      </c>
      <c r="H11" s="158"/>
      <c r="I11" s="182" t="s">
        <v>314</v>
      </c>
      <c r="J11" s="182">
        <f>skemA7!H9</f>
        <v>1.0738333333333332</v>
      </c>
      <c r="K11" s="158"/>
      <c r="M11" s="239"/>
      <c r="N11" s="241" t="s">
        <v>300</v>
      </c>
      <c r="O11" s="158"/>
    </row>
    <row r="12" spans="1:22" ht="16.5" customHeight="1">
      <c r="A12" s="158"/>
      <c r="B12" s="158">
        <f>SUM(B10:B11)</f>
        <v>271.14166666666671</v>
      </c>
      <c r="C12" s="158"/>
      <c r="E12" s="242">
        <f>ROUNDDOWN(B12/10,0)*10</f>
        <v>270</v>
      </c>
      <c r="F12" s="243">
        <f>VLOOKUP(E12,'Tabel 44 (w_1+W)'!$E$4:$G$40,2)</f>
        <v>18.3</v>
      </c>
      <c r="G12" s="244">
        <f>VLOOKUP(E12,'Tabel 44 (w_1+W)'!$E$4:$G$40,3)</f>
        <v>5.2999999999999999E-2</v>
      </c>
      <c r="H12" s="158"/>
      <c r="I12" s="245" t="s">
        <v>315</v>
      </c>
      <c r="J12" s="244">
        <f>F12+(F13-F12)/(B13-E12)</f>
        <v>17.24890510948909</v>
      </c>
      <c r="K12" s="158"/>
      <c r="M12" s="247" t="s">
        <v>292</v>
      </c>
      <c r="N12" s="249">
        <f>J11*J12</f>
        <v>18.522449270073032</v>
      </c>
      <c r="O12" s="158"/>
      <c r="V12" s="97">
        <v>0.81</v>
      </c>
    </row>
    <row r="13" spans="1:22" ht="16.5" customHeight="1">
      <c r="A13" s="158"/>
      <c r="B13" s="158">
        <f>IF(B12&gt;360,MOD(B12,360),B12)</f>
        <v>271.14166666666671</v>
      </c>
      <c r="C13" s="158"/>
      <c r="E13" s="250">
        <f>ROUNDUP(B13/10,0)*10</f>
        <v>280</v>
      </c>
      <c r="F13" s="251">
        <f>VLOOKUP(E13,'Tabel 44 (w_1+W)'!$E$4:$G$40,2)</f>
        <v>17.100000000000001</v>
      </c>
      <c r="G13" s="252">
        <f>VLOOKUP(E13,'Tabel 44 (w_1+W)'!$E$4:$G$40,3)</f>
        <v>0.107</v>
      </c>
      <c r="H13" s="158"/>
      <c r="I13" s="251" t="s">
        <v>316</v>
      </c>
      <c r="J13" s="252">
        <f>G12+(G13-G12)/(B13-E12)</f>
        <v>0.10029927007299097</v>
      </c>
      <c r="K13" s="158"/>
      <c r="M13" s="251" t="s">
        <v>293</v>
      </c>
      <c r="N13" s="255">
        <f>J11*(J13+1)</f>
        <v>1.1815380328467133</v>
      </c>
      <c r="O13" s="158"/>
    </row>
    <row r="14" spans="1:22" ht="16.5" customHeight="1">
      <c r="A14" s="158"/>
      <c r="B14" s="158"/>
      <c r="C14" s="158"/>
      <c r="E14" s="158"/>
      <c r="F14" s="158"/>
      <c r="G14" s="158"/>
      <c r="H14" s="158"/>
      <c r="I14" s="158"/>
      <c r="J14" s="158"/>
      <c r="K14" s="182"/>
      <c r="L14" s="158"/>
      <c r="O14" s="158"/>
    </row>
    <row r="15" spans="1:22" ht="16.5" customHeight="1">
      <c r="A15" s="158"/>
      <c r="B15" s="182" t="s">
        <v>317</v>
      </c>
      <c r="C15" s="182" t="s">
        <v>318</v>
      </c>
      <c r="E15" s="158"/>
      <c r="F15" s="158"/>
      <c r="G15" s="158"/>
      <c r="H15" s="158"/>
      <c r="I15" s="158"/>
      <c r="J15" s="158"/>
      <c r="K15" s="158"/>
      <c r="L15" s="158"/>
      <c r="O15" s="158"/>
    </row>
    <row r="16" spans="1:22" ht="16.5" customHeight="1">
      <c r="A16" s="182" t="s">
        <v>319</v>
      </c>
      <c r="B16" s="158">
        <f>skemA7!E13*3</f>
        <v>2277.6000000000004</v>
      </c>
      <c r="C16" s="158"/>
      <c r="E16" s="158"/>
      <c r="F16" s="158"/>
      <c r="G16" s="158"/>
      <c r="H16" s="158"/>
      <c r="I16" s="158"/>
      <c r="J16" s="158"/>
      <c r="K16" s="158"/>
      <c r="L16" s="158"/>
      <c r="O16" s="158"/>
    </row>
    <row r="17" spans="1:15" ht="16.5" customHeight="1">
      <c r="A17" s="182" t="s">
        <v>311</v>
      </c>
      <c r="B17" s="179"/>
      <c r="C17" s="179">
        <f>skemA7!G13*2</f>
        <v>1794.2</v>
      </c>
      <c r="E17" s="257"/>
      <c r="F17" s="258" t="s">
        <v>298</v>
      </c>
      <c r="G17" s="238" t="s">
        <v>320</v>
      </c>
      <c r="H17" s="158"/>
      <c r="I17" s="243"/>
      <c r="J17" s="238" t="s">
        <v>318</v>
      </c>
      <c r="K17" s="158"/>
      <c r="L17" s="158"/>
      <c r="M17" s="158"/>
      <c r="N17" s="158"/>
      <c r="O17" s="158"/>
    </row>
    <row r="18" spans="1:15" ht="16.5" customHeight="1">
      <c r="A18" s="158"/>
      <c r="B18" s="158"/>
      <c r="C18" s="158">
        <f>B16-C17</f>
        <v>483.40000000000032</v>
      </c>
      <c r="E18" s="242">
        <f>ROUNDDOWN(C19/10,0)*10</f>
        <v>120</v>
      </c>
      <c r="F18" s="243">
        <f>VLOOKUP(E18,'Tabel 44 (w_1+W)'!$H$4:$J$40,2)</f>
        <v>10</v>
      </c>
      <c r="G18" s="244">
        <f>VLOOKUP(E18,'Tabel 44 (w_1+W)'!$H$4:$J$40,3)</f>
        <v>0.92200000000000004</v>
      </c>
      <c r="H18" s="158"/>
      <c r="I18" s="259" t="s">
        <v>292</v>
      </c>
      <c r="J18" s="260">
        <f>F18+(F19-F18)/(C19-E18)</f>
        <v>9.7352941176470829</v>
      </c>
      <c r="K18" s="158"/>
      <c r="L18" s="158"/>
      <c r="M18" s="158"/>
      <c r="N18" s="158"/>
      <c r="O18" s="158"/>
    </row>
    <row r="19" spans="1:15" ht="16.5" customHeight="1">
      <c r="A19" s="158"/>
      <c r="B19" s="158"/>
      <c r="C19" s="158">
        <f>IF(C18&gt;360,MOD(C18,360),C18)</f>
        <v>123.40000000000032</v>
      </c>
      <c r="E19" s="250">
        <f>ROUNDUP(C19/10,0)*10</f>
        <v>130</v>
      </c>
      <c r="F19" s="251">
        <f>VLOOKUP(E19,'Tabel 44 (w_1+W)'!$H$4:$J$40,2)</f>
        <v>9.1</v>
      </c>
      <c r="G19" s="252">
        <f>VLOOKUP(E19,'Tabel 44 (w_1+W)'!$H$4:$J$40,3)</f>
        <v>0.89300000000000002</v>
      </c>
      <c r="H19" s="158"/>
      <c r="I19" s="250" t="s">
        <v>320</v>
      </c>
      <c r="J19" s="261">
        <f>G18+(G19-G18)/(C19-E18)</f>
        <v>0.91347058823529492</v>
      </c>
      <c r="K19" s="158"/>
      <c r="L19" s="158"/>
      <c r="M19" s="158"/>
      <c r="N19" s="158"/>
      <c r="O19" s="158"/>
    </row>
    <row r="20" spans="1:15" ht="16.5" customHeight="1">
      <c r="A20" s="158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</row>
  </sheetData>
  <sheetProtection selectLockedCells="1" selectUnlockedCells="1"/>
  <mergeCells count="1">
    <mergeCell ref="A1:N1"/>
  </mergeCells>
  <phoneticPr fontId="26" type="noConversion"/>
  <printOptions horizontalCentered="1"/>
  <pageMargins left="0.72986111111111107" right="0.74791666666666667" top="1.4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M22"/>
  <sheetViews>
    <sheetView workbookViewId="0">
      <selection activeCell="E11" sqref="E11"/>
    </sheetView>
  </sheetViews>
  <sheetFormatPr defaultColWidth="9.140625" defaultRowHeight="14.25"/>
  <cols>
    <col min="1" max="1" width="2.85546875" style="1" customWidth="1"/>
    <col min="2" max="3" width="9.140625" style="1"/>
    <col min="4" max="5" width="9.42578125" style="1" customWidth="1"/>
    <col min="6" max="11" width="9.140625" style="1"/>
    <col min="12" max="13" width="5.7109375" style="1" customWidth="1"/>
    <col min="14" max="16384" width="9.140625" style="1"/>
  </cols>
  <sheetData>
    <row r="2" spans="2:13" ht="15">
      <c r="B2" s="52" t="s">
        <v>343</v>
      </c>
    </row>
    <row r="3" spans="2:13" ht="17.25">
      <c r="B3" s="268" t="s">
        <v>344</v>
      </c>
    </row>
    <row r="4" spans="2:13" ht="16.5">
      <c r="B4" s="269"/>
      <c r="C4" s="270"/>
      <c r="D4" s="78" t="s">
        <v>145</v>
      </c>
      <c r="E4" s="78" t="s">
        <v>146</v>
      </c>
      <c r="F4" s="78" t="s">
        <v>147</v>
      </c>
      <c r="G4" s="78" t="s">
        <v>148</v>
      </c>
      <c r="H4" s="78" t="s">
        <v>149</v>
      </c>
      <c r="I4" s="78" t="s">
        <v>150</v>
      </c>
      <c r="J4" s="78" t="s">
        <v>151</v>
      </c>
      <c r="K4" s="78" t="s">
        <v>152</v>
      </c>
      <c r="L4" s="78" t="s">
        <v>324</v>
      </c>
      <c r="M4" s="78" t="s">
        <v>325</v>
      </c>
    </row>
    <row r="5" spans="2:13" s="45" customFormat="1" ht="18" customHeight="1">
      <c r="B5" s="271" t="s">
        <v>281</v>
      </c>
      <c r="C5" s="272"/>
      <c r="D5" s="55">
        <f>ROUND(('skemA5&amp;6'!D26),0)</f>
        <v>115653</v>
      </c>
      <c r="E5" s="55">
        <f>ROUND(('skemA5&amp;6'!E26),0)</f>
        <v>826</v>
      </c>
      <c r="F5" s="55">
        <f>ROUND(('skemA5&amp;6'!F26),0)</f>
        <v>-10123</v>
      </c>
      <c r="G5" s="55">
        <f>ROUND(('skemA5&amp;6'!G26),0)</f>
        <v>-7565</v>
      </c>
      <c r="H5" s="55">
        <f>ROUND(('skemA5&amp;6'!H26),0)</f>
        <v>4916</v>
      </c>
      <c r="I5" s="55">
        <f>ROUND(('skemA5&amp;6'!I26),0)</f>
        <v>-4898</v>
      </c>
      <c r="J5" s="55">
        <f>ROUND(('skemA5&amp;6'!J26),0)</f>
        <v>262</v>
      </c>
      <c r="K5" s="55">
        <f>ROUND(('skemA5&amp;6'!K26),0)</f>
        <v>69</v>
      </c>
      <c r="L5" s="55"/>
      <c r="M5" s="55"/>
    </row>
    <row r="6" spans="2:13" s="45" customFormat="1" ht="18" customHeight="1">
      <c r="B6" s="273" t="s">
        <v>282</v>
      </c>
      <c r="C6" s="262"/>
      <c r="D6" s="57">
        <f>ROUND(('skemA5&amp;6'!D27),0)</f>
        <v>0</v>
      </c>
      <c r="E6" s="57">
        <f>ROUND(('skemA5&amp;6'!E27),0)</f>
        <v>12131</v>
      </c>
      <c r="F6" s="57">
        <f>ROUND(('skemA5&amp;6'!F27),0)</f>
        <v>-7071</v>
      </c>
      <c r="G6" s="57">
        <f>ROUND(('skemA5&amp;6'!G27),0)</f>
        <v>4696</v>
      </c>
      <c r="H6" s="57">
        <f>ROUND(('skemA5&amp;6'!H27),0)</f>
        <v>-19300</v>
      </c>
      <c r="I6" s="57">
        <f>ROUND(('skemA5&amp;6'!I27),0)</f>
        <v>806</v>
      </c>
      <c r="J6" s="57">
        <f>ROUND(('skemA5&amp;6'!J27),0)</f>
        <v>456</v>
      </c>
      <c r="K6" s="57">
        <f>ROUND(('skemA5&amp;6'!K27),0)</f>
        <v>1234</v>
      </c>
      <c r="L6" s="57"/>
      <c r="M6" s="57"/>
    </row>
    <row r="7" spans="2:13" s="45" customFormat="1" ht="18" customHeight="1">
      <c r="B7" s="273" t="s">
        <v>283</v>
      </c>
      <c r="C7" s="262"/>
      <c r="D7" s="57">
        <f>ROUND(skemA7!D7,0)</f>
        <v>115653</v>
      </c>
      <c r="E7" s="57">
        <f>ROUND(skemA7!E7,0)</f>
        <v>12159</v>
      </c>
      <c r="F7" s="57">
        <f>ROUND(skemA7!F7,0)</f>
        <v>12348</v>
      </c>
      <c r="G7" s="57">
        <f>ROUND(skemA7!G7,0)</f>
        <v>8903</v>
      </c>
      <c r="H7" s="57">
        <f>ROUND(skemA7!H7,0)</f>
        <v>19916</v>
      </c>
      <c r="I7" s="57">
        <f>ROUND(skemA7!I7,0)</f>
        <v>4963</v>
      </c>
      <c r="J7" s="57">
        <f>ROUND(skemA7!J7,0)</f>
        <v>526</v>
      </c>
      <c r="K7" s="57">
        <f>ROUND(skemA7!K7,0)</f>
        <v>1236</v>
      </c>
      <c r="L7" s="57"/>
      <c r="M7" s="57"/>
    </row>
    <row r="8" spans="2:13" s="45" customFormat="1" ht="18" customHeight="1">
      <c r="B8" s="273" t="s">
        <v>345</v>
      </c>
      <c r="C8" s="262"/>
      <c r="D8" s="57">
        <f>ROUND(skemA7!D8,0)</f>
        <v>696</v>
      </c>
      <c r="E8" s="57">
        <f>ROUND(skemA7!E8,0)</f>
        <v>333</v>
      </c>
      <c r="F8" s="57">
        <f>ROUND(skemA7!F8,0)</f>
        <v>345</v>
      </c>
      <c r="G8" s="57">
        <f>ROUND(skemA7!G8,0)</f>
        <v>327</v>
      </c>
      <c r="H8" s="57">
        <f>ROUND(skemA7!H8,0)</f>
        <v>173</v>
      </c>
      <c r="I8" s="57">
        <f>ROUND(skemA7!I8,0)</f>
        <v>160</v>
      </c>
      <c r="J8" s="57">
        <f>ROUND(skemA7!J8,0)</f>
        <v>307</v>
      </c>
      <c r="K8" s="57">
        <f>ROUND(skemA7!K8,0)</f>
        <v>318</v>
      </c>
      <c r="L8" s="57"/>
      <c r="M8" s="57"/>
    </row>
    <row r="9" spans="2:13" s="45" customFormat="1" ht="18" customHeight="1">
      <c r="B9" s="273" t="s">
        <v>285</v>
      </c>
      <c r="C9" s="262"/>
      <c r="D9" s="57">
        <f>ROUND(skemA7!D9,2)</f>
        <v>0</v>
      </c>
      <c r="E9" s="57">
        <f>ROUND(skemA7!E9,2)</f>
        <v>0.98</v>
      </c>
      <c r="F9" s="57">
        <f>ROUND(skemA7!F9,2)</f>
        <v>1</v>
      </c>
      <c r="G9" s="57">
        <f>ROUND(skemA7!G9,2)</f>
        <v>0.98</v>
      </c>
      <c r="H9" s="57">
        <f>ROUND(skemA7!H9,2)</f>
        <v>1.07</v>
      </c>
      <c r="I9" s="57">
        <f>ROUND(skemA7!I9,2)</f>
        <v>1.1299999999999999</v>
      </c>
      <c r="J9" s="57">
        <f>ROUND(skemA7!J9,2)</f>
        <v>0.96</v>
      </c>
      <c r="K9" s="57">
        <f>ROUND(skemA7!K9,2)</f>
        <v>0.98</v>
      </c>
      <c r="L9" s="57"/>
      <c r="M9" s="57"/>
    </row>
    <row r="10" spans="2:13" s="45" customFormat="1" ht="18" customHeight="1">
      <c r="B10" s="273" t="s">
        <v>346</v>
      </c>
      <c r="C10" s="262"/>
      <c r="D10" s="57">
        <f>ROUND(skemA7!D18,0)</f>
        <v>0</v>
      </c>
      <c r="E10" s="57">
        <f>ROUND(skemA7!E18,0)</f>
        <v>1</v>
      </c>
      <c r="F10" s="57">
        <f>ROUND(skemA7!F18,0)</f>
        <v>1</v>
      </c>
      <c r="G10" s="57">
        <f>ROUND(skemA7!G18,0)</f>
        <v>1</v>
      </c>
      <c r="H10" s="57">
        <f>ROUND(skemA7!H18,0)</f>
        <v>1</v>
      </c>
      <c r="I10" s="57">
        <f>ROUND(skemA7!I18,0)</f>
        <v>1</v>
      </c>
      <c r="J10" s="57">
        <f>ROUND(skemA7!J18,0)</f>
        <v>1</v>
      </c>
      <c r="K10" s="57">
        <f>ROUND(skemA7!K18,0)</f>
        <v>1</v>
      </c>
      <c r="L10" s="57"/>
      <c r="M10" s="57"/>
    </row>
    <row r="11" spans="2:13" s="45" customFormat="1" ht="18" customHeight="1">
      <c r="B11" s="273" t="s">
        <v>286</v>
      </c>
      <c r="C11" s="262"/>
      <c r="D11" s="57">
        <f>ROUND(skemA7!D10,0)</f>
        <v>0</v>
      </c>
      <c r="E11" s="57">
        <f>ROUND(skemA7!E10,0)</f>
        <v>329</v>
      </c>
      <c r="F11" s="57">
        <f>ROUND(skemA7!F10,0)</f>
        <v>0</v>
      </c>
      <c r="G11" s="57">
        <f>ROUND(skemA7!G10,0)</f>
        <v>365</v>
      </c>
      <c r="H11" s="57">
        <f>ROUND(skemA7!H10,0)</f>
        <v>11</v>
      </c>
      <c r="I11" s="57">
        <f>ROUND(skemA7!I10,0)</f>
        <v>322</v>
      </c>
      <c r="J11" s="57">
        <f>ROUND(skemA7!J10,0)</f>
        <v>0</v>
      </c>
      <c r="K11" s="57">
        <f>ROUND(skemA7!K10,0)</f>
        <v>0</v>
      </c>
      <c r="L11" s="57"/>
      <c r="M11" s="57"/>
    </row>
    <row r="12" spans="2:13" s="45" customFormat="1" ht="18" customHeight="1">
      <c r="B12" s="273" t="s">
        <v>287</v>
      </c>
      <c r="C12" s="262"/>
      <c r="D12" s="57">
        <f>ROUND(skemA7!D11,0)</f>
        <v>0</v>
      </c>
      <c r="E12" s="57">
        <f>ROUND(skemA7!E11,0)</f>
        <v>314</v>
      </c>
      <c r="F12" s="57">
        <f>ROUND(skemA7!F11,0)</f>
        <v>0</v>
      </c>
      <c r="G12" s="57">
        <f>ROUND(skemA7!G11,0)</f>
        <v>186</v>
      </c>
      <c r="H12" s="57">
        <f>ROUND(skemA7!H11,0)</f>
        <v>118</v>
      </c>
      <c r="I12" s="57">
        <f>ROUND(skemA7!I11,0)</f>
        <v>196</v>
      </c>
      <c r="J12" s="57">
        <f>ROUND(skemA7!J11,0)</f>
        <v>0</v>
      </c>
      <c r="K12" s="57">
        <f>ROUND(skemA7!K11,0)</f>
        <v>0</v>
      </c>
      <c r="L12" s="57"/>
      <c r="M12" s="57"/>
    </row>
    <row r="13" spans="2:13" s="45" customFormat="1" ht="18" customHeight="1">
      <c r="B13" s="273" t="s">
        <v>288</v>
      </c>
      <c r="C13" s="262"/>
      <c r="D13" s="57">
        <f>ROUND(skemA7!D12,0)</f>
        <v>0</v>
      </c>
      <c r="E13" s="57">
        <f>ROUND(skemA7!E12,0)</f>
        <v>116</v>
      </c>
      <c r="F13" s="57">
        <f>ROUND(skemA7!F12,0)</f>
        <v>0</v>
      </c>
      <c r="G13" s="57">
        <f>ROUND(skemA7!G12,0)</f>
        <v>346</v>
      </c>
      <c r="H13" s="57">
        <f>ROUND(skemA7!H12,0)</f>
        <v>10</v>
      </c>
      <c r="I13" s="57">
        <f>ROUND(skemA7!I12,0)</f>
        <v>106</v>
      </c>
      <c r="J13" s="57">
        <f>ROUND(skemA7!J12,0)</f>
        <v>0</v>
      </c>
      <c r="K13" s="57">
        <f>ROUND(skemA7!K12,0)</f>
        <v>0</v>
      </c>
      <c r="L13" s="57"/>
      <c r="M13" s="57"/>
    </row>
    <row r="14" spans="2:13" s="45" customFormat="1" ht="18" customHeight="1">
      <c r="B14" s="273" t="s">
        <v>347</v>
      </c>
      <c r="C14" s="262"/>
      <c r="D14" s="57">
        <f>SUM(D11:D13)</f>
        <v>0</v>
      </c>
      <c r="E14" s="57">
        <f t="shared" ref="E14:K14" si="0">SUM(E11:E13)</f>
        <v>759</v>
      </c>
      <c r="F14" s="57">
        <f t="shared" si="0"/>
        <v>0</v>
      </c>
      <c r="G14" s="57">
        <f t="shared" si="0"/>
        <v>897</v>
      </c>
      <c r="H14" s="57">
        <f t="shared" si="0"/>
        <v>139</v>
      </c>
      <c r="I14" s="57">
        <f t="shared" si="0"/>
        <v>624</v>
      </c>
      <c r="J14" s="57">
        <f t="shared" si="0"/>
        <v>0</v>
      </c>
      <c r="K14" s="57">
        <f t="shared" si="0"/>
        <v>0</v>
      </c>
      <c r="L14" s="57"/>
      <c r="M14" s="57"/>
    </row>
    <row r="15" spans="2:13" s="45" customFormat="1" ht="18" customHeight="1">
      <c r="B15" s="273" t="s">
        <v>289</v>
      </c>
      <c r="C15" s="262"/>
      <c r="D15" s="57">
        <f>ROUND(skemA7!D14,0)</f>
        <v>0</v>
      </c>
      <c r="E15" s="57">
        <f>ROUND(skemA7!E14,0)</f>
        <v>-1</v>
      </c>
      <c r="F15" s="57">
        <f>ROUND(skemA7!F14,0)</f>
        <v>0</v>
      </c>
      <c r="G15" s="57">
        <f>ROUND(skemA7!G14,0)</f>
        <v>-1</v>
      </c>
      <c r="H15" s="57">
        <f>ROUND(skemA7!H14,0)</f>
        <v>-6</v>
      </c>
      <c r="I15" s="57">
        <f>ROUND(skemA7!I14,0)</f>
        <v>5</v>
      </c>
      <c r="J15" s="57">
        <f>ROUND(skemA7!J14,0)</f>
        <v>-3</v>
      </c>
      <c r="K15" s="57">
        <f>ROUND(skemA7!K14,0)</f>
        <v>-1</v>
      </c>
      <c r="L15" s="57"/>
      <c r="M15" s="57"/>
    </row>
    <row r="16" spans="2:13" s="45" customFormat="1" ht="18" customHeight="1">
      <c r="B16" s="273" t="s">
        <v>348</v>
      </c>
      <c r="C16" s="262"/>
      <c r="D16" s="57">
        <f>ROUND(skemA7!D17,0)</f>
        <v>0</v>
      </c>
      <c r="E16" s="57">
        <f>ROUND(skemA7!E17,0)</f>
        <v>0</v>
      </c>
      <c r="F16" s="57">
        <f>ROUND(skemA7!F17,0)</f>
        <v>15</v>
      </c>
      <c r="G16" s="57">
        <f>ROUND(skemA7!G17,0)</f>
        <v>10</v>
      </c>
      <c r="H16" s="57">
        <f>ROUND(skemA7!H17,0)</f>
        <v>19</v>
      </c>
      <c r="I16" s="57">
        <f>ROUND(skemA7!I17,0)</f>
        <v>0</v>
      </c>
      <c r="J16" s="57">
        <f>ROUND(skemA7!J17,0)</f>
        <v>0</v>
      </c>
      <c r="K16" s="57">
        <f>ROUND(skemA7!K17,0)</f>
        <v>15</v>
      </c>
      <c r="L16" s="57"/>
      <c r="M16" s="57"/>
    </row>
    <row r="17" spans="2:13" s="45" customFormat="1" ht="18" customHeight="1">
      <c r="B17" s="273" t="s">
        <v>349</v>
      </c>
      <c r="C17" s="262"/>
      <c r="D17" s="57">
        <f>ROUND(skemA7!D15,0)</f>
        <v>0</v>
      </c>
      <c r="E17" s="57">
        <f>ROUND(skemA7!E15,0)</f>
        <v>559</v>
      </c>
      <c r="F17" s="57">
        <f>ROUND(skemA7!F15,0)</f>
        <v>448</v>
      </c>
      <c r="G17" s="57">
        <f>ROUND(skemA7!G15,0)</f>
        <v>566</v>
      </c>
      <c r="H17" s="57">
        <f>ROUND(skemA7!H15,0)</f>
        <v>439</v>
      </c>
      <c r="I17" s="57">
        <f>ROUND(skemA7!I15,0)</f>
        <v>565</v>
      </c>
      <c r="J17" s="57">
        <f>ROUND(skemA7!J15,0)</f>
        <v>507</v>
      </c>
      <c r="K17" s="57">
        <f>ROUND(skemA7!K15,0)</f>
        <v>535</v>
      </c>
      <c r="L17" s="57"/>
      <c r="M17" s="57"/>
    </row>
    <row r="18" spans="2:13" s="45" customFormat="1" ht="18" customHeight="1">
      <c r="B18" s="273" t="s">
        <v>291</v>
      </c>
      <c r="C18" s="262"/>
      <c r="D18" s="57">
        <f>ROUND(skemA7!D16,0)</f>
        <v>0</v>
      </c>
      <c r="E18" s="57">
        <f>ROUND(skemA7!E16,0)</f>
        <v>86</v>
      </c>
      <c r="F18" s="57">
        <f>ROUND(skemA7!F16,0)</f>
        <v>215</v>
      </c>
      <c r="G18" s="57">
        <f>ROUND(skemA7!G16,0)</f>
        <v>148</v>
      </c>
      <c r="H18" s="57">
        <f>ROUND(skemA7!H16,0)</f>
        <v>284</v>
      </c>
      <c r="I18" s="57">
        <f>ROUND(skemA7!I16,0)</f>
        <v>171</v>
      </c>
      <c r="J18" s="57">
        <f>ROUND(skemA7!J16,0)</f>
        <v>60</v>
      </c>
      <c r="K18" s="57">
        <f>ROUND(skemA7!K16,0)</f>
        <v>87</v>
      </c>
      <c r="L18" s="57"/>
      <c r="M18" s="57"/>
    </row>
    <row r="19" spans="2:13" s="45" customFormat="1" ht="18" customHeight="1">
      <c r="B19" s="273" t="s">
        <v>294</v>
      </c>
      <c r="C19" s="262"/>
      <c r="D19" s="57">
        <f>ROUND(skemA7!D19,0)</f>
        <v>0</v>
      </c>
      <c r="E19" s="57">
        <f>ROUND(skemA7!E19,0)</f>
        <v>1403</v>
      </c>
      <c r="F19" s="57">
        <f>ROUND(skemA7!F19,0)</f>
        <v>678</v>
      </c>
      <c r="G19" s="57">
        <f>ROUND(skemA7!G19,0)</f>
        <v>1620</v>
      </c>
      <c r="H19" s="57">
        <f>ROUND(skemA7!H19,0)</f>
        <v>874</v>
      </c>
      <c r="I19" s="57">
        <f>ROUND(skemA7!I19,0)</f>
        <v>1365</v>
      </c>
      <c r="J19" s="57">
        <f>ROUND(skemA7!J19,0)</f>
        <v>2083</v>
      </c>
      <c r="K19" s="57">
        <f>ROUND(skemA7!K19,0)</f>
        <v>1395</v>
      </c>
      <c r="L19" s="57"/>
      <c r="M19" s="57"/>
    </row>
    <row r="20" spans="2:13" s="45" customFormat="1" ht="18" customHeight="1">
      <c r="B20" s="274" t="s">
        <v>295</v>
      </c>
      <c r="C20" s="263"/>
      <c r="D20" s="264">
        <f>ROUND(skemA7!D20,0)</f>
        <v>0</v>
      </c>
      <c r="E20" s="264">
        <f>ROUND(skemA7!E20,0)</f>
        <v>1080</v>
      </c>
      <c r="F20" s="264">
        <f>ROUND(skemA7!F20,0)</f>
        <v>360</v>
      </c>
      <c r="G20" s="264">
        <f>ROUND(skemA7!G20,0)</f>
        <v>1440</v>
      </c>
      <c r="H20" s="264">
        <f>ROUND(skemA7!H20,0)</f>
        <v>720</v>
      </c>
      <c r="I20" s="264">
        <f>ROUND(skemA7!I20,0)</f>
        <v>1080</v>
      </c>
      <c r="J20" s="264">
        <f>ROUND(skemA7!J20,0)</f>
        <v>1800</v>
      </c>
      <c r="K20" s="264">
        <f>ROUND(skemA7!K20,0)</f>
        <v>1080</v>
      </c>
      <c r="L20" s="264"/>
      <c r="M20" s="264"/>
    </row>
    <row r="21" spans="2:13" s="45" customFormat="1" ht="18" customHeight="1">
      <c r="B21" s="275" t="s">
        <v>296</v>
      </c>
      <c r="C21" s="276"/>
      <c r="D21" s="277">
        <f>ROUND(skemA7!D21,0)</f>
        <v>166</v>
      </c>
      <c r="E21" s="277">
        <f>ROUND(skemA7!E21,0)</f>
        <v>22</v>
      </c>
      <c r="F21" s="277">
        <f>ROUND(skemA7!F21,0)</f>
        <v>23</v>
      </c>
      <c r="G21" s="277">
        <f>ROUND(skemA7!G21,0)</f>
        <v>18</v>
      </c>
      <c r="H21" s="277">
        <f>ROUND(skemA7!H21,0)</f>
        <v>36</v>
      </c>
      <c r="I21" s="277">
        <f>ROUND(skemA7!I21,0)</f>
        <v>27</v>
      </c>
      <c r="J21" s="277">
        <f>ROUND(skemA7!J21,0)</f>
        <v>2</v>
      </c>
      <c r="K21" s="277">
        <f>ROUND(skemA7!K21,0)</f>
        <v>3</v>
      </c>
      <c r="L21" s="277">
        <f>ROUND(skemA7!L21,0)</f>
        <v>6</v>
      </c>
      <c r="M21" s="277">
        <f>ROUND(skemA7!M21,0)</f>
        <v>12</v>
      </c>
    </row>
    <row r="22" spans="2:13" s="45" customFormat="1" ht="18" customHeight="1">
      <c r="B22" s="278" t="s">
        <v>350</v>
      </c>
      <c r="C22" s="279"/>
      <c r="D22" s="280">
        <f>ROUND(skemA7!D22,0)</f>
        <v>0</v>
      </c>
      <c r="E22" s="280">
        <f>ROUND(skemA7!E22,0)</f>
        <v>323</v>
      </c>
      <c r="F22" s="280">
        <f>ROUND(skemA7!F22,0)</f>
        <v>318</v>
      </c>
      <c r="G22" s="280">
        <f>ROUND(skemA7!G22,0)</f>
        <v>180</v>
      </c>
      <c r="H22" s="280">
        <f>ROUND(skemA7!H22,0)</f>
        <v>154</v>
      </c>
      <c r="I22" s="280">
        <f>ROUND(skemA7!I22,0)</f>
        <v>285</v>
      </c>
      <c r="J22" s="280">
        <f>ROUND(skemA7!J22,0)</f>
        <v>283</v>
      </c>
      <c r="K22" s="280">
        <f>ROUND(skemA7!K22,0)</f>
        <v>315</v>
      </c>
      <c r="L22" s="280">
        <f>ROUND(skemA7!L22,0)</f>
        <v>318</v>
      </c>
      <c r="M22" s="280">
        <f>ROUND(skemA7!M22,0)</f>
        <v>154</v>
      </c>
    </row>
  </sheetData>
  <sheetProtection selectLockedCells="1" selectUnlockedCells="1"/>
  <phoneticPr fontId="26" type="noConversion"/>
  <printOptions horizontalCentered="1"/>
  <pageMargins left="1.2298611111111111" right="0.74791666666666667" top="1.2201388888888889" bottom="0.98402777777777772" header="0.51180555555555551" footer="0.51180555555555551"/>
  <pageSetup firstPageNumber="0"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H28"/>
  <sheetViews>
    <sheetView workbookViewId="0">
      <selection activeCell="G5" sqref="G5"/>
    </sheetView>
  </sheetViews>
  <sheetFormatPr defaultColWidth="9.140625" defaultRowHeight="14.25"/>
  <cols>
    <col min="1" max="1" width="2.85546875" style="1" customWidth="1"/>
    <col min="2" max="5" width="9.140625" style="1"/>
    <col min="6" max="6" width="3" style="43" customWidth="1"/>
    <col min="7" max="7" width="11.42578125" style="1" customWidth="1"/>
    <col min="8" max="16384" width="9.140625" style="1"/>
  </cols>
  <sheetData>
    <row r="1" spans="2:8" ht="15">
      <c r="B1" s="52" t="s">
        <v>351</v>
      </c>
    </row>
    <row r="2" spans="2:8" ht="15">
      <c r="C2" s="52" t="s">
        <v>352</v>
      </c>
    </row>
    <row r="3" spans="2:8" ht="18.75">
      <c r="B3" s="281" t="s">
        <v>353</v>
      </c>
      <c r="C3" s="127"/>
      <c r="D3" s="127"/>
      <c r="E3" s="127"/>
      <c r="F3" s="128"/>
      <c r="G3" s="127"/>
      <c r="H3" s="226"/>
    </row>
    <row r="4" spans="2:8" ht="18.75">
      <c r="B4" s="227"/>
      <c r="C4" s="1" t="s">
        <v>354</v>
      </c>
      <c r="F4" s="43" t="s">
        <v>3</v>
      </c>
      <c r="G4" s="1">
        <v>301.60000000000002</v>
      </c>
      <c r="H4" s="131"/>
    </row>
    <row r="5" spans="2:8" ht="19.5" customHeight="1">
      <c r="B5" s="227"/>
      <c r="C5" s="1" t="s">
        <v>355</v>
      </c>
      <c r="F5" s="282" t="s">
        <v>3</v>
      </c>
      <c r="G5" s="283">
        <v>-6.5</v>
      </c>
      <c r="H5" s="721" t="s">
        <v>76</v>
      </c>
    </row>
    <row r="6" spans="2:8" ht="19.5" customHeight="1">
      <c r="B6" s="227"/>
      <c r="D6" s="1" t="s">
        <v>356</v>
      </c>
      <c r="F6" s="43" t="s">
        <v>3</v>
      </c>
      <c r="G6" s="1">
        <f>SUM(G4:G5)</f>
        <v>295.10000000000002</v>
      </c>
      <c r="H6" s="721"/>
    </row>
    <row r="7" spans="2:8" ht="18.75">
      <c r="B7" s="227"/>
      <c r="C7" s="1" t="s">
        <v>357</v>
      </c>
      <c r="F7" s="43" t="s">
        <v>3</v>
      </c>
      <c r="G7" s="1">
        <v>12.5</v>
      </c>
      <c r="H7" s="131"/>
    </row>
    <row r="8" spans="2:8" ht="18.75">
      <c r="B8" s="227"/>
      <c r="C8" s="1" t="s">
        <v>357</v>
      </c>
      <c r="F8" s="43" t="s">
        <v>3</v>
      </c>
      <c r="G8" s="1">
        <v>0.216</v>
      </c>
      <c r="H8" s="131"/>
    </row>
    <row r="9" spans="2:8" ht="18.75">
      <c r="B9" s="227"/>
      <c r="C9" s="1" t="s">
        <v>358</v>
      </c>
      <c r="E9" s="284" t="s">
        <v>359</v>
      </c>
      <c r="F9" s="43" t="s">
        <v>3</v>
      </c>
      <c r="G9" s="1">
        <v>1.1870000000000001</v>
      </c>
      <c r="H9" s="131"/>
    </row>
    <row r="10" spans="2:8">
      <c r="B10" s="227"/>
      <c r="E10" s="284" t="s">
        <v>292</v>
      </c>
      <c r="F10" s="43" t="s">
        <v>3</v>
      </c>
      <c r="G10" s="1">
        <v>14.8</v>
      </c>
      <c r="H10" s="131"/>
    </row>
    <row r="11" spans="2:8">
      <c r="B11" s="227"/>
      <c r="E11" s="284" t="s">
        <v>360</v>
      </c>
      <c r="F11" s="43" t="s">
        <v>3</v>
      </c>
      <c r="G11" s="1">
        <v>0.25600000000000001</v>
      </c>
      <c r="H11" s="131"/>
    </row>
    <row r="12" spans="2:8">
      <c r="B12" s="132"/>
      <c r="C12" s="134"/>
      <c r="D12" s="134"/>
      <c r="E12" s="285" t="s">
        <v>361</v>
      </c>
      <c r="F12" s="135" t="s">
        <v>3</v>
      </c>
      <c r="G12" s="134">
        <v>1.256</v>
      </c>
      <c r="H12" s="144"/>
    </row>
    <row r="13" spans="2:8" ht="18.75">
      <c r="B13" s="281" t="s">
        <v>362</v>
      </c>
      <c r="C13" s="127"/>
      <c r="D13" s="127"/>
      <c r="E13" s="127"/>
      <c r="F13" s="128"/>
      <c r="G13" s="127"/>
      <c r="H13" s="226"/>
    </row>
    <row r="14" spans="2:8" ht="18.75">
      <c r="B14" s="227"/>
      <c r="C14" s="1" t="s">
        <v>363</v>
      </c>
      <c r="F14" s="43" t="s">
        <v>3</v>
      </c>
      <c r="G14" s="1">
        <v>603.20000000000005</v>
      </c>
      <c r="H14" s="131"/>
    </row>
    <row r="15" spans="2:8" ht="18.75">
      <c r="B15" s="227"/>
      <c r="C15" s="1" t="s">
        <v>355</v>
      </c>
      <c r="F15" s="282" t="s">
        <v>3</v>
      </c>
      <c r="G15" s="283">
        <v>-6.5</v>
      </c>
      <c r="H15" s="721" t="s">
        <v>76</v>
      </c>
    </row>
    <row r="16" spans="2:8">
      <c r="B16" s="227"/>
      <c r="D16" s="1" t="s">
        <v>364</v>
      </c>
      <c r="F16" s="43" t="s">
        <v>3</v>
      </c>
      <c r="G16" s="1">
        <f>SUM(G14:G15)</f>
        <v>596.70000000000005</v>
      </c>
      <c r="H16" s="721"/>
    </row>
    <row r="17" spans="2:8" ht="18.75">
      <c r="B17" s="227"/>
      <c r="C17" s="1" t="s">
        <v>365</v>
      </c>
      <c r="F17" s="43" t="s">
        <v>3</v>
      </c>
      <c r="G17" s="1">
        <v>18.5</v>
      </c>
      <c r="H17" s="131"/>
    </row>
    <row r="18" spans="2:8" ht="18.75">
      <c r="B18" s="227"/>
      <c r="C18" s="1" t="s">
        <v>365</v>
      </c>
      <c r="F18" s="43" t="s">
        <v>3</v>
      </c>
      <c r="G18" s="1">
        <v>-0.13600000000000001</v>
      </c>
      <c r="H18" s="131"/>
    </row>
    <row r="19" spans="2:8" ht="18.75">
      <c r="B19" s="227"/>
      <c r="C19" s="1" t="s">
        <v>366</v>
      </c>
      <c r="E19" s="284" t="s">
        <v>359</v>
      </c>
      <c r="F19" s="43" t="s">
        <v>3</v>
      </c>
      <c r="G19" s="1">
        <v>1.075</v>
      </c>
      <c r="H19" s="131"/>
    </row>
    <row r="20" spans="2:8">
      <c r="B20" s="227"/>
      <c r="E20" s="284" t="s">
        <v>292</v>
      </c>
      <c r="F20" s="43" t="s">
        <v>3</v>
      </c>
      <c r="G20" s="1">
        <v>17.2</v>
      </c>
      <c r="H20" s="131"/>
    </row>
    <row r="21" spans="2:8">
      <c r="B21" s="227"/>
      <c r="E21" s="284" t="s">
        <v>360</v>
      </c>
      <c r="F21" s="43" t="s">
        <v>3</v>
      </c>
      <c r="G21" s="1">
        <v>-0.127</v>
      </c>
      <c r="H21" s="131"/>
    </row>
    <row r="22" spans="2:8">
      <c r="B22" s="132"/>
      <c r="C22" s="134"/>
      <c r="D22" s="134"/>
      <c r="E22" s="285" t="s">
        <v>361</v>
      </c>
      <c r="F22" s="135" t="s">
        <v>3</v>
      </c>
      <c r="G22" s="134">
        <v>0.873</v>
      </c>
      <c r="H22" s="144"/>
    </row>
    <row r="23" spans="2:8" ht="18.75">
      <c r="B23" s="281" t="s">
        <v>367</v>
      </c>
      <c r="C23" s="127"/>
      <c r="D23" s="127"/>
      <c r="E23" s="127"/>
      <c r="F23" s="128"/>
      <c r="G23" s="127"/>
      <c r="H23" s="226"/>
    </row>
    <row r="24" spans="2:8" ht="18.75">
      <c r="B24" s="227"/>
      <c r="C24" s="1" t="s">
        <v>368</v>
      </c>
      <c r="F24" s="43" t="s">
        <v>3</v>
      </c>
      <c r="G24" s="1">
        <v>1489.8</v>
      </c>
      <c r="H24" s="131"/>
    </row>
    <row r="25" spans="2:8" ht="18.75">
      <c r="B25" s="227"/>
      <c r="C25" s="1" t="s">
        <v>369</v>
      </c>
      <c r="F25" s="282" t="s">
        <v>3</v>
      </c>
      <c r="G25" s="283">
        <v>-1306</v>
      </c>
      <c r="H25" s="721" t="s">
        <v>76</v>
      </c>
    </row>
    <row r="26" spans="2:8" ht="18.75">
      <c r="B26" s="227"/>
      <c r="D26" s="1" t="s">
        <v>370</v>
      </c>
      <c r="F26" s="43" t="s">
        <v>3</v>
      </c>
      <c r="G26" s="1">
        <f>SUM(G24:G25)</f>
        <v>183.79999999999995</v>
      </c>
      <c r="H26" s="721"/>
    </row>
    <row r="27" spans="2:8" ht="18.75">
      <c r="B27" s="227"/>
      <c r="C27" s="1" t="s">
        <v>371</v>
      </c>
      <c r="F27" s="43" t="s">
        <v>3</v>
      </c>
      <c r="G27" s="1">
        <v>-0.8</v>
      </c>
      <c r="H27" s="131"/>
    </row>
    <row r="28" spans="2:8" ht="18.75">
      <c r="B28" s="132"/>
      <c r="C28" s="134" t="s">
        <v>372</v>
      </c>
      <c r="D28" s="134"/>
      <c r="E28" s="134"/>
      <c r="F28" s="135" t="s">
        <v>3</v>
      </c>
      <c r="G28" s="134">
        <v>0.81699999999999995</v>
      </c>
      <c r="H28" s="144"/>
    </row>
  </sheetData>
  <sheetProtection selectLockedCells="1" selectUnlockedCells="1"/>
  <mergeCells count="3">
    <mergeCell ref="H5:H6"/>
    <mergeCell ref="H15:H16"/>
    <mergeCell ref="H25:H26"/>
  </mergeCells>
  <phoneticPr fontId="26" type="noConversion"/>
  <printOptions horizontalCentered="1"/>
  <pageMargins left="0.74791666666666667" right="0.52013888888888893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Y97"/>
  <sheetViews>
    <sheetView workbookViewId="0">
      <selection activeCell="H2" sqref="H2"/>
    </sheetView>
  </sheetViews>
  <sheetFormatPr defaultColWidth="9.140625" defaultRowHeight="14.25"/>
  <cols>
    <col min="1" max="1" width="2.85546875" style="1" customWidth="1"/>
    <col min="2" max="6" width="10" style="1" customWidth="1"/>
    <col min="7" max="7" width="9.140625" style="1"/>
    <col min="8" max="17" width="9.140625" style="43"/>
    <col min="18" max="16384" width="9.140625" style="1"/>
  </cols>
  <sheetData>
    <row r="1" spans="2:25" ht="15">
      <c r="B1" s="52" t="s">
        <v>373</v>
      </c>
    </row>
    <row r="2" spans="2:25" ht="15">
      <c r="B2" s="52"/>
      <c r="H2" s="114" t="str">
        <f>B1</f>
        <v>Tabel. 38 Daftar tangens untuk r.</v>
      </c>
    </row>
    <row r="3" spans="2:25" ht="17.25">
      <c r="B3" s="78" t="s">
        <v>374</v>
      </c>
      <c r="C3" s="680" t="s">
        <v>375</v>
      </c>
      <c r="D3" s="680"/>
      <c r="E3" s="680"/>
      <c r="F3" s="680"/>
      <c r="H3" s="286" t="s">
        <v>374</v>
      </c>
      <c r="I3" s="723" t="s">
        <v>375</v>
      </c>
      <c r="J3" s="723"/>
      <c r="K3" s="723"/>
      <c r="L3" s="723"/>
      <c r="M3" s="286" t="s">
        <v>374</v>
      </c>
      <c r="N3" s="723" t="s">
        <v>375</v>
      </c>
      <c r="O3" s="723"/>
      <c r="P3" s="723"/>
      <c r="Q3" s="723"/>
    </row>
    <row r="4" spans="2:25">
      <c r="B4" s="79">
        <v>0</v>
      </c>
      <c r="C4" s="79">
        <v>0</v>
      </c>
      <c r="D4" s="79">
        <v>180</v>
      </c>
      <c r="E4" s="79">
        <v>180</v>
      </c>
      <c r="F4" s="79">
        <v>360</v>
      </c>
      <c r="H4" s="287">
        <f>B4</f>
        <v>0</v>
      </c>
      <c r="I4" s="111">
        <f>C4</f>
        <v>0</v>
      </c>
      <c r="J4" s="111">
        <f>D4</f>
        <v>180</v>
      </c>
      <c r="K4" s="111">
        <f>E4</f>
        <v>180</v>
      </c>
      <c r="L4" s="288">
        <f>F4</f>
        <v>360</v>
      </c>
      <c r="M4" s="287">
        <f>B51</f>
        <v>1.0720000000000001</v>
      </c>
      <c r="N4" s="111">
        <f>C51</f>
        <v>47</v>
      </c>
      <c r="O4" s="111">
        <f>D51</f>
        <v>133</v>
      </c>
      <c r="P4" s="111">
        <f>E51</f>
        <v>227</v>
      </c>
      <c r="Q4" s="288">
        <f>F51</f>
        <v>313</v>
      </c>
      <c r="X4" s="722">
        <f>B5-B4</f>
        <v>1.7000000000000001E-2</v>
      </c>
    </row>
    <row r="5" spans="2:25">
      <c r="B5" s="80">
        <v>1.7000000000000001E-2</v>
      </c>
      <c r="C5" s="80">
        <v>1</v>
      </c>
      <c r="D5" s="80">
        <v>179</v>
      </c>
      <c r="E5" s="80">
        <v>181</v>
      </c>
      <c r="F5" s="80">
        <v>359</v>
      </c>
      <c r="H5" s="289">
        <f t="shared" ref="H5:H36" si="0">B5</f>
        <v>1.7000000000000001E-2</v>
      </c>
      <c r="I5" s="80">
        <f t="shared" ref="I5:I37" si="1">C5</f>
        <v>1</v>
      </c>
      <c r="J5" s="80">
        <f t="shared" ref="J5:J37" si="2">D5</f>
        <v>179</v>
      </c>
      <c r="K5" s="80">
        <f t="shared" ref="K5:K37" si="3">E5</f>
        <v>181</v>
      </c>
      <c r="L5" s="290">
        <f t="shared" ref="L5:L37" si="4">F5</f>
        <v>359</v>
      </c>
      <c r="M5" s="289">
        <f t="shared" ref="M5:M50" si="5">B52</f>
        <v>1.111</v>
      </c>
      <c r="N5" s="80">
        <f t="shared" ref="N5:N50" si="6">C52</f>
        <v>48</v>
      </c>
      <c r="O5" s="80">
        <f t="shared" ref="O5:O50" si="7">D52</f>
        <v>132</v>
      </c>
      <c r="P5" s="80">
        <f t="shared" ref="P5:P50" si="8">E52</f>
        <v>228</v>
      </c>
      <c r="Q5" s="290">
        <f t="shared" ref="Q5:Q50" si="9">F52</f>
        <v>312</v>
      </c>
      <c r="X5" s="722"/>
      <c r="Y5" s="722">
        <f>B6-B5</f>
        <v>1.8000000000000002E-2</v>
      </c>
    </row>
    <row r="6" spans="2:25">
      <c r="B6" s="80">
        <v>3.5000000000000003E-2</v>
      </c>
      <c r="C6" s="80">
        <v>2</v>
      </c>
      <c r="D6" s="80">
        <v>178</v>
      </c>
      <c r="E6" s="80">
        <v>182</v>
      </c>
      <c r="F6" s="80">
        <v>358</v>
      </c>
      <c r="H6" s="289">
        <f t="shared" si="0"/>
        <v>3.5000000000000003E-2</v>
      </c>
      <c r="I6" s="80">
        <f t="shared" si="1"/>
        <v>2</v>
      </c>
      <c r="J6" s="80">
        <f t="shared" si="2"/>
        <v>178</v>
      </c>
      <c r="K6" s="80">
        <f t="shared" si="3"/>
        <v>182</v>
      </c>
      <c r="L6" s="290">
        <f t="shared" si="4"/>
        <v>358</v>
      </c>
      <c r="M6" s="289">
        <f t="shared" si="5"/>
        <v>1.1499999999999999</v>
      </c>
      <c r="N6" s="80">
        <f t="shared" si="6"/>
        <v>49</v>
      </c>
      <c r="O6" s="80">
        <f t="shared" si="7"/>
        <v>131</v>
      </c>
      <c r="P6" s="80">
        <f t="shared" si="8"/>
        <v>229</v>
      </c>
      <c r="Q6" s="290">
        <f t="shared" si="9"/>
        <v>311</v>
      </c>
      <c r="X6" s="722">
        <f>B7-B6</f>
        <v>1.6999999999999994E-2</v>
      </c>
      <c r="Y6" s="722"/>
    </row>
    <row r="7" spans="2:25">
      <c r="B7" s="80">
        <v>5.1999999999999998E-2</v>
      </c>
      <c r="C7" s="80">
        <v>3</v>
      </c>
      <c r="D7" s="80">
        <v>177</v>
      </c>
      <c r="E7" s="80">
        <v>183</v>
      </c>
      <c r="F7" s="80">
        <v>357</v>
      </c>
      <c r="H7" s="289">
        <f t="shared" si="0"/>
        <v>5.1999999999999998E-2</v>
      </c>
      <c r="I7" s="80">
        <f t="shared" si="1"/>
        <v>3</v>
      </c>
      <c r="J7" s="80">
        <f t="shared" si="2"/>
        <v>177</v>
      </c>
      <c r="K7" s="80">
        <f t="shared" si="3"/>
        <v>183</v>
      </c>
      <c r="L7" s="290">
        <f t="shared" si="4"/>
        <v>357</v>
      </c>
      <c r="M7" s="289">
        <f t="shared" si="5"/>
        <v>1.1919999999999999</v>
      </c>
      <c r="N7" s="80">
        <f t="shared" si="6"/>
        <v>50</v>
      </c>
      <c r="O7" s="80">
        <f t="shared" si="7"/>
        <v>130</v>
      </c>
      <c r="P7" s="80">
        <f t="shared" si="8"/>
        <v>230</v>
      </c>
      <c r="Q7" s="290">
        <f t="shared" si="9"/>
        <v>310</v>
      </c>
      <c r="X7" s="722"/>
      <c r="Y7" s="722">
        <f>B8-B7</f>
        <v>1.8000000000000009E-2</v>
      </c>
    </row>
    <row r="8" spans="2:25">
      <c r="B8" s="80">
        <v>7.0000000000000007E-2</v>
      </c>
      <c r="C8" s="80">
        <v>4</v>
      </c>
      <c r="D8" s="80">
        <v>176</v>
      </c>
      <c r="E8" s="80">
        <v>184</v>
      </c>
      <c r="F8" s="80">
        <v>356</v>
      </c>
      <c r="H8" s="289">
        <f t="shared" si="0"/>
        <v>7.0000000000000007E-2</v>
      </c>
      <c r="I8" s="80">
        <f t="shared" si="1"/>
        <v>4</v>
      </c>
      <c r="J8" s="80">
        <f t="shared" si="2"/>
        <v>176</v>
      </c>
      <c r="K8" s="80">
        <f t="shared" si="3"/>
        <v>184</v>
      </c>
      <c r="L8" s="290">
        <f t="shared" si="4"/>
        <v>356</v>
      </c>
      <c r="M8" s="289">
        <f t="shared" si="5"/>
        <v>1.2350000000000001</v>
      </c>
      <c r="N8" s="80">
        <f t="shared" si="6"/>
        <v>51</v>
      </c>
      <c r="O8" s="80">
        <f t="shared" si="7"/>
        <v>129</v>
      </c>
      <c r="P8" s="80">
        <f t="shared" si="8"/>
        <v>231</v>
      </c>
      <c r="Q8" s="290">
        <f t="shared" si="9"/>
        <v>309</v>
      </c>
      <c r="X8" s="722">
        <f>B9-B8</f>
        <v>1.6999999999999987E-2</v>
      </c>
      <c r="Y8" s="722"/>
    </row>
    <row r="9" spans="2:25">
      <c r="B9" s="80">
        <v>8.6999999999999994E-2</v>
      </c>
      <c r="C9" s="80">
        <v>5</v>
      </c>
      <c r="D9" s="80">
        <v>175</v>
      </c>
      <c r="E9" s="80">
        <v>185</v>
      </c>
      <c r="F9" s="80">
        <v>355</v>
      </c>
      <c r="H9" s="289">
        <f t="shared" si="0"/>
        <v>8.6999999999999994E-2</v>
      </c>
      <c r="I9" s="80">
        <f t="shared" si="1"/>
        <v>5</v>
      </c>
      <c r="J9" s="80">
        <f t="shared" si="2"/>
        <v>175</v>
      </c>
      <c r="K9" s="80">
        <f t="shared" si="3"/>
        <v>185</v>
      </c>
      <c r="L9" s="290">
        <f t="shared" si="4"/>
        <v>355</v>
      </c>
      <c r="M9" s="289">
        <f t="shared" si="5"/>
        <v>1.28</v>
      </c>
      <c r="N9" s="80">
        <f t="shared" si="6"/>
        <v>52</v>
      </c>
      <c r="O9" s="80">
        <f t="shared" si="7"/>
        <v>128</v>
      </c>
      <c r="P9" s="80">
        <f t="shared" si="8"/>
        <v>232</v>
      </c>
      <c r="Q9" s="290">
        <f t="shared" si="9"/>
        <v>308</v>
      </c>
      <c r="X9" s="722"/>
      <c r="Y9" s="722">
        <f t="shared" ref="Y9:Y71" si="10">B10-B9</f>
        <v>1.8000000000000002E-2</v>
      </c>
    </row>
    <row r="10" spans="2:25">
      <c r="B10" s="80">
        <v>0.105</v>
      </c>
      <c r="C10" s="80">
        <v>6</v>
      </c>
      <c r="D10" s="80">
        <v>174</v>
      </c>
      <c r="E10" s="80">
        <v>186</v>
      </c>
      <c r="F10" s="80">
        <v>354</v>
      </c>
      <c r="H10" s="289">
        <f t="shared" si="0"/>
        <v>0.105</v>
      </c>
      <c r="I10" s="80">
        <f t="shared" si="1"/>
        <v>6</v>
      </c>
      <c r="J10" s="80">
        <f t="shared" si="2"/>
        <v>174</v>
      </c>
      <c r="K10" s="80">
        <f t="shared" si="3"/>
        <v>186</v>
      </c>
      <c r="L10" s="290">
        <f t="shared" si="4"/>
        <v>354</v>
      </c>
      <c r="M10" s="289">
        <f t="shared" si="5"/>
        <v>1.327</v>
      </c>
      <c r="N10" s="80">
        <f t="shared" si="6"/>
        <v>53</v>
      </c>
      <c r="O10" s="80">
        <f t="shared" si="7"/>
        <v>127</v>
      </c>
      <c r="P10" s="80">
        <f t="shared" si="8"/>
        <v>233</v>
      </c>
      <c r="Q10" s="290">
        <f t="shared" si="9"/>
        <v>307</v>
      </c>
      <c r="X10" s="722">
        <f>B11-B10</f>
        <v>1.8000000000000002E-2</v>
      </c>
      <c r="Y10" s="722"/>
    </row>
    <row r="11" spans="2:25">
      <c r="B11" s="80">
        <v>0.123</v>
      </c>
      <c r="C11" s="80">
        <v>7</v>
      </c>
      <c r="D11" s="80">
        <v>173</v>
      </c>
      <c r="E11" s="80">
        <v>187</v>
      </c>
      <c r="F11" s="80">
        <v>353</v>
      </c>
      <c r="H11" s="289">
        <f t="shared" si="0"/>
        <v>0.123</v>
      </c>
      <c r="I11" s="80">
        <f t="shared" si="1"/>
        <v>7</v>
      </c>
      <c r="J11" s="80">
        <f t="shared" si="2"/>
        <v>173</v>
      </c>
      <c r="K11" s="80">
        <f t="shared" si="3"/>
        <v>187</v>
      </c>
      <c r="L11" s="290">
        <f t="shared" si="4"/>
        <v>353</v>
      </c>
      <c r="M11" s="289">
        <f t="shared" si="5"/>
        <v>1.3759999999999999</v>
      </c>
      <c r="N11" s="80">
        <f t="shared" si="6"/>
        <v>54</v>
      </c>
      <c r="O11" s="80">
        <f t="shared" si="7"/>
        <v>126</v>
      </c>
      <c r="P11" s="80">
        <f t="shared" si="8"/>
        <v>234</v>
      </c>
      <c r="Q11" s="290">
        <f t="shared" si="9"/>
        <v>306</v>
      </c>
      <c r="X11" s="722"/>
      <c r="Y11" s="722">
        <f t="shared" si="10"/>
        <v>1.7999999999999988E-2</v>
      </c>
    </row>
    <row r="12" spans="2:25">
      <c r="B12" s="80">
        <v>0.14099999999999999</v>
      </c>
      <c r="C12" s="80">
        <v>8</v>
      </c>
      <c r="D12" s="80">
        <v>172</v>
      </c>
      <c r="E12" s="80">
        <v>188</v>
      </c>
      <c r="F12" s="80">
        <v>352</v>
      </c>
      <c r="H12" s="289">
        <f t="shared" si="0"/>
        <v>0.14099999999999999</v>
      </c>
      <c r="I12" s="80">
        <f t="shared" si="1"/>
        <v>8</v>
      </c>
      <c r="J12" s="80">
        <f t="shared" si="2"/>
        <v>172</v>
      </c>
      <c r="K12" s="80">
        <f t="shared" si="3"/>
        <v>188</v>
      </c>
      <c r="L12" s="290">
        <f t="shared" si="4"/>
        <v>352</v>
      </c>
      <c r="M12" s="289">
        <f t="shared" si="5"/>
        <v>1.4279999999999999</v>
      </c>
      <c r="N12" s="80">
        <f t="shared" si="6"/>
        <v>55</v>
      </c>
      <c r="O12" s="80">
        <f t="shared" si="7"/>
        <v>125</v>
      </c>
      <c r="P12" s="80">
        <f t="shared" si="8"/>
        <v>235</v>
      </c>
      <c r="Q12" s="290">
        <f t="shared" si="9"/>
        <v>305</v>
      </c>
      <c r="X12" s="722">
        <f>B13-B12</f>
        <v>-2.9999999999999749E-3</v>
      </c>
      <c r="Y12" s="722"/>
    </row>
    <row r="13" spans="2:25">
      <c r="B13" s="80">
        <v>0.13800000000000001</v>
      </c>
      <c r="C13" s="80">
        <v>9</v>
      </c>
      <c r="D13" s="80">
        <v>171</v>
      </c>
      <c r="E13" s="80">
        <v>189</v>
      </c>
      <c r="F13" s="80">
        <v>351</v>
      </c>
      <c r="H13" s="289">
        <f t="shared" si="0"/>
        <v>0.13800000000000001</v>
      </c>
      <c r="I13" s="80">
        <f t="shared" si="1"/>
        <v>9</v>
      </c>
      <c r="J13" s="80">
        <f t="shared" si="2"/>
        <v>171</v>
      </c>
      <c r="K13" s="80">
        <f t="shared" si="3"/>
        <v>189</v>
      </c>
      <c r="L13" s="290">
        <f t="shared" si="4"/>
        <v>351</v>
      </c>
      <c r="M13" s="289">
        <f t="shared" si="5"/>
        <v>1.4830000000000001</v>
      </c>
      <c r="N13" s="80">
        <f t="shared" si="6"/>
        <v>56</v>
      </c>
      <c r="O13" s="80">
        <f t="shared" si="7"/>
        <v>124</v>
      </c>
      <c r="P13" s="80">
        <f t="shared" si="8"/>
        <v>236</v>
      </c>
      <c r="Q13" s="290">
        <f t="shared" si="9"/>
        <v>304</v>
      </c>
      <c r="X13" s="722"/>
      <c r="Y13" s="722">
        <f t="shared" si="10"/>
        <v>3.7999999999999978E-2</v>
      </c>
    </row>
    <row r="14" spans="2:25">
      <c r="B14" s="80">
        <v>0.17599999999999999</v>
      </c>
      <c r="C14" s="80">
        <v>10</v>
      </c>
      <c r="D14" s="80">
        <v>170</v>
      </c>
      <c r="E14" s="80">
        <v>190</v>
      </c>
      <c r="F14" s="80">
        <v>350</v>
      </c>
      <c r="H14" s="289">
        <f t="shared" si="0"/>
        <v>0.17599999999999999</v>
      </c>
      <c r="I14" s="80">
        <f t="shared" si="1"/>
        <v>10</v>
      </c>
      <c r="J14" s="80">
        <f t="shared" si="2"/>
        <v>170</v>
      </c>
      <c r="K14" s="80">
        <f t="shared" si="3"/>
        <v>190</v>
      </c>
      <c r="L14" s="290">
        <f t="shared" si="4"/>
        <v>350</v>
      </c>
      <c r="M14" s="289">
        <f t="shared" si="5"/>
        <v>1.54</v>
      </c>
      <c r="N14" s="80">
        <f t="shared" si="6"/>
        <v>57</v>
      </c>
      <c r="O14" s="80">
        <f t="shared" si="7"/>
        <v>123</v>
      </c>
      <c r="P14" s="80">
        <f t="shared" si="8"/>
        <v>237</v>
      </c>
      <c r="Q14" s="290">
        <f t="shared" si="9"/>
        <v>303</v>
      </c>
      <c r="X14" s="722">
        <f>B15-B14</f>
        <v>1.8000000000000016E-2</v>
      </c>
      <c r="Y14" s="722"/>
    </row>
    <row r="15" spans="2:25">
      <c r="B15" s="80">
        <v>0.19400000000000001</v>
      </c>
      <c r="C15" s="80">
        <v>11</v>
      </c>
      <c r="D15" s="80">
        <v>169</v>
      </c>
      <c r="E15" s="80">
        <v>191</v>
      </c>
      <c r="F15" s="80">
        <v>349</v>
      </c>
      <c r="H15" s="289">
        <f t="shared" si="0"/>
        <v>0.19400000000000001</v>
      </c>
      <c r="I15" s="80">
        <f t="shared" si="1"/>
        <v>11</v>
      </c>
      <c r="J15" s="80">
        <f t="shared" si="2"/>
        <v>169</v>
      </c>
      <c r="K15" s="80">
        <f t="shared" si="3"/>
        <v>191</v>
      </c>
      <c r="L15" s="290">
        <f t="shared" si="4"/>
        <v>349</v>
      </c>
      <c r="M15" s="289">
        <f t="shared" si="5"/>
        <v>1.6</v>
      </c>
      <c r="N15" s="80">
        <f t="shared" si="6"/>
        <v>58</v>
      </c>
      <c r="O15" s="80">
        <f t="shared" si="7"/>
        <v>122</v>
      </c>
      <c r="P15" s="80">
        <f t="shared" si="8"/>
        <v>238</v>
      </c>
      <c r="Q15" s="290">
        <f t="shared" si="9"/>
        <v>302</v>
      </c>
      <c r="X15" s="722"/>
      <c r="Y15" s="722">
        <f t="shared" si="10"/>
        <v>1.8999999999999989E-2</v>
      </c>
    </row>
    <row r="16" spans="2:25">
      <c r="B16" s="80">
        <v>0.21299999999999999</v>
      </c>
      <c r="C16" s="80">
        <v>12</v>
      </c>
      <c r="D16" s="80">
        <v>168</v>
      </c>
      <c r="E16" s="80">
        <v>192</v>
      </c>
      <c r="F16" s="80">
        <v>348</v>
      </c>
      <c r="H16" s="289">
        <f t="shared" si="0"/>
        <v>0.21299999999999999</v>
      </c>
      <c r="I16" s="80">
        <f t="shared" si="1"/>
        <v>12</v>
      </c>
      <c r="J16" s="80">
        <f t="shared" si="2"/>
        <v>168</v>
      </c>
      <c r="K16" s="80">
        <f t="shared" si="3"/>
        <v>192</v>
      </c>
      <c r="L16" s="290">
        <f t="shared" si="4"/>
        <v>348</v>
      </c>
      <c r="M16" s="289">
        <f t="shared" si="5"/>
        <v>1.6639999999999999</v>
      </c>
      <c r="N16" s="80">
        <f t="shared" si="6"/>
        <v>59</v>
      </c>
      <c r="O16" s="80">
        <f t="shared" si="7"/>
        <v>121</v>
      </c>
      <c r="P16" s="80">
        <f t="shared" si="8"/>
        <v>239</v>
      </c>
      <c r="Q16" s="290">
        <f t="shared" si="9"/>
        <v>301</v>
      </c>
      <c r="X16" s="722">
        <f>B17-B16</f>
        <v>1.8000000000000016E-2</v>
      </c>
      <c r="Y16" s="722"/>
    </row>
    <row r="17" spans="2:25">
      <c r="B17" s="80">
        <v>0.23100000000000001</v>
      </c>
      <c r="C17" s="80">
        <v>13</v>
      </c>
      <c r="D17" s="80">
        <v>167</v>
      </c>
      <c r="E17" s="80">
        <v>193</v>
      </c>
      <c r="F17" s="80">
        <v>347</v>
      </c>
      <c r="H17" s="289">
        <f t="shared" si="0"/>
        <v>0.23100000000000001</v>
      </c>
      <c r="I17" s="80">
        <f t="shared" si="1"/>
        <v>13</v>
      </c>
      <c r="J17" s="80">
        <f t="shared" si="2"/>
        <v>167</v>
      </c>
      <c r="K17" s="80">
        <f t="shared" si="3"/>
        <v>193</v>
      </c>
      <c r="L17" s="290">
        <f t="shared" si="4"/>
        <v>347</v>
      </c>
      <c r="M17" s="289">
        <f t="shared" si="5"/>
        <v>1.732</v>
      </c>
      <c r="N17" s="80">
        <f t="shared" si="6"/>
        <v>60</v>
      </c>
      <c r="O17" s="80">
        <f t="shared" si="7"/>
        <v>120</v>
      </c>
      <c r="P17" s="80">
        <f t="shared" si="8"/>
        <v>240</v>
      </c>
      <c r="Q17" s="290">
        <f t="shared" si="9"/>
        <v>300</v>
      </c>
      <c r="X17" s="722"/>
      <c r="Y17" s="722">
        <f t="shared" si="10"/>
        <v>1.7999999999999988E-2</v>
      </c>
    </row>
    <row r="18" spans="2:25">
      <c r="B18" s="80">
        <v>0.249</v>
      </c>
      <c r="C18" s="80">
        <v>14</v>
      </c>
      <c r="D18" s="80">
        <v>166</v>
      </c>
      <c r="E18" s="80">
        <v>194</v>
      </c>
      <c r="F18" s="80">
        <v>346</v>
      </c>
      <c r="H18" s="289">
        <f t="shared" si="0"/>
        <v>0.249</v>
      </c>
      <c r="I18" s="80">
        <f t="shared" si="1"/>
        <v>14</v>
      </c>
      <c r="J18" s="80">
        <f t="shared" si="2"/>
        <v>166</v>
      </c>
      <c r="K18" s="80">
        <f t="shared" si="3"/>
        <v>194</v>
      </c>
      <c r="L18" s="290">
        <f t="shared" si="4"/>
        <v>346</v>
      </c>
      <c r="M18" s="289">
        <f t="shared" si="5"/>
        <v>1.804</v>
      </c>
      <c r="N18" s="80">
        <f t="shared" si="6"/>
        <v>61</v>
      </c>
      <c r="O18" s="80">
        <f t="shared" si="7"/>
        <v>119</v>
      </c>
      <c r="P18" s="80">
        <f t="shared" si="8"/>
        <v>241</v>
      </c>
      <c r="Q18" s="290">
        <f t="shared" si="9"/>
        <v>299</v>
      </c>
      <c r="X18" s="722">
        <f>B19-B18</f>
        <v>1.9000000000000017E-2</v>
      </c>
      <c r="Y18" s="722"/>
    </row>
    <row r="19" spans="2:25">
      <c r="B19" s="80">
        <v>0.26800000000000002</v>
      </c>
      <c r="C19" s="80">
        <v>15</v>
      </c>
      <c r="D19" s="80">
        <v>165</v>
      </c>
      <c r="E19" s="80">
        <v>195</v>
      </c>
      <c r="F19" s="80">
        <v>345</v>
      </c>
      <c r="H19" s="289">
        <f t="shared" si="0"/>
        <v>0.26800000000000002</v>
      </c>
      <c r="I19" s="80">
        <f t="shared" si="1"/>
        <v>15</v>
      </c>
      <c r="J19" s="80">
        <f t="shared" si="2"/>
        <v>165</v>
      </c>
      <c r="K19" s="80">
        <f t="shared" si="3"/>
        <v>195</v>
      </c>
      <c r="L19" s="290">
        <f t="shared" si="4"/>
        <v>345</v>
      </c>
      <c r="M19" s="289">
        <f t="shared" si="5"/>
        <v>1.881</v>
      </c>
      <c r="N19" s="80">
        <f t="shared" si="6"/>
        <v>62</v>
      </c>
      <c r="O19" s="80">
        <f t="shared" si="7"/>
        <v>118</v>
      </c>
      <c r="P19" s="80">
        <f t="shared" si="8"/>
        <v>242</v>
      </c>
      <c r="Q19" s="290">
        <f t="shared" si="9"/>
        <v>298</v>
      </c>
      <c r="X19" s="722"/>
      <c r="Y19" s="722">
        <f t="shared" si="10"/>
        <v>1.8999999999999961E-2</v>
      </c>
    </row>
    <row r="20" spans="2:25">
      <c r="B20" s="80">
        <v>0.28699999999999998</v>
      </c>
      <c r="C20" s="80">
        <v>16</v>
      </c>
      <c r="D20" s="80">
        <v>164</v>
      </c>
      <c r="E20" s="80">
        <v>196</v>
      </c>
      <c r="F20" s="80">
        <v>344</v>
      </c>
      <c r="H20" s="289">
        <f t="shared" si="0"/>
        <v>0.28699999999999998</v>
      </c>
      <c r="I20" s="80">
        <f t="shared" si="1"/>
        <v>16</v>
      </c>
      <c r="J20" s="80">
        <f t="shared" si="2"/>
        <v>164</v>
      </c>
      <c r="K20" s="80">
        <f t="shared" si="3"/>
        <v>196</v>
      </c>
      <c r="L20" s="290">
        <f t="shared" si="4"/>
        <v>344</v>
      </c>
      <c r="M20" s="289">
        <f t="shared" si="5"/>
        <v>1.9630000000000001</v>
      </c>
      <c r="N20" s="80">
        <f t="shared" si="6"/>
        <v>63</v>
      </c>
      <c r="O20" s="80">
        <f t="shared" si="7"/>
        <v>117</v>
      </c>
      <c r="P20" s="80">
        <f t="shared" si="8"/>
        <v>243</v>
      </c>
      <c r="Q20" s="290">
        <f t="shared" si="9"/>
        <v>297</v>
      </c>
      <c r="X20" s="722">
        <f>B21-B20</f>
        <v>1.9000000000000017E-2</v>
      </c>
      <c r="Y20" s="722"/>
    </row>
    <row r="21" spans="2:25">
      <c r="B21" s="80">
        <v>0.30599999999999999</v>
      </c>
      <c r="C21" s="80">
        <v>17</v>
      </c>
      <c r="D21" s="80">
        <v>163</v>
      </c>
      <c r="E21" s="80">
        <v>197</v>
      </c>
      <c r="F21" s="80">
        <v>343</v>
      </c>
      <c r="H21" s="289">
        <f t="shared" si="0"/>
        <v>0.30599999999999999</v>
      </c>
      <c r="I21" s="80">
        <f t="shared" si="1"/>
        <v>17</v>
      </c>
      <c r="J21" s="80">
        <f t="shared" si="2"/>
        <v>163</v>
      </c>
      <c r="K21" s="80">
        <f t="shared" si="3"/>
        <v>197</v>
      </c>
      <c r="L21" s="290">
        <f t="shared" si="4"/>
        <v>343</v>
      </c>
      <c r="M21" s="289">
        <f t="shared" si="5"/>
        <v>2.0499999999999998</v>
      </c>
      <c r="N21" s="80">
        <f t="shared" si="6"/>
        <v>64</v>
      </c>
      <c r="O21" s="80">
        <f t="shared" si="7"/>
        <v>116</v>
      </c>
      <c r="P21" s="80">
        <f t="shared" si="8"/>
        <v>244</v>
      </c>
      <c r="Q21" s="290">
        <f t="shared" si="9"/>
        <v>296</v>
      </c>
      <c r="X21" s="722"/>
      <c r="Y21" s="722">
        <f t="shared" si="10"/>
        <v>1.9000000000000017E-2</v>
      </c>
    </row>
    <row r="22" spans="2:25">
      <c r="B22" s="80">
        <v>0.32500000000000001</v>
      </c>
      <c r="C22" s="80">
        <v>18</v>
      </c>
      <c r="D22" s="80">
        <v>162</v>
      </c>
      <c r="E22" s="80">
        <v>198</v>
      </c>
      <c r="F22" s="80">
        <v>342</v>
      </c>
      <c r="H22" s="289">
        <f t="shared" si="0"/>
        <v>0.32500000000000001</v>
      </c>
      <c r="I22" s="80">
        <f t="shared" si="1"/>
        <v>18</v>
      </c>
      <c r="J22" s="80">
        <f t="shared" si="2"/>
        <v>162</v>
      </c>
      <c r="K22" s="80">
        <f t="shared" si="3"/>
        <v>198</v>
      </c>
      <c r="L22" s="290">
        <f t="shared" si="4"/>
        <v>342</v>
      </c>
      <c r="M22" s="289">
        <f t="shared" si="5"/>
        <v>2.14</v>
      </c>
      <c r="N22" s="80">
        <f t="shared" si="6"/>
        <v>65</v>
      </c>
      <c r="O22" s="80">
        <f t="shared" si="7"/>
        <v>115</v>
      </c>
      <c r="P22" s="80">
        <f t="shared" si="8"/>
        <v>245</v>
      </c>
      <c r="Q22" s="290">
        <f t="shared" si="9"/>
        <v>295</v>
      </c>
      <c r="X22" s="722">
        <f>B23-B22</f>
        <v>1.8999999999999961E-2</v>
      </c>
      <c r="Y22" s="722"/>
    </row>
    <row r="23" spans="2:25">
      <c r="B23" s="80">
        <v>0.34399999999999997</v>
      </c>
      <c r="C23" s="80">
        <v>19</v>
      </c>
      <c r="D23" s="80">
        <v>161</v>
      </c>
      <c r="E23" s="80">
        <v>199</v>
      </c>
      <c r="F23" s="80">
        <v>341</v>
      </c>
      <c r="H23" s="289">
        <f t="shared" si="0"/>
        <v>0.34399999999999997</v>
      </c>
      <c r="I23" s="80">
        <f t="shared" si="1"/>
        <v>19</v>
      </c>
      <c r="J23" s="80">
        <f t="shared" si="2"/>
        <v>161</v>
      </c>
      <c r="K23" s="80">
        <f t="shared" si="3"/>
        <v>199</v>
      </c>
      <c r="L23" s="290">
        <f t="shared" si="4"/>
        <v>341</v>
      </c>
      <c r="M23" s="289">
        <f t="shared" si="5"/>
        <v>2.25</v>
      </c>
      <c r="N23" s="80">
        <f t="shared" si="6"/>
        <v>66</v>
      </c>
      <c r="O23" s="80">
        <f t="shared" si="7"/>
        <v>114</v>
      </c>
      <c r="P23" s="80">
        <f t="shared" si="8"/>
        <v>246</v>
      </c>
      <c r="Q23" s="290">
        <f t="shared" si="9"/>
        <v>294</v>
      </c>
      <c r="X23" s="722"/>
      <c r="Y23" s="722">
        <f t="shared" si="10"/>
        <v>2.0000000000000018E-2</v>
      </c>
    </row>
    <row r="24" spans="2:25">
      <c r="B24" s="80">
        <v>0.36399999999999999</v>
      </c>
      <c r="C24" s="80">
        <v>20</v>
      </c>
      <c r="D24" s="80">
        <v>160</v>
      </c>
      <c r="E24" s="80">
        <v>200</v>
      </c>
      <c r="F24" s="80">
        <v>340</v>
      </c>
      <c r="H24" s="289">
        <f t="shared" si="0"/>
        <v>0.36399999999999999</v>
      </c>
      <c r="I24" s="80">
        <f t="shared" si="1"/>
        <v>20</v>
      </c>
      <c r="J24" s="80">
        <f t="shared" si="2"/>
        <v>160</v>
      </c>
      <c r="K24" s="80">
        <f t="shared" si="3"/>
        <v>200</v>
      </c>
      <c r="L24" s="290">
        <f t="shared" si="4"/>
        <v>340</v>
      </c>
      <c r="M24" s="289">
        <f t="shared" si="5"/>
        <v>2.36</v>
      </c>
      <c r="N24" s="80">
        <f t="shared" si="6"/>
        <v>67</v>
      </c>
      <c r="O24" s="80">
        <f t="shared" si="7"/>
        <v>113</v>
      </c>
      <c r="P24" s="80">
        <f t="shared" si="8"/>
        <v>247</v>
      </c>
      <c r="Q24" s="290">
        <f t="shared" si="9"/>
        <v>293</v>
      </c>
      <c r="X24" s="722">
        <f>B25-B24</f>
        <v>2.0000000000000018E-2</v>
      </c>
      <c r="Y24" s="722"/>
    </row>
    <row r="25" spans="2:25">
      <c r="B25" s="80">
        <v>0.38400000000000001</v>
      </c>
      <c r="C25" s="80">
        <v>21</v>
      </c>
      <c r="D25" s="80">
        <v>159</v>
      </c>
      <c r="E25" s="80">
        <v>201</v>
      </c>
      <c r="F25" s="80">
        <v>339</v>
      </c>
      <c r="H25" s="289">
        <f t="shared" si="0"/>
        <v>0.38400000000000001</v>
      </c>
      <c r="I25" s="80">
        <f t="shared" si="1"/>
        <v>21</v>
      </c>
      <c r="J25" s="80">
        <f t="shared" si="2"/>
        <v>159</v>
      </c>
      <c r="K25" s="80">
        <f t="shared" si="3"/>
        <v>201</v>
      </c>
      <c r="L25" s="290">
        <f t="shared" si="4"/>
        <v>339</v>
      </c>
      <c r="M25" s="289">
        <f t="shared" si="5"/>
        <v>2.48</v>
      </c>
      <c r="N25" s="80">
        <f t="shared" si="6"/>
        <v>68</v>
      </c>
      <c r="O25" s="80">
        <f t="shared" si="7"/>
        <v>112</v>
      </c>
      <c r="P25" s="80">
        <f t="shared" si="8"/>
        <v>248</v>
      </c>
      <c r="Q25" s="290">
        <f t="shared" si="9"/>
        <v>292</v>
      </c>
      <c r="X25" s="722"/>
      <c r="Y25" s="722">
        <f t="shared" si="10"/>
        <v>2.0000000000000018E-2</v>
      </c>
    </row>
    <row r="26" spans="2:25">
      <c r="B26" s="80">
        <v>0.40400000000000003</v>
      </c>
      <c r="C26" s="80">
        <v>22</v>
      </c>
      <c r="D26" s="80">
        <v>158</v>
      </c>
      <c r="E26" s="80">
        <v>202</v>
      </c>
      <c r="F26" s="80">
        <v>338</v>
      </c>
      <c r="H26" s="289">
        <f t="shared" si="0"/>
        <v>0.40400000000000003</v>
      </c>
      <c r="I26" s="80">
        <f t="shared" si="1"/>
        <v>22</v>
      </c>
      <c r="J26" s="80">
        <f t="shared" si="2"/>
        <v>158</v>
      </c>
      <c r="K26" s="80">
        <f t="shared" si="3"/>
        <v>202</v>
      </c>
      <c r="L26" s="290">
        <f t="shared" si="4"/>
        <v>338</v>
      </c>
      <c r="M26" s="289">
        <f t="shared" si="5"/>
        <v>2.61</v>
      </c>
      <c r="N26" s="80">
        <f t="shared" si="6"/>
        <v>69</v>
      </c>
      <c r="O26" s="80">
        <f t="shared" si="7"/>
        <v>111</v>
      </c>
      <c r="P26" s="80">
        <f t="shared" si="8"/>
        <v>249</v>
      </c>
      <c r="Q26" s="290">
        <f t="shared" si="9"/>
        <v>291</v>
      </c>
      <c r="X26" s="722">
        <f>B27-B26</f>
        <v>1.9999999999999962E-2</v>
      </c>
      <c r="Y26" s="722"/>
    </row>
    <row r="27" spans="2:25">
      <c r="B27" s="80">
        <v>0.42399999999999999</v>
      </c>
      <c r="C27" s="80">
        <v>23</v>
      </c>
      <c r="D27" s="80">
        <v>157</v>
      </c>
      <c r="E27" s="80">
        <v>203</v>
      </c>
      <c r="F27" s="80">
        <v>337</v>
      </c>
      <c r="H27" s="289">
        <f t="shared" si="0"/>
        <v>0.42399999999999999</v>
      </c>
      <c r="I27" s="80">
        <f t="shared" si="1"/>
        <v>23</v>
      </c>
      <c r="J27" s="80">
        <f t="shared" si="2"/>
        <v>157</v>
      </c>
      <c r="K27" s="80">
        <f t="shared" si="3"/>
        <v>203</v>
      </c>
      <c r="L27" s="290">
        <f t="shared" si="4"/>
        <v>337</v>
      </c>
      <c r="M27" s="289">
        <f t="shared" si="5"/>
        <v>2.75</v>
      </c>
      <c r="N27" s="80">
        <f t="shared" si="6"/>
        <v>70</v>
      </c>
      <c r="O27" s="80">
        <f t="shared" si="7"/>
        <v>110</v>
      </c>
      <c r="P27" s="80">
        <f t="shared" si="8"/>
        <v>250</v>
      </c>
      <c r="Q27" s="290">
        <f t="shared" si="9"/>
        <v>290</v>
      </c>
      <c r="X27" s="722"/>
      <c r="Y27" s="722">
        <f t="shared" si="10"/>
        <v>2.1000000000000019E-2</v>
      </c>
    </row>
    <row r="28" spans="2:25">
      <c r="B28" s="80">
        <v>0.44500000000000001</v>
      </c>
      <c r="C28" s="80">
        <v>24</v>
      </c>
      <c r="D28" s="80">
        <v>156</v>
      </c>
      <c r="E28" s="80">
        <v>204</v>
      </c>
      <c r="F28" s="80">
        <v>336</v>
      </c>
      <c r="H28" s="289">
        <f t="shared" si="0"/>
        <v>0.44500000000000001</v>
      </c>
      <c r="I28" s="80">
        <f t="shared" si="1"/>
        <v>24</v>
      </c>
      <c r="J28" s="80">
        <f t="shared" si="2"/>
        <v>156</v>
      </c>
      <c r="K28" s="80">
        <f t="shared" si="3"/>
        <v>204</v>
      </c>
      <c r="L28" s="290">
        <f t="shared" si="4"/>
        <v>336</v>
      </c>
      <c r="M28" s="289">
        <f t="shared" si="5"/>
        <v>2.9</v>
      </c>
      <c r="N28" s="80">
        <f t="shared" si="6"/>
        <v>71</v>
      </c>
      <c r="O28" s="80">
        <f t="shared" si="7"/>
        <v>109</v>
      </c>
      <c r="P28" s="80">
        <f t="shared" si="8"/>
        <v>251</v>
      </c>
      <c r="Q28" s="290">
        <f t="shared" si="9"/>
        <v>289</v>
      </c>
      <c r="X28" s="722">
        <f>B29-B28</f>
        <v>2.1000000000000019E-2</v>
      </c>
      <c r="Y28" s="722"/>
    </row>
    <row r="29" spans="2:25">
      <c r="B29" s="80">
        <v>0.46600000000000003</v>
      </c>
      <c r="C29" s="80">
        <v>25</v>
      </c>
      <c r="D29" s="80">
        <v>155</v>
      </c>
      <c r="E29" s="80">
        <v>205</v>
      </c>
      <c r="F29" s="80">
        <v>335</v>
      </c>
      <c r="H29" s="289">
        <f t="shared" si="0"/>
        <v>0.46600000000000003</v>
      </c>
      <c r="I29" s="80">
        <f t="shared" si="1"/>
        <v>25</v>
      </c>
      <c r="J29" s="80">
        <f t="shared" si="2"/>
        <v>155</v>
      </c>
      <c r="K29" s="80">
        <f t="shared" si="3"/>
        <v>205</v>
      </c>
      <c r="L29" s="290">
        <f t="shared" si="4"/>
        <v>335</v>
      </c>
      <c r="M29" s="289">
        <f t="shared" si="5"/>
        <v>3.08</v>
      </c>
      <c r="N29" s="80">
        <f t="shared" si="6"/>
        <v>72</v>
      </c>
      <c r="O29" s="80">
        <f t="shared" si="7"/>
        <v>108</v>
      </c>
      <c r="P29" s="80">
        <f t="shared" si="8"/>
        <v>252</v>
      </c>
      <c r="Q29" s="290">
        <f t="shared" si="9"/>
        <v>288</v>
      </c>
      <c r="X29" s="722"/>
      <c r="Y29" s="722">
        <f t="shared" si="10"/>
        <v>2.1999999999999964E-2</v>
      </c>
    </row>
    <row r="30" spans="2:25">
      <c r="B30" s="80">
        <v>0.48799999999999999</v>
      </c>
      <c r="C30" s="80">
        <v>26</v>
      </c>
      <c r="D30" s="80">
        <v>154</v>
      </c>
      <c r="E30" s="80">
        <v>206</v>
      </c>
      <c r="F30" s="80">
        <v>334</v>
      </c>
      <c r="H30" s="289">
        <f t="shared" si="0"/>
        <v>0.48799999999999999</v>
      </c>
      <c r="I30" s="80">
        <f t="shared" si="1"/>
        <v>26</v>
      </c>
      <c r="J30" s="80">
        <f t="shared" si="2"/>
        <v>154</v>
      </c>
      <c r="K30" s="80">
        <f t="shared" si="3"/>
        <v>206</v>
      </c>
      <c r="L30" s="290">
        <f t="shared" si="4"/>
        <v>334</v>
      </c>
      <c r="M30" s="289">
        <f t="shared" si="5"/>
        <v>3.27</v>
      </c>
      <c r="N30" s="80">
        <f t="shared" si="6"/>
        <v>73</v>
      </c>
      <c r="O30" s="80">
        <f t="shared" si="7"/>
        <v>107</v>
      </c>
      <c r="P30" s="80">
        <f t="shared" si="8"/>
        <v>253</v>
      </c>
      <c r="Q30" s="290">
        <f t="shared" si="9"/>
        <v>287</v>
      </c>
      <c r="X30" s="722">
        <f>B31-B30</f>
        <v>2.200000000000002E-2</v>
      </c>
      <c r="Y30" s="722"/>
    </row>
    <row r="31" spans="2:25">
      <c r="B31" s="80">
        <v>0.51</v>
      </c>
      <c r="C31" s="80">
        <v>27</v>
      </c>
      <c r="D31" s="80">
        <v>153</v>
      </c>
      <c r="E31" s="80">
        <v>207</v>
      </c>
      <c r="F31" s="80">
        <v>333</v>
      </c>
      <c r="H31" s="289">
        <f t="shared" si="0"/>
        <v>0.51</v>
      </c>
      <c r="I31" s="80">
        <f t="shared" si="1"/>
        <v>27</v>
      </c>
      <c r="J31" s="80">
        <f t="shared" si="2"/>
        <v>153</v>
      </c>
      <c r="K31" s="80">
        <f t="shared" si="3"/>
        <v>207</v>
      </c>
      <c r="L31" s="290">
        <f t="shared" si="4"/>
        <v>333</v>
      </c>
      <c r="M31" s="289">
        <f t="shared" si="5"/>
        <v>3.49</v>
      </c>
      <c r="N31" s="80">
        <f t="shared" si="6"/>
        <v>74</v>
      </c>
      <c r="O31" s="80">
        <f t="shared" si="7"/>
        <v>106</v>
      </c>
      <c r="P31" s="80">
        <f t="shared" si="8"/>
        <v>254</v>
      </c>
      <c r="Q31" s="290">
        <f t="shared" si="9"/>
        <v>286</v>
      </c>
      <c r="X31" s="722"/>
      <c r="Y31" s="722">
        <f t="shared" si="10"/>
        <v>2.200000000000002E-2</v>
      </c>
    </row>
    <row r="32" spans="2:25">
      <c r="B32" s="80">
        <v>0.53200000000000003</v>
      </c>
      <c r="C32" s="80">
        <v>28</v>
      </c>
      <c r="D32" s="80">
        <v>152</v>
      </c>
      <c r="E32" s="80">
        <v>208</v>
      </c>
      <c r="F32" s="80">
        <v>332</v>
      </c>
      <c r="H32" s="289">
        <f t="shared" si="0"/>
        <v>0.53200000000000003</v>
      </c>
      <c r="I32" s="80">
        <f t="shared" si="1"/>
        <v>28</v>
      </c>
      <c r="J32" s="80">
        <f t="shared" si="2"/>
        <v>152</v>
      </c>
      <c r="K32" s="80">
        <f t="shared" si="3"/>
        <v>208</v>
      </c>
      <c r="L32" s="290">
        <f t="shared" si="4"/>
        <v>332</v>
      </c>
      <c r="M32" s="289">
        <f t="shared" si="5"/>
        <v>3.73</v>
      </c>
      <c r="N32" s="80">
        <f t="shared" si="6"/>
        <v>75</v>
      </c>
      <c r="O32" s="80">
        <f t="shared" si="7"/>
        <v>105</v>
      </c>
      <c r="P32" s="80">
        <f t="shared" si="8"/>
        <v>255</v>
      </c>
      <c r="Q32" s="290">
        <f t="shared" si="9"/>
        <v>285</v>
      </c>
      <c r="X32" s="722">
        <f>B33-B32</f>
        <v>2.200000000000002E-2</v>
      </c>
      <c r="Y32" s="722"/>
    </row>
    <row r="33" spans="2:25">
      <c r="B33" s="80">
        <v>0.55400000000000005</v>
      </c>
      <c r="C33" s="80">
        <v>29</v>
      </c>
      <c r="D33" s="80">
        <v>151</v>
      </c>
      <c r="E33" s="80">
        <v>209</v>
      </c>
      <c r="F33" s="80">
        <v>331</v>
      </c>
      <c r="H33" s="289">
        <f t="shared" si="0"/>
        <v>0.55400000000000005</v>
      </c>
      <c r="I33" s="80">
        <f t="shared" si="1"/>
        <v>29</v>
      </c>
      <c r="J33" s="80">
        <f t="shared" si="2"/>
        <v>151</v>
      </c>
      <c r="K33" s="80">
        <f t="shared" si="3"/>
        <v>209</v>
      </c>
      <c r="L33" s="290">
        <f t="shared" si="4"/>
        <v>331</v>
      </c>
      <c r="M33" s="289">
        <f t="shared" si="5"/>
        <v>4.01</v>
      </c>
      <c r="N33" s="80">
        <f t="shared" si="6"/>
        <v>76</v>
      </c>
      <c r="O33" s="80">
        <f t="shared" si="7"/>
        <v>104</v>
      </c>
      <c r="P33" s="80">
        <f t="shared" si="8"/>
        <v>256</v>
      </c>
      <c r="Q33" s="290">
        <f t="shared" si="9"/>
        <v>284</v>
      </c>
      <c r="X33" s="722"/>
      <c r="Y33" s="722">
        <f t="shared" si="10"/>
        <v>2.2999999999999909E-2</v>
      </c>
    </row>
    <row r="34" spans="2:25">
      <c r="B34" s="80">
        <v>0.57699999999999996</v>
      </c>
      <c r="C34" s="80">
        <v>30</v>
      </c>
      <c r="D34" s="80">
        <v>150</v>
      </c>
      <c r="E34" s="80">
        <v>210</v>
      </c>
      <c r="F34" s="80">
        <v>330</v>
      </c>
      <c r="H34" s="289">
        <f t="shared" si="0"/>
        <v>0.57699999999999996</v>
      </c>
      <c r="I34" s="80">
        <f t="shared" si="1"/>
        <v>30</v>
      </c>
      <c r="J34" s="80">
        <f t="shared" si="2"/>
        <v>150</v>
      </c>
      <c r="K34" s="80">
        <f t="shared" si="3"/>
        <v>210</v>
      </c>
      <c r="L34" s="290">
        <f t="shared" si="4"/>
        <v>330</v>
      </c>
      <c r="M34" s="289">
        <f t="shared" si="5"/>
        <v>4.33</v>
      </c>
      <c r="N34" s="80">
        <f t="shared" si="6"/>
        <v>77</v>
      </c>
      <c r="O34" s="80">
        <f t="shared" si="7"/>
        <v>103</v>
      </c>
      <c r="P34" s="80">
        <f t="shared" si="8"/>
        <v>257</v>
      </c>
      <c r="Q34" s="290">
        <f t="shared" si="9"/>
        <v>283</v>
      </c>
      <c r="X34" s="722">
        <f>B35-B34</f>
        <v>2.4000000000000021E-2</v>
      </c>
      <c r="Y34" s="722"/>
    </row>
    <row r="35" spans="2:25">
      <c r="B35" s="80">
        <v>0.60099999999999998</v>
      </c>
      <c r="C35" s="80">
        <v>31</v>
      </c>
      <c r="D35" s="80">
        <v>149</v>
      </c>
      <c r="E35" s="80">
        <v>211</v>
      </c>
      <c r="F35" s="80">
        <v>329</v>
      </c>
      <c r="H35" s="289">
        <f t="shared" si="0"/>
        <v>0.60099999999999998</v>
      </c>
      <c r="I35" s="80">
        <f t="shared" si="1"/>
        <v>31</v>
      </c>
      <c r="J35" s="80">
        <f t="shared" si="2"/>
        <v>149</v>
      </c>
      <c r="K35" s="80">
        <f t="shared" si="3"/>
        <v>211</v>
      </c>
      <c r="L35" s="290">
        <f t="shared" si="4"/>
        <v>329</v>
      </c>
      <c r="M35" s="289">
        <f t="shared" si="5"/>
        <v>4.7</v>
      </c>
      <c r="N35" s="80">
        <f t="shared" si="6"/>
        <v>78</v>
      </c>
      <c r="O35" s="80">
        <f t="shared" si="7"/>
        <v>102</v>
      </c>
      <c r="P35" s="80">
        <f t="shared" si="8"/>
        <v>258</v>
      </c>
      <c r="Q35" s="290">
        <f t="shared" si="9"/>
        <v>282</v>
      </c>
      <c r="X35" s="722"/>
      <c r="Y35" s="722">
        <f t="shared" si="10"/>
        <v>2.4000000000000021E-2</v>
      </c>
    </row>
    <row r="36" spans="2:25">
      <c r="B36" s="80">
        <v>0.625</v>
      </c>
      <c r="C36" s="80">
        <v>32</v>
      </c>
      <c r="D36" s="80">
        <v>148</v>
      </c>
      <c r="E36" s="80">
        <v>212</v>
      </c>
      <c r="F36" s="80">
        <v>328</v>
      </c>
      <c r="H36" s="289">
        <f t="shared" si="0"/>
        <v>0.625</v>
      </c>
      <c r="I36" s="80">
        <f t="shared" si="1"/>
        <v>32</v>
      </c>
      <c r="J36" s="80">
        <f t="shared" si="2"/>
        <v>148</v>
      </c>
      <c r="K36" s="80">
        <f t="shared" si="3"/>
        <v>212</v>
      </c>
      <c r="L36" s="290">
        <f t="shared" si="4"/>
        <v>328</v>
      </c>
      <c r="M36" s="289">
        <f t="shared" si="5"/>
        <v>5.14</v>
      </c>
      <c r="N36" s="80">
        <f t="shared" si="6"/>
        <v>79</v>
      </c>
      <c r="O36" s="80">
        <f t="shared" si="7"/>
        <v>101</v>
      </c>
      <c r="P36" s="80">
        <f t="shared" si="8"/>
        <v>259</v>
      </c>
      <c r="Q36" s="290">
        <f t="shared" si="9"/>
        <v>281</v>
      </c>
      <c r="X36" s="722">
        <f>B37-B36</f>
        <v>2.4000000000000021E-2</v>
      </c>
      <c r="Y36" s="722"/>
    </row>
    <row r="37" spans="2:25">
      <c r="B37" s="80">
        <v>0.64900000000000002</v>
      </c>
      <c r="C37" s="80">
        <v>33</v>
      </c>
      <c r="D37" s="80">
        <v>147</v>
      </c>
      <c r="E37" s="80">
        <v>213</v>
      </c>
      <c r="F37" s="80">
        <v>327</v>
      </c>
      <c r="H37" s="289">
        <f>B37</f>
        <v>0.64900000000000002</v>
      </c>
      <c r="I37" s="80">
        <f t="shared" si="1"/>
        <v>33</v>
      </c>
      <c r="J37" s="80">
        <f t="shared" si="2"/>
        <v>147</v>
      </c>
      <c r="K37" s="80">
        <f t="shared" si="3"/>
        <v>213</v>
      </c>
      <c r="L37" s="290">
        <f t="shared" si="4"/>
        <v>327</v>
      </c>
      <c r="M37" s="289">
        <f t="shared" si="5"/>
        <v>5.67</v>
      </c>
      <c r="N37" s="80">
        <f t="shared" si="6"/>
        <v>80</v>
      </c>
      <c r="O37" s="80">
        <f t="shared" si="7"/>
        <v>100</v>
      </c>
      <c r="P37" s="80">
        <f t="shared" si="8"/>
        <v>260</v>
      </c>
      <c r="Q37" s="290">
        <f t="shared" si="9"/>
        <v>280</v>
      </c>
      <c r="X37" s="722"/>
      <c r="Y37" s="722">
        <f t="shared" si="10"/>
        <v>2.6000000000000023E-2</v>
      </c>
    </row>
    <row r="38" spans="2:25">
      <c r="B38" s="80">
        <v>0.67500000000000004</v>
      </c>
      <c r="C38" s="80">
        <v>34</v>
      </c>
      <c r="D38" s="80">
        <v>146</v>
      </c>
      <c r="E38" s="80">
        <v>214</v>
      </c>
      <c r="F38" s="80">
        <v>326</v>
      </c>
      <c r="H38" s="289">
        <f t="shared" ref="H38:H44" si="11">B38</f>
        <v>0.67500000000000004</v>
      </c>
      <c r="I38" s="80">
        <f t="shared" ref="I38:I50" si="12">C38</f>
        <v>34</v>
      </c>
      <c r="J38" s="80">
        <f t="shared" ref="J38:J50" si="13">D38</f>
        <v>146</v>
      </c>
      <c r="K38" s="80">
        <f t="shared" ref="K38:K50" si="14">E38</f>
        <v>214</v>
      </c>
      <c r="L38" s="290">
        <f t="shared" ref="L38:L50" si="15">F38</f>
        <v>326</v>
      </c>
      <c r="M38" s="289">
        <f t="shared" si="5"/>
        <v>6.31</v>
      </c>
      <c r="N38" s="80">
        <f t="shared" si="6"/>
        <v>81</v>
      </c>
      <c r="O38" s="80">
        <f t="shared" si="7"/>
        <v>99</v>
      </c>
      <c r="P38" s="80">
        <f t="shared" si="8"/>
        <v>261</v>
      </c>
      <c r="Q38" s="290">
        <f t="shared" si="9"/>
        <v>279</v>
      </c>
      <c r="X38" s="722">
        <f>B39-B38</f>
        <v>2.4999999999999911E-2</v>
      </c>
      <c r="Y38" s="722"/>
    </row>
    <row r="39" spans="2:25">
      <c r="B39" s="80">
        <v>0.7</v>
      </c>
      <c r="C39" s="80">
        <v>35</v>
      </c>
      <c r="D39" s="80">
        <v>145</v>
      </c>
      <c r="E39" s="80">
        <v>215</v>
      </c>
      <c r="F39" s="80">
        <v>325</v>
      </c>
      <c r="H39" s="289">
        <f t="shared" si="11"/>
        <v>0.7</v>
      </c>
      <c r="I39" s="80">
        <f t="shared" si="12"/>
        <v>35</v>
      </c>
      <c r="J39" s="80">
        <f t="shared" si="13"/>
        <v>145</v>
      </c>
      <c r="K39" s="80">
        <f t="shared" si="14"/>
        <v>215</v>
      </c>
      <c r="L39" s="290">
        <f t="shared" si="15"/>
        <v>325</v>
      </c>
      <c r="M39" s="289">
        <f t="shared" si="5"/>
        <v>7.12</v>
      </c>
      <c r="N39" s="80">
        <f t="shared" si="6"/>
        <v>82</v>
      </c>
      <c r="O39" s="80">
        <f t="shared" si="7"/>
        <v>98</v>
      </c>
      <c r="P39" s="80">
        <f t="shared" si="8"/>
        <v>262</v>
      </c>
      <c r="Q39" s="290">
        <f t="shared" si="9"/>
        <v>278</v>
      </c>
      <c r="X39" s="722"/>
      <c r="Y39" s="722">
        <f t="shared" si="10"/>
        <v>2.7000000000000024E-2</v>
      </c>
    </row>
    <row r="40" spans="2:25">
      <c r="B40" s="80">
        <v>0.72699999999999998</v>
      </c>
      <c r="C40" s="80">
        <v>36</v>
      </c>
      <c r="D40" s="80">
        <v>144</v>
      </c>
      <c r="E40" s="80">
        <v>216</v>
      </c>
      <c r="F40" s="80">
        <v>324</v>
      </c>
      <c r="H40" s="289">
        <f t="shared" si="11"/>
        <v>0.72699999999999998</v>
      </c>
      <c r="I40" s="80">
        <f t="shared" si="12"/>
        <v>36</v>
      </c>
      <c r="J40" s="80">
        <f t="shared" si="13"/>
        <v>144</v>
      </c>
      <c r="K40" s="80">
        <f t="shared" si="14"/>
        <v>216</v>
      </c>
      <c r="L40" s="290">
        <f t="shared" si="15"/>
        <v>324</v>
      </c>
      <c r="M40" s="289">
        <f t="shared" si="5"/>
        <v>8.14</v>
      </c>
      <c r="N40" s="80">
        <f t="shared" si="6"/>
        <v>83</v>
      </c>
      <c r="O40" s="80">
        <f t="shared" si="7"/>
        <v>97</v>
      </c>
      <c r="P40" s="80">
        <f t="shared" si="8"/>
        <v>263</v>
      </c>
      <c r="Q40" s="290">
        <f t="shared" si="9"/>
        <v>277</v>
      </c>
      <c r="X40" s="722">
        <f>B41-B40</f>
        <v>2.7000000000000024E-2</v>
      </c>
      <c r="Y40" s="722"/>
    </row>
    <row r="41" spans="2:25">
      <c r="B41" s="80">
        <v>0.754</v>
      </c>
      <c r="C41" s="80">
        <v>37</v>
      </c>
      <c r="D41" s="80">
        <v>143</v>
      </c>
      <c r="E41" s="80">
        <v>217</v>
      </c>
      <c r="F41" s="80">
        <v>323</v>
      </c>
      <c r="H41" s="289">
        <f t="shared" si="11"/>
        <v>0.754</v>
      </c>
      <c r="I41" s="80">
        <f t="shared" si="12"/>
        <v>37</v>
      </c>
      <c r="J41" s="80">
        <f t="shared" si="13"/>
        <v>143</v>
      </c>
      <c r="K41" s="80">
        <f t="shared" si="14"/>
        <v>217</v>
      </c>
      <c r="L41" s="290">
        <f t="shared" si="15"/>
        <v>323</v>
      </c>
      <c r="M41" s="289">
        <f t="shared" si="5"/>
        <v>9.51</v>
      </c>
      <c r="N41" s="80">
        <f t="shared" si="6"/>
        <v>84</v>
      </c>
      <c r="O41" s="80">
        <f t="shared" si="7"/>
        <v>96</v>
      </c>
      <c r="P41" s="80">
        <f t="shared" si="8"/>
        <v>264</v>
      </c>
      <c r="Q41" s="290">
        <f t="shared" si="9"/>
        <v>276</v>
      </c>
      <c r="X41" s="722"/>
      <c r="Y41" s="722">
        <f t="shared" si="10"/>
        <v>2.7000000000000024E-2</v>
      </c>
    </row>
    <row r="42" spans="2:25">
      <c r="B42" s="80">
        <v>0.78100000000000003</v>
      </c>
      <c r="C42" s="80">
        <v>38</v>
      </c>
      <c r="D42" s="80">
        <v>142</v>
      </c>
      <c r="E42" s="80">
        <v>218</v>
      </c>
      <c r="F42" s="80">
        <v>322</v>
      </c>
      <c r="H42" s="289">
        <f t="shared" si="11"/>
        <v>0.78100000000000003</v>
      </c>
      <c r="I42" s="80">
        <f t="shared" si="12"/>
        <v>38</v>
      </c>
      <c r="J42" s="80">
        <f t="shared" si="13"/>
        <v>142</v>
      </c>
      <c r="K42" s="80">
        <f t="shared" si="14"/>
        <v>218</v>
      </c>
      <c r="L42" s="290">
        <f t="shared" si="15"/>
        <v>322</v>
      </c>
      <c r="M42" s="289">
        <f t="shared" si="5"/>
        <v>11.4</v>
      </c>
      <c r="N42" s="80">
        <f t="shared" si="6"/>
        <v>85</v>
      </c>
      <c r="O42" s="80">
        <f t="shared" si="7"/>
        <v>95</v>
      </c>
      <c r="P42" s="80">
        <f t="shared" si="8"/>
        <v>265</v>
      </c>
      <c r="Q42" s="290">
        <f t="shared" si="9"/>
        <v>275</v>
      </c>
      <c r="X42" s="722">
        <f>B43-B42</f>
        <v>-7.1000000000000063E-2</v>
      </c>
      <c r="Y42" s="722"/>
    </row>
    <row r="43" spans="2:25">
      <c r="B43" s="80">
        <v>0.71</v>
      </c>
      <c r="C43" s="80">
        <v>39</v>
      </c>
      <c r="D43" s="80">
        <v>141</v>
      </c>
      <c r="E43" s="80">
        <v>219</v>
      </c>
      <c r="F43" s="80">
        <v>321</v>
      </c>
      <c r="H43" s="289">
        <f t="shared" si="11"/>
        <v>0.71</v>
      </c>
      <c r="I43" s="80">
        <f t="shared" si="12"/>
        <v>39</v>
      </c>
      <c r="J43" s="80">
        <f t="shared" si="13"/>
        <v>141</v>
      </c>
      <c r="K43" s="80">
        <f t="shared" si="14"/>
        <v>219</v>
      </c>
      <c r="L43" s="290">
        <f t="shared" si="15"/>
        <v>321</v>
      </c>
      <c r="M43" s="289">
        <f t="shared" si="5"/>
        <v>14.3</v>
      </c>
      <c r="N43" s="80">
        <f t="shared" si="6"/>
        <v>86</v>
      </c>
      <c r="O43" s="80">
        <f t="shared" si="7"/>
        <v>94</v>
      </c>
      <c r="P43" s="80">
        <f t="shared" si="8"/>
        <v>266</v>
      </c>
      <c r="Q43" s="290">
        <f t="shared" si="9"/>
        <v>274</v>
      </c>
      <c r="X43" s="722"/>
      <c r="Y43" s="722">
        <f t="shared" si="10"/>
        <v>2.9000000000000026E-2</v>
      </c>
    </row>
    <row r="44" spans="2:25">
      <c r="B44" s="80">
        <v>0.73899999999999999</v>
      </c>
      <c r="C44" s="80">
        <v>40</v>
      </c>
      <c r="D44" s="80">
        <v>140</v>
      </c>
      <c r="E44" s="80">
        <v>220</v>
      </c>
      <c r="F44" s="80">
        <v>320</v>
      </c>
      <c r="H44" s="289">
        <f t="shared" si="11"/>
        <v>0.73899999999999999</v>
      </c>
      <c r="I44" s="80">
        <f t="shared" si="12"/>
        <v>40</v>
      </c>
      <c r="J44" s="80">
        <f t="shared" si="13"/>
        <v>140</v>
      </c>
      <c r="K44" s="80">
        <f t="shared" si="14"/>
        <v>220</v>
      </c>
      <c r="L44" s="290">
        <f t="shared" si="15"/>
        <v>320</v>
      </c>
      <c r="M44" s="289">
        <f t="shared" si="5"/>
        <v>19.100000000000001</v>
      </c>
      <c r="N44" s="80">
        <f t="shared" si="6"/>
        <v>87</v>
      </c>
      <c r="O44" s="80">
        <f t="shared" si="7"/>
        <v>93</v>
      </c>
      <c r="P44" s="80">
        <f t="shared" si="8"/>
        <v>267</v>
      </c>
      <c r="Q44" s="290">
        <f t="shared" si="9"/>
        <v>273</v>
      </c>
      <c r="X44" s="722">
        <f>B45-B44</f>
        <v>3.0000000000000027E-2</v>
      </c>
      <c r="Y44" s="722"/>
    </row>
    <row r="45" spans="2:25">
      <c r="B45" s="80">
        <v>0.76900000000000002</v>
      </c>
      <c r="C45" s="80">
        <v>41</v>
      </c>
      <c r="D45" s="80">
        <v>139</v>
      </c>
      <c r="E45" s="80">
        <v>221</v>
      </c>
      <c r="F45" s="80">
        <v>319</v>
      </c>
      <c r="H45" s="289">
        <f t="shared" ref="H45:H50" si="16">B45</f>
        <v>0.76900000000000002</v>
      </c>
      <c r="I45" s="80">
        <f t="shared" si="12"/>
        <v>41</v>
      </c>
      <c r="J45" s="80">
        <f t="shared" si="13"/>
        <v>139</v>
      </c>
      <c r="K45" s="80">
        <f t="shared" si="14"/>
        <v>221</v>
      </c>
      <c r="L45" s="290">
        <f t="shared" si="15"/>
        <v>319</v>
      </c>
      <c r="M45" s="289">
        <f t="shared" si="5"/>
        <v>28.6</v>
      </c>
      <c r="N45" s="80">
        <f t="shared" si="6"/>
        <v>88</v>
      </c>
      <c r="O45" s="80">
        <f t="shared" si="7"/>
        <v>92</v>
      </c>
      <c r="P45" s="80">
        <f t="shared" si="8"/>
        <v>268</v>
      </c>
      <c r="Q45" s="290">
        <f t="shared" si="9"/>
        <v>272</v>
      </c>
      <c r="X45" s="722"/>
      <c r="Y45" s="722">
        <f t="shared" si="10"/>
        <v>0.13100000000000001</v>
      </c>
    </row>
    <row r="46" spans="2:25">
      <c r="B46" s="80">
        <v>0.9</v>
      </c>
      <c r="C46" s="80">
        <v>42</v>
      </c>
      <c r="D46" s="80">
        <v>138</v>
      </c>
      <c r="E46" s="80">
        <v>222</v>
      </c>
      <c r="F46" s="80">
        <v>318</v>
      </c>
      <c r="H46" s="289">
        <f t="shared" si="16"/>
        <v>0.9</v>
      </c>
      <c r="I46" s="80">
        <f t="shared" si="12"/>
        <v>42</v>
      </c>
      <c r="J46" s="80">
        <f t="shared" si="13"/>
        <v>138</v>
      </c>
      <c r="K46" s="80">
        <f t="shared" si="14"/>
        <v>222</v>
      </c>
      <c r="L46" s="290">
        <f t="shared" si="15"/>
        <v>318</v>
      </c>
      <c r="M46" s="289">
        <f t="shared" si="5"/>
        <v>57.3</v>
      </c>
      <c r="N46" s="80">
        <f t="shared" si="6"/>
        <v>89</v>
      </c>
      <c r="O46" s="80">
        <f t="shared" si="7"/>
        <v>91</v>
      </c>
      <c r="P46" s="80">
        <f t="shared" si="8"/>
        <v>269</v>
      </c>
      <c r="Q46" s="290">
        <f t="shared" si="9"/>
        <v>271</v>
      </c>
      <c r="X46" s="722">
        <f>B47-B46</f>
        <v>3.3000000000000029E-2</v>
      </c>
      <c r="Y46" s="722"/>
    </row>
    <row r="47" spans="2:25">
      <c r="B47" s="80">
        <v>0.93300000000000005</v>
      </c>
      <c r="C47" s="80">
        <v>43</v>
      </c>
      <c r="D47" s="80">
        <v>137</v>
      </c>
      <c r="E47" s="80">
        <v>223</v>
      </c>
      <c r="F47" s="80">
        <v>317</v>
      </c>
      <c r="H47" s="289">
        <f t="shared" si="16"/>
        <v>0.93300000000000005</v>
      </c>
      <c r="I47" s="80">
        <f t="shared" si="12"/>
        <v>43</v>
      </c>
      <c r="J47" s="80">
        <f t="shared" si="13"/>
        <v>137</v>
      </c>
      <c r="K47" s="80">
        <f t="shared" si="14"/>
        <v>223</v>
      </c>
      <c r="L47" s="290">
        <f t="shared" si="15"/>
        <v>317</v>
      </c>
      <c r="M47" s="289"/>
      <c r="N47" s="80"/>
      <c r="O47" s="80"/>
      <c r="P47" s="80"/>
      <c r="Q47" s="290"/>
      <c r="X47" s="722"/>
      <c r="Y47" s="722">
        <f t="shared" si="10"/>
        <v>3.2999999999999918E-2</v>
      </c>
    </row>
    <row r="48" spans="2:25">
      <c r="B48" s="80">
        <v>0.96599999999999997</v>
      </c>
      <c r="C48" s="80">
        <v>44</v>
      </c>
      <c r="D48" s="80">
        <v>136</v>
      </c>
      <c r="E48" s="80">
        <v>224</v>
      </c>
      <c r="F48" s="80">
        <v>316</v>
      </c>
      <c r="H48" s="289">
        <f t="shared" si="16"/>
        <v>0.96599999999999997</v>
      </c>
      <c r="I48" s="80">
        <f t="shared" si="12"/>
        <v>44</v>
      </c>
      <c r="J48" s="80">
        <f t="shared" si="13"/>
        <v>136</v>
      </c>
      <c r="K48" s="80">
        <f t="shared" si="14"/>
        <v>224</v>
      </c>
      <c r="L48" s="290">
        <f t="shared" si="15"/>
        <v>316</v>
      </c>
      <c r="M48" s="291"/>
      <c r="N48" s="292"/>
      <c r="O48" s="292"/>
      <c r="P48" s="292"/>
      <c r="Q48" s="293"/>
      <c r="X48" s="722">
        <f>B49-B48</f>
        <v>3.400000000000003E-2</v>
      </c>
      <c r="Y48" s="722"/>
    </row>
    <row r="49" spans="2:25">
      <c r="B49" s="80">
        <v>1</v>
      </c>
      <c r="C49" s="80">
        <v>45</v>
      </c>
      <c r="D49" s="80">
        <v>135</v>
      </c>
      <c r="E49" s="80">
        <v>225</v>
      </c>
      <c r="F49" s="80">
        <v>315</v>
      </c>
      <c r="H49" s="289">
        <f t="shared" si="16"/>
        <v>1</v>
      </c>
      <c r="I49" s="80">
        <f t="shared" si="12"/>
        <v>45</v>
      </c>
      <c r="J49" s="80">
        <f t="shared" si="13"/>
        <v>135</v>
      </c>
      <c r="K49" s="80">
        <f t="shared" si="14"/>
        <v>225</v>
      </c>
      <c r="L49" s="290">
        <f t="shared" si="15"/>
        <v>315</v>
      </c>
      <c r="M49" s="294" t="str">
        <f t="shared" si="5"/>
        <v>PR Cos r</v>
      </c>
      <c r="N49" s="295" t="str">
        <f t="shared" si="6"/>
        <v>+</v>
      </c>
      <c r="O49" s="295" t="str">
        <f t="shared" si="7"/>
        <v>-</v>
      </c>
      <c r="P49" s="295" t="str">
        <f t="shared" si="8"/>
        <v>-</v>
      </c>
      <c r="Q49" s="296" t="str">
        <f t="shared" si="9"/>
        <v>+</v>
      </c>
      <c r="X49" s="722"/>
      <c r="Y49" s="722">
        <f t="shared" si="10"/>
        <v>3.6000000000000032E-2</v>
      </c>
    </row>
    <row r="50" spans="2:25">
      <c r="B50" s="80">
        <v>1.036</v>
      </c>
      <c r="C50" s="80">
        <v>46</v>
      </c>
      <c r="D50" s="80">
        <v>134</v>
      </c>
      <c r="E50" s="80">
        <v>226</v>
      </c>
      <c r="F50" s="80">
        <v>314</v>
      </c>
      <c r="H50" s="297">
        <f t="shared" si="16"/>
        <v>1.036</v>
      </c>
      <c r="I50" s="298">
        <f t="shared" si="12"/>
        <v>46</v>
      </c>
      <c r="J50" s="298">
        <f t="shared" si="13"/>
        <v>134</v>
      </c>
      <c r="K50" s="298">
        <f t="shared" si="14"/>
        <v>226</v>
      </c>
      <c r="L50" s="299">
        <f t="shared" si="15"/>
        <v>314</v>
      </c>
      <c r="M50" s="300" t="str">
        <f t="shared" si="5"/>
        <v>PR Sin r</v>
      </c>
      <c r="N50" s="301" t="str">
        <f t="shared" si="6"/>
        <v>+</v>
      </c>
      <c r="O50" s="301" t="str">
        <f t="shared" si="7"/>
        <v>+</v>
      </c>
      <c r="P50" s="301" t="str">
        <f t="shared" si="8"/>
        <v>-</v>
      </c>
      <c r="Q50" s="302" t="str">
        <f t="shared" si="9"/>
        <v>-</v>
      </c>
      <c r="X50" s="722">
        <f>B51-B50</f>
        <v>3.6000000000000032E-2</v>
      </c>
      <c r="Y50" s="722"/>
    </row>
    <row r="51" spans="2:25">
      <c r="B51" s="80">
        <v>1.0720000000000001</v>
      </c>
      <c r="C51" s="80">
        <v>47</v>
      </c>
      <c r="D51" s="80">
        <v>133</v>
      </c>
      <c r="E51" s="80">
        <v>227</v>
      </c>
      <c r="F51" s="80">
        <v>313</v>
      </c>
      <c r="X51" s="722"/>
      <c r="Y51" s="722">
        <f t="shared" si="10"/>
        <v>3.8999999999999924E-2</v>
      </c>
    </row>
    <row r="52" spans="2:25">
      <c r="B52" s="80">
        <v>1.111</v>
      </c>
      <c r="C52" s="80">
        <v>48</v>
      </c>
      <c r="D52" s="80">
        <v>132</v>
      </c>
      <c r="E52" s="80">
        <v>228</v>
      </c>
      <c r="F52" s="80">
        <v>312</v>
      </c>
      <c r="X52" s="722">
        <f>B53-B52</f>
        <v>3.8999999999999924E-2</v>
      </c>
      <c r="Y52" s="722"/>
    </row>
    <row r="53" spans="2:25">
      <c r="B53" s="80">
        <v>1.1499999999999999</v>
      </c>
      <c r="C53" s="80">
        <v>49</v>
      </c>
      <c r="D53" s="80">
        <v>131</v>
      </c>
      <c r="E53" s="80">
        <v>229</v>
      </c>
      <c r="F53" s="80">
        <v>311</v>
      </c>
      <c r="X53" s="722"/>
      <c r="Y53" s="722">
        <f t="shared" si="10"/>
        <v>4.2000000000000037E-2</v>
      </c>
    </row>
    <row r="54" spans="2:25">
      <c r="B54" s="80">
        <v>1.1919999999999999</v>
      </c>
      <c r="C54" s="80">
        <v>50</v>
      </c>
      <c r="D54" s="80">
        <v>130</v>
      </c>
      <c r="E54" s="80">
        <v>230</v>
      </c>
      <c r="F54" s="80">
        <v>310</v>
      </c>
      <c r="X54" s="722">
        <f>B55-B54</f>
        <v>4.3000000000000149E-2</v>
      </c>
      <c r="Y54" s="722"/>
    </row>
    <row r="55" spans="2:25">
      <c r="B55" s="80">
        <v>1.2350000000000001</v>
      </c>
      <c r="C55" s="80">
        <v>51</v>
      </c>
      <c r="D55" s="80">
        <v>129</v>
      </c>
      <c r="E55" s="80">
        <v>231</v>
      </c>
      <c r="F55" s="80">
        <v>309</v>
      </c>
      <c r="X55" s="722"/>
      <c r="Y55" s="722">
        <f t="shared" si="10"/>
        <v>4.4999999999999929E-2</v>
      </c>
    </row>
    <row r="56" spans="2:25">
      <c r="B56" s="80">
        <v>1.28</v>
      </c>
      <c r="C56" s="80">
        <v>52</v>
      </c>
      <c r="D56" s="80">
        <v>128</v>
      </c>
      <c r="E56" s="80">
        <v>232</v>
      </c>
      <c r="F56" s="80">
        <v>308</v>
      </c>
      <c r="X56" s="722">
        <f>B57-B56</f>
        <v>4.6999999999999931E-2</v>
      </c>
      <c r="Y56" s="722"/>
    </row>
    <row r="57" spans="2:25">
      <c r="B57" s="80">
        <v>1.327</v>
      </c>
      <c r="C57" s="80">
        <v>53</v>
      </c>
      <c r="D57" s="80">
        <v>127</v>
      </c>
      <c r="E57" s="80">
        <v>233</v>
      </c>
      <c r="F57" s="80">
        <v>307</v>
      </c>
      <c r="X57" s="722"/>
      <c r="Y57" s="722">
        <f t="shared" si="10"/>
        <v>4.8999999999999932E-2</v>
      </c>
    </row>
    <row r="58" spans="2:25">
      <c r="B58" s="80">
        <v>1.3759999999999999</v>
      </c>
      <c r="C58" s="80">
        <v>54</v>
      </c>
      <c r="D58" s="80">
        <v>126</v>
      </c>
      <c r="E58" s="80">
        <v>234</v>
      </c>
      <c r="F58" s="80">
        <v>306</v>
      </c>
      <c r="X58" s="722">
        <f>B59-B58</f>
        <v>5.2000000000000046E-2</v>
      </c>
      <c r="Y58" s="722"/>
    </row>
    <row r="59" spans="2:25">
      <c r="B59" s="80">
        <v>1.4279999999999999</v>
      </c>
      <c r="C59" s="80">
        <v>55</v>
      </c>
      <c r="D59" s="80">
        <v>125</v>
      </c>
      <c r="E59" s="80">
        <v>235</v>
      </c>
      <c r="F59" s="80">
        <v>305</v>
      </c>
      <c r="X59" s="722"/>
      <c r="Y59" s="722">
        <f t="shared" si="10"/>
        <v>5.500000000000016E-2</v>
      </c>
    </row>
    <row r="60" spans="2:25">
      <c r="B60" s="80">
        <v>1.4830000000000001</v>
      </c>
      <c r="C60" s="80">
        <v>56</v>
      </c>
      <c r="D60" s="80">
        <v>124</v>
      </c>
      <c r="E60" s="80">
        <v>236</v>
      </c>
      <c r="F60" s="80">
        <v>304</v>
      </c>
      <c r="X60" s="722">
        <f>B61-B60</f>
        <v>5.699999999999994E-2</v>
      </c>
      <c r="Y60" s="722"/>
    </row>
    <row r="61" spans="2:25">
      <c r="B61" s="80">
        <v>1.54</v>
      </c>
      <c r="C61" s="80">
        <v>57</v>
      </c>
      <c r="D61" s="80">
        <v>123</v>
      </c>
      <c r="E61" s="80">
        <v>237</v>
      </c>
      <c r="F61" s="80">
        <v>303</v>
      </c>
      <c r="X61" s="722"/>
      <c r="Y61" s="722">
        <f t="shared" si="10"/>
        <v>6.0000000000000053E-2</v>
      </c>
    </row>
    <row r="62" spans="2:25">
      <c r="B62" s="80">
        <v>1.6</v>
      </c>
      <c r="C62" s="80">
        <v>58</v>
      </c>
      <c r="D62" s="80">
        <v>122</v>
      </c>
      <c r="E62" s="80">
        <v>238</v>
      </c>
      <c r="F62" s="80">
        <v>302</v>
      </c>
      <c r="X62" s="722">
        <f>B63-B62</f>
        <v>6.3999999999999835E-2</v>
      </c>
      <c r="Y62" s="722"/>
    </row>
    <row r="63" spans="2:25">
      <c r="B63" s="80">
        <v>1.6639999999999999</v>
      </c>
      <c r="C63" s="80">
        <v>59</v>
      </c>
      <c r="D63" s="80">
        <v>121</v>
      </c>
      <c r="E63" s="80">
        <v>239</v>
      </c>
      <c r="F63" s="80">
        <v>301</v>
      </c>
      <c r="X63" s="722"/>
      <c r="Y63" s="722">
        <f t="shared" si="10"/>
        <v>6.800000000000006E-2</v>
      </c>
    </row>
    <row r="64" spans="2:25">
      <c r="B64" s="80">
        <v>1.732</v>
      </c>
      <c r="C64" s="80">
        <v>60</v>
      </c>
      <c r="D64" s="80">
        <v>120</v>
      </c>
      <c r="E64" s="80">
        <v>240</v>
      </c>
      <c r="F64" s="80">
        <v>300</v>
      </c>
      <c r="X64" s="722">
        <f>B65-B64</f>
        <v>7.2000000000000064E-2</v>
      </c>
      <c r="Y64" s="722"/>
    </row>
    <row r="65" spans="2:25">
      <c r="B65" s="80">
        <v>1.804</v>
      </c>
      <c r="C65" s="80">
        <v>61</v>
      </c>
      <c r="D65" s="80">
        <v>119</v>
      </c>
      <c r="E65" s="80">
        <v>241</v>
      </c>
      <c r="F65" s="80">
        <v>299</v>
      </c>
      <c r="X65" s="722"/>
      <c r="Y65" s="722">
        <f t="shared" si="10"/>
        <v>7.6999999999999957E-2</v>
      </c>
    </row>
    <row r="66" spans="2:25">
      <c r="B66" s="80">
        <v>1.881</v>
      </c>
      <c r="C66" s="80">
        <v>62</v>
      </c>
      <c r="D66" s="80">
        <v>118</v>
      </c>
      <c r="E66" s="80">
        <v>242</v>
      </c>
      <c r="F66" s="80">
        <v>298</v>
      </c>
      <c r="X66" s="722">
        <f>B67-B66</f>
        <v>8.2000000000000073E-2</v>
      </c>
      <c r="Y66" s="722"/>
    </row>
    <row r="67" spans="2:25">
      <c r="B67" s="80">
        <v>1.9630000000000001</v>
      </c>
      <c r="C67" s="80">
        <v>63</v>
      </c>
      <c r="D67" s="80">
        <v>117</v>
      </c>
      <c r="E67" s="80">
        <v>243</v>
      </c>
      <c r="F67" s="80">
        <v>297</v>
      </c>
      <c r="X67" s="722"/>
      <c r="Y67" s="722">
        <f t="shared" si="10"/>
        <v>8.6999999999999744E-2</v>
      </c>
    </row>
    <row r="68" spans="2:25">
      <c r="B68" s="80">
        <v>2.0499999999999998</v>
      </c>
      <c r="C68" s="80">
        <v>64</v>
      </c>
      <c r="D68" s="80">
        <v>116</v>
      </c>
      <c r="E68" s="80">
        <v>244</v>
      </c>
      <c r="F68" s="80">
        <v>296</v>
      </c>
      <c r="X68" s="722">
        <f>B69-B68</f>
        <v>9.0000000000000302E-2</v>
      </c>
      <c r="Y68" s="722"/>
    </row>
    <row r="69" spans="2:25">
      <c r="B69" s="80">
        <v>2.14</v>
      </c>
      <c r="C69" s="80">
        <v>65</v>
      </c>
      <c r="D69" s="80">
        <v>115</v>
      </c>
      <c r="E69" s="80">
        <v>245</v>
      </c>
      <c r="F69" s="80">
        <v>295</v>
      </c>
      <c r="X69" s="722"/>
      <c r="Y69" s="722">
        <f t="shared" si="10"/>
        <v>0.10999999999999988</v>
      </c>
    </row>
    <row r="70" spans="2:25">
      <c r="B70" s="80">
        <v>2.25</v>
      </c>
      <c r="C70" s="80">
        <v>66</v>
      </c>
      <c r="D70" s="80">
        <v>114</v>
      </c>
      <c r="E70" s="80">
        <v>246</v>
      </c>
      <c r="F70" s="80">
        <v>294</v>
      </c>
      <c r="X70" s="722">
        <f>B71-B70</f>
        <v>0.10999999999999988</v>
      </c>
      <c r="Y70" s="722"/>
    </row>
    <row r="71" spans="2:25">
      <c r="B71" s="80">
        <v>2.36</v>
      </c>
      <c r="C71" s="80">
        <v>67</v>
      </c>
      <c r="D71" s="80">
        <v>113</v>
      </c>
      <c r="E71" s="80">
        <v>247</v>
      </c>
      <c r="F71" s="80">
        <v>293</v>
      </c>
      <c r="X71" s="722"/>
      <c r="Y71" s="722">
        <f t="shared" si="10"/>
        <v>0.12000000000000011</v>
      </c>
    </row>
    <row r="72" spans="2:25">
      <c r="B72" s="80">
        <v>2.48</v>
      </c>
      <c r="C72" s="80">
        <v>68</v>
      </c>
      <c r="D72" s="80">
        <v>112</v>
      </c>
      <c r="E72" s="80">
        <v>248</v>
      </c>
      <c r="F72" s="80">
        <v>292</v>
      </c>
      <c r="X72" s="722">
        <f>B73-B72</f>
        <v>0.12999999999999989</v>
      </c>
      <c r="Y72" s="722"/>
    </row>
    <row r="73" spans="2:25">
      <c r="B73" s="80">
        <v>2.61</v>
      </c>
      <c r="C73" s="80">
        <v>69</v>
      </c>
      <c r="D73" s="80">
        <v>111</v>
      </c>
      <c r="E73" s="80">
        <v>249</v>
      </c>
      <c r="F73" s="80">
        <v>291</v>
      </c>
      <c r="X73" s="722"/>
      <c r="Y73" s="722">
        <f>B74-B73</f>
        <v>0.14000000000000012</v>
      </c>
    </row>
    <row r="74" spans="2:25">
      <c r="B74" s="80">
        <v>2.75</v>
      </c>
      <c r="C74" s="80">
        <v>70</v>
      </c>
      <c r="D74" s="80">
        <v>110</v>
      </c>
      <c r="E74" s="80">
        <v>250</v>
      </c>
      <c r="F74" s="80">
        <v>290</v>
      </c>
      <c r="X74" s="722">
        <f>B75-B74</f>
        <v>0.14999999999999991</v>
      </c>
      <c r="Y74" s="722"/>
    </row>
    <row r="75" spans="2:25">
      <c r="B75" s="80">
        <v>2.9</v>
      </c>
      <c r="C75" s="80">
        <v>71</v>
      </c>
      <c r="D75" s="80">
        <v>109</v>
      </c>
      <c r="E75" s="80">
        <v>251</v>
      </c>
      <c r="F75" s="80">
        <v>289</v>
      </c>
      <c r="X75" s="722"/>
      <c r="Y75" s="722">
        <f>B76-B75</f>
        <v>0.18000000000000016</v>
      </c>
    </row>
    <row r="76" spans="2:25">
      <c r="B76" s="80">
        <v>3.08</v>
      </c>
      <c r="C76" s="80">
        <v>72</v>
      </c>
      <c r="D76" s="80">
        <v>108</v>
      </c>
      <c r="E76" s="80">
        <v>252</v>
      </c>
      <c r="F76" s="80">
        <v>288</v>
      </c>
      <c r="X76" s="722">
        <f>B77-B76</f>
        <v>0.18999999999999995</v>
      </c>
      <c r="Y76" s="722"/>
    </row>
    <row r="77" spans="2:25">
      <c r="B77" s="80">
        <v>3.27</v>
      </c>
      <c r="C77" s="80">
        <v>73</v>
      </c>
      <c r="D77" s="80">
        <v>107</v>
      </c>
      <c r="E77" s="80">
        <v>253</v>
      </c>
      <c r="F77" s="80">
        <v>287</v>
      </c>
      <c r="X77" s="722"/>
      <c r="Y77" s="722">
        <f>B78-B77</f>
        <v>0.2200000000000002</v>
      </c>
    </row>
    <row r="78" spans="2:25">
      <c r="B78" s="80">
        <v>3.49</v>
      </c>
      <c r="C78" s="80">
        <v>74</v>
      </c>
      <c r="D78" s="80">
        <v>106</v>
      </c>
      <c r="E78" s="80">
        <v>254</v>
      </c>
      <c r="F78" s="80">
        <v>286</v>
      </c>
      <c r="X78" s="722">
        <f>B79-B78</f>
        <v>0.23999999999999977</v>
      </c>
      <c r="Y78" s="722"/>
    </row>
    <row r="79" spans="2:25">
      <c r="B79" s="80">
        <v>3.73</v>
      </c>
      <c r="C79" s="80">
        <v>75</v>
      </c>
      <c r="D79" s="80">
        <v>105</v>
      </c>
      <c r="E79" s="80">
        <v>255</v>
      </c>
      <c r="F79" s="80">
        <v>285</v>
      </c>
      <c r="X79" s="722"/>
      <c r="Y79" s="722">
        <f>B80-B79</f>
        <v>0.2799999999999998</v>
      </c>
    </row>
    <row r="80" spans="2:25">
      <c r="B80" s="80">
        <v>4.01</v>
      </c>
      <c r="C80" s="80">
        <v>76</v>
      </c>
      <c r="D80" s="80">
        <v>104</v>
      </c>
      <c r="E80" s="80">
        <v>256</v>
      </c>
      <c r="F80" s="80">
        <v>284</v>
      </c>
      <c r="X80" s="722">
        <f>B81-B80</f>
        <v>0.32000000000000028</v>
      </c>
      <c r="Y80" s="722"/>
    </row>
    <row r="81" spans="2:25">
      <c r="B81" s="80">
        <v>4.33</v>
      </c>
      <c r="C81" s="80">
        <v>77</v>
      </c>
      <c r="D81" s="80">
        <v>103</v>
      </c>
      <c r="E81" s="80">
        <v>257</v>
      </c>
      <c r="F81" s="80">
        <v>283</v>
      </c>
      <c r="X81" s="722"/>
      <c r="Y81" s="722">
        <f>B82-B81</f>
        <v>0.37000000000000011</v>
      </c>
    </row>
    <row r="82" spans="2:25">
      <c r="B82" s="80">
        <v>4.7</v>
      </c>
      <c r="C82" s="80">
        <v>78</v>
      </c>
      <c r="D82" s="80">
        <v>102</v>
      </c>
      <c r="E82" s="80">
        <v>258</v>
      </c>
      <c r="F82" s="80">
        <v>282</v>
      </c>
      <c r="X82" s="722">
        <f>B83-B82</f>
        <v>0.4399999999999995</v>
      </c>
      <c r="Y82" s="722"/>
    </row>
    <row r="83" spans="2:25">
      <c r="B83" s="80">
        <v>5.14</v>
      </c>
      <c r="C83" s="80">
        <v>79</v>
      </c>
      <c r="D83" s="80">
        <v>101</v>
      </c>
      <c r="E83" s="80">
        <v>259</v>
      </c>
      <c r="F83" s="80">
        <v>281</v>
      </c>
      <c r="X83" s="722"/>
      <c r="Y83" s="722">
        <f>B84-B83</f>
        <v>0.53000000000000025</v>
      </c>
    </row>
    <row r="84" spans="2:25">
      <c r="B84" s="80">
        <v>5.67</v>
      </c>
      <c r="C84" s="80">
        <v>80</v>
      </c>
      <c r="D84" s="80">
        <v>100</v>
      </c>
      <c r="E84" s="80">
        <v>260</v>
      </c>
      <c r="F84" s="80">
        <v>280</v>
      </c>
      <c r="X84" s="722">
        <f>B85-B84</f>
        <v>0.63999999999999968</v>
      </c>
      <c r="Y84" s="722"/>
    </row>
    <row r="85" spans="2:25">
      <c r="B85" s="80">
        <v>6.31</v>
      </c>
      <c r="C85" s="80">
        <v>81</v>
      </c>
      <c r="D85" s="80">
        <v>99</v>
      </c>
      <c r="E85" s="80">
        <v>261</v>
      </c>
      <c r="F85" s="80">
        <v>279</v>
      </c>
      <c r="X85" s="722"/>
      <c r="Y85" s="722">
        <f>B86-B85</f>
        <v>0.8100000000000005</v>
      </c>
    </row>
    <row r="86" spans="2:25">
      <c r="B86" s="80">
        <v>7.12</v>
      </c>
      <c r="C86" s="80">
        <v>82</v>
      </c>
      <c r="D86" s="80">
        <v>98</v>
      </c>
      <c r="E86" s="80">
        <v>262</v>
      </c>
      <c r="F86" s="80">
        <v>278</v>
      </c>
      <c r="X86" s="722">
        <f>B87-B86</f>
        <v>1.0200000000000005</v>
      </c>
      <c r="Y86" s="722"/>
    </row>
    <row r="87" spans="2:25">
      <c r="B87" s="80">
        <v>8.14</v>
      </c>
      <c r="C87" s="80">
        <v>83</v>
      </c>
      <c r="D87" s="80">
        <v>97</v>
      </c>
      <c r="E87" s="80">
        <v>263</v>
      </c>
      <c r="F87" s="80">
        <v>277</v>
      </c>
      <c r="X87" s="722"/>
      <c r="Y87" s="722">
        <f>B88-B87</f>
        <v>1.3699999999999992</v>
      </c>
    </row>
    <row r="88" spans="2:25">
      <c r="B88" s="80">
        <v>9.51</v>
      </c>
      <c r="C88" s="80">
        <v>84</v>
      </c>
      <c r="D88" s="80">
        <v>96</v>
      </c>
      <c r="E88" s="80">
        <v>264</v>
      </c>
      <c r="F88" s="80">
        <v>276</v>
      </c>
      <c r="X88" s="722">
        <f>B89-B88</f>
        <v>1.8900000000000006</v>
      </c>
      <c r="Y88" s="722"/>
    </row>
    <row r="89" spans="2:25">
      <c r="B89" s="80">
        <v>11.4</v>
      </c>
      <c r="C89" s="80">
        <v>85</v>
      </c>
      <c r="D89" s="80">
        <v>95</v>
      </c>
      <c r="E89" s="80">
        <v>265</v>
      </c>
      <c r="F89" s="80">
        <v>275</v>
      </c>
      <c r="X89" s="722"/>
      <c r="Y89" s="722">
        <f>B90-B89</f>
        <v>2.9000000000000004</v>
      </c>
    </row>
    <row r="90" spans="2:25">
      <c r="B90" s="80">
        <v>14.3</v>
      </c>
      <c r="C90" s="80">
        <v>86</v>
      </c>
      <c r="D90" s="80">
        <v>94</v>
      </c>
      <c r="E90" s="80">
        <v>266</v>
      </c>
      <c r="F90" s="80">
        <v>274</v>
      </c>
      <c r="X90" s="722">
        <f>B91-B90</f>
        <v>4.8000000000000007</v>
      </c>
      <c r="Y90" s="722"/>
    </row>
    <row r="91" spans="2:25">
      <c r="B91" s="80">
        <v>19.100000000000001</v>
      </c>
      <c r="C91" s="80">
        <v>87</v>
      </c>
      <c r="D91" s="80">
        <v>93</v>
      </c>
      <c r="E91" s="80">
        <v>267</v>
      </c>
      <c r="F91" s="80">
        <v>273</v>
      </c>
      <c r="X91" s="722"/>
      <c r="Y91" s="722">
        <f>B92-B91</f>
        <v>9.5</v>
      </c>
    </row>
    <row r="92" spans="2:25">
      <c r="B92" s="80">
        <v>28.6</v>
      </c>
      <c r="C92" s="80">
        <v>88</v>
      </c>
      <c r="D92" s="80">
        <v>92</v>
      </c>
      <c r="E92" s="80">
        <v>268</v>
      </c>
      <c r="F92" s="80">
        <v>272</v>
      </c>
      <c r="X92" s="722">
        <f>B93-B92</f>
        <v>28.699999999999996</v>
      </c>
      <c r="Y92" s="722"/>
    </row>
    <row r="93" spans="2:25">
      <c r="B93" s="80">
        <v>57.3</v>
      </c>
      <c r="C93" s="80">
        <v>89</v>
      </c>
      <c r="D93" s="80">
        <v>91</v>
      </c>
      <c r="E93" s="80">
        <v>269</v>
      </c>
      <c r="F93" s="80">
        <v>271</v>
      </c>
      <c r="X93" s="722"/>
    </row>
    <row r="94" spans="2:25">
      <c r="B94" s="292"/>
      <c r="C94" s="292"/>
      <c r="D94" s="292"/>
      <c r="E94" s="292"/>
      <c r="F94" s="292"/>
    </row>
    <row r="95" spans="2:25">
      <c r="B95" s="63"/>
      <c r="C95" s="63">
        <v>90</v>
      </c>
      <c r="D95" s="63">
        <v>90</v>
      </c>
      <c r="E95" s="63">
        <v>270</v>
      </c>
      <c r="F95" s="63">
        <v>270</v>
      </c>
    </row>
    <row r="96" spans="2:25">
      <c r="B96" s="303" t="s">
        <v>376</v>
      </c>
      <c r="C96" s="111" t="s">
        <v>76</v>
      </c>
      <c r="D96" s="111" t="s">
        <v>77</v>
      </c>
      <c r="E96" s="111" t="s">
        <v>77</v>
      </c>
      <c r="F96" s="111" t="s">
        <v>76</v>
      </c>
    </row>
    <row r="97" spans="2:6">
      <c r="B97" s="304" t="s">
        <v>377</v>
      </c>
      <c r="C97" s="82" t="s">
        <v>76</v>
      </c>
      <c r="D97" s="82" t="s">
        <v>76</v>
      </c>
      <c r="E97" s="82" t="s">
        <v>77</v>
      </c>
      <c r="F97" s="82" t="s">
        <v>77</v>
      </c>
    </row>
  </sheetData>
  <sheetProtection selectLockedCells="1" selectUnlockedCells="1"/>
  <mergeCells count="92">
    <mergeCell ref="Y19:Y20"/>
    <mergeCell ref="X20:X21"/>
    <mergeCell ref="Y17:Y18"/>
    <mergeCell ref="X18:X19"/>
    <mergeCell ref="C3:F3"/>
    <mergeCell ref="I3:L3"/>
    <mergeCell ref="N3:Q3"/>
    <mergeCell ref="X4:X5"/>
    <mergeCell ref="Y5:Y6"/>
    <mergeCell ref="X6:X7"/>
    <mergeCell ref="Y7:Y8"/>
    <mergeCell ref="X8:X9"/>
    <mergeCell ref="Y9:Y10"/>
    <mergeCell ref="Y11:Y12"/>
    <mergeCell ref="X12:X13"/>
    <mergeCell ref="Y13:Y14"/>
    <mergeCell ref="X14:X15"/>
    <mergeCell ref="Y15:Y16"/>
    <mergeCell ref="X16:X17"/>
    <mergeCell ref="X10:X11"/>
    <mergeCell ref="Y21:Y22"/>
    <mergeCell ref="X22:X23"/>
    <mergeCell ref="Y23:Y24"/>
    <mergeCell ref="X24:X25"/>
    <mergeCell ref="Y25:Y26"/>
    <mergeCell ref="X26:X27"/>
    <mergeCell ref="Y27:Y28"/>
    <mergeCell ref="X28:X29"/>
    <mergeCell ref="Y29:Y30"/>
    <mergeCell ref="X30:X31"/>
    <mergeCell ref="Y31:Y32"/>
    <mergeCell ref="X32:X33"/>
    <mergeCell ref="Y33:Y34"/>
    <mergeCell ref="X34:X35"/>
    <mergeCell ref="Y35:Y36"/>
    <mergeCell ref="X36:X37"/>
    <mergeCell ref="Y37:Y38"/>
    <mergeCell ref="X38:X39"/>
    <mergeCell ref="Y39:Y40"/>
    <mergeCell ref="X40:X41"/>
    <mergeCell ref="Y41:Y42"/>
    <mergeCell ref="X42:X43"/>
    <mergeCell ref="Y43:Y44"/>
    <mergeCell ref="X44:X45"/>
    <mergeCell ref="Y45:Y46"/>
    <mergeCell ref="X46:X47"/>
    <mergeCell ref="Y47:Y48"/>
    <mergeCell ref="X48:X49"/>
    <mergeCell ref="Y49:Y50"/>
    <mergeCell ref="X50:X51"/>
    <mergeCell ref="Y51:Y52"/>
    <mergeCell ref="X52:X53"/>
    <mergeCell ref="Y53:Y54"/>
    <mergeCell ref="X54:X55"/>
    <mergeCell ref="Y55:Y56"/>
    <mergeCell ref="X56:X57"/>
    <mergeCell ref="Y57:Y58"/>
    <mergeCell ref="X58:X59"/>
    <mergeCell ref="Y59:Y60"/>
    <mergeCell ref="X60:X61"/>
    <mergeCell ref="Y81:Y82"/>
    <mergeCell ref="X82:X83"/>
    <mergeCell ref="Y79:Y80"/>
    <mergeCell ref="X80:X81"/>
    <mergeCell ref="Y61:Y62"/>
    <mergeCell ref="X62:X63"/>
    <mergeCell ref="Y63:Y64"/>
    <mergeCell ref="X64:X65"/>
    <mergeCell ref="Y65:Y66"/>
    <mergeCell ref="X66:X67"/>
    <mergeCell ref="Y67:Y68"/>
    <mergeCell ref="X68:X69"/>
    <mergeCell ref="Y69:Y70"/>
    <mergeCell ref="X70:X71"/>
    <mergeCell ref="Y71:Y72"/>
    <mergeCell ref="X72:X73"/>
    <mergeCell ref="Y73:Y74"/>
    <mergeCell ref="X74:X75"/>
    <mergeCell ref="Y75:Y76"/>
    <mergeCell ref="X76:X77"/>
    <mergeCell ref="Y77:Y78"/>
    <mergeCell ref="X78:X79"/>
    <mergeCell ref="Y83:Y84"/>
    <mergeCell ref="X84:X85"/>
    <mergeCell ref="Y85:Y86"/>
    <mergeCell ref="X86:X87"/>
    <mergeCell ref="Y89:Y90"/>
    <mergeCell ref="X90:X91"/>
    <mergeCell ref="Y87:Y88"/>
    <mergeCell ref="X88:X89"/>
    <mergeCell ref="Y91:Y92"/>
    <mergeCell ref="X92:X93"/>
  </mergeCells>
  <phoneticPr fontId="26" type="noConversion"/>
  <printOptions horizontalCentered="1"/>
  <pageMargins left="1.1298611111111112" right="0.74791666666666667" top="0.98402777777777772" bottom="0.98402777777777772" header="0.51180555555555551" footer="0.51180555555555551"/>
  <pageSetup paperSize="9" scale="90" firstPageNumber="0"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T150"/>
  <sheetViews>
    <sheetView topLeftCell="J19" zoomScale="115" zoomScaleSheetLayoutView="85" workbookViewId="0">
      <selection activeCell="N61" sqref="N61"/>
    </sheetView>
  </sheetViews>
  <sheetFormatPr defaultColWidth="9.140625" defaultRowHeight="14.25"/>
  <cols>
    <col min="1" max="1" width="2.85546875" style="1" customWidth="1"/>
    <col min="2" max="2" width="9.140625" style="1"/>
    <col min="3" max="6" width="9.140625" style="43"/>
    <col min="7" max="7" width="9.140625" style="1"/>
    <col min="8" max="8" width="7.7109375" style="305" customWidth="1"/>
    <col min="9" max="12" width="7.7109375" style="43" customWidth="1"/>
    <col min="13" max="13" width="7.7109375" style="305" customWidth="1"/>
    <col min="14" max="17" width="7.7109375" style="43" customWidth="1"/>
    <col min="18" max="20" width="9.140625" style="43"/>
    <col min="21" max="16384" width="9.140625" style="1"/>
  </cols>
  <sheetData>
    <row r="1" spans="2:20" ht="15">
      <c r="B1" s="1" t="s">
        <v>378</v>
      </c>
      <c r="H1" s="306" t="str">
        <f>B1</f>
        <v>Tabel 39. Daftar nilai f dari jam 00 pada tanggal</v>
      </c>
      <c r="I1" s="24"/>
    </row>
    <row r="2" spans="2:20" ht="15">
      <c r="C2" s="117" t="s">
        <v>379</v>
      </c>
      <c r="H2" s="306"/>
      <c r="I2" s="114" t="str">
        <f>C2</f>
        <v xml:space="preserve"> 1 januari 1990 hingga tahun 2008.</v>
      </c>
    </row>
    <row r="3" spans="2:20" ht="16.5">
      <c r="B3" s="78" t="s">
        <v>380</v>
      </c>
      <c r="C3" s="78" t="s">
        <v>146</v>
      </c>
      <c r="D3" s="78" t="s">
        <v>149</v>
      </c>
      <c r="E3" s="78" t="s">
        <v>150</v>
      </c>
      <c r="F3" s="78" t="s">
        <v>324</v>
      </c>
      <c r="H3" s="307" t="str">
        <f>B3</f>
        <v>Tahun</v>
      </c>
      <c r="I3" s="308" t="str">
        <f t="shared" ref="I3:L4" si="0">C3</f>
        <v>M2</v>
      </c>
      <c r="J3" s="308" t="str">
        <f t="shared" si="0"/>
        <v>K1</v>
      </c>
      <c r="K3" s="308" t="str">
        <f t="shared" si="0"/>
        <v>O1</v>
      </c>
      <c r="L3" s="309" t="str">
        <f t="shared" si="0"/>
        <v>K2</v>
      </c>
      <c r="M3" s="307" t="str">
        <f>H3</f>
        <v>Tahun</v>
      </c>
      <c r="N3" s="308" t="str">
        <f>I3</f>
        <v>M2</v>
      </c>
      <c r="O3" s="308" t="str">
        <f>J3</f>
        <v>K1</v>
      </c>
      <c r="P3" s="308" t="str">
        <f>K3</f>
        <v>O1</v>
      </c>
      <c r="Q3" s="310" t="str">
        <f>L3</f>
        <v>K2</v>
      </c>
    </row>
    <row r="4" spans="2:20">
      <c r="B4" s="79">
        <v>1900</v>
      </c>
      <c r="C4" s="311">
        <v>1.0069999999999999</v>
      </c>
      <c r="D4" s="311">
        <v>0.99299999999999999</v>
      </c>
      <c r="E4" s="311">
        <v>0.98699999999999999</v>
      </c>
      <c r="F4" s="311">
        <v>0.96199999999999997</v>
      </c>
      <c r="H4" s="312">
        <f>B4</f>
        <v>1900</v>
      </c>
      <c r="I4" s="313">
        <f t="shared" si="0"/>
        <v>1.0069999999999999</v>
      </c>
      <c r="J4" s="313">
        <f t="shared" si="0"/>
        <v>0.99299999999999999</v>
      </c>
      <c r="K4" s="313">
        <f t="shared" si="0"/>
        <v>0.98699999999999999</v>
      </c>
      <c r="L4" s="314">
        <f t="shared" si="0"/>
        <v>0.96199999999999997</v>
      </c>
      <c r="M4" s="312">
        <f>B59</f>
        <v>1955</v>
      </c>
      <c r="N4" s="313">
        <f>C59</f>
        <v>0.997</v>
      </c>
      <c r="O4" s="313">
        <f>D59</f>
        <v>1.0249999999999999</v>
      </c>
      <c r="P4" s="313">
        <f>E59</f>
        <v>1.0409999999999999</v>
      </c>
      <c r="Q4" s="315">
        <f>F59</f>
        <v>1.044</v>
      </c>
    </row>
    <row r="5" spans="2:20">
      <c r="B5" s="80">
        <f>B4+1</f>
        <v>1901</v>
      </c>
      <c r="C5" s="316">
        <v>1.0189999999999999</v>
      </c>
      <c r="D5" s="316">
        <v>0.95399999999999996</v>
      </c>
      <c r="E5" s="316">
        <v>0.92300000000000004</v>
      </c>
      <c r="F5" s="316">
        <v>0.874</v>
      </c>
      <c r="H5" s="317">
        <f t="shared" ref="H5:H58" si="1">B5</f>
        <v>1901</v>
      </c>
      <c r="I5" s="318">
        <f t="shared" ref="I5:I58" si="2">C5</f>
        <v>1.0189999999999999</v>
      </c>
      <c r="J5" s="318">
        <f t="shared" ref="J5:J58" si="3">D5</f>
        <v>0.95399999999999996</v>
      </c>
      <c r="K5" s="318">
        <f t="shared" ref="K5:K58" si="4">E5</f>
        <v>0.92300000000000004</v>
      </c>
      <c r="L5" s="319">
        <f t="shared" ref="L5:L58" si="5">F5</f>
        <v>0.874</v>
      </c>
      <c r="M5" s="317">
        <f t="shared" ref="M5:M36" si="6">B60</f>
        <v>1956</v>
      </c>
      <c r="N5" s="318">
        <f t="shared" ref="N5:N36" si="7">C60</f>
        <v>1.0089999999999999</v>
      </c>
      <c r="O5" s="318">
        <f t="shared" ref="O5:O36" si="8">D60</f>
        <v>0.98699999999999999</v>
      </c>
      <c r="P5" s="318">
        <f t="shared" ref="P5:P36" si="9">E60</f>
        <v>0.97799999999999998</v>
      </c>
      <c r="Q5" s="320">
        <f t="shared" ref="Q5:Q57" si="10">F60</f>
        <v>0.94799999999999995</v>
      </c>
      <c r="T5" s="457"/>
    </row>
    <row r="6" spans="2:20">
      <c r="B6" s="80">
        <f t="shared" ref="B6:B69" si="11">B5+1</f>
        <v>1902</v>
      </c>
      <c r="C6" s="316">
        <v>1.0289999999999999</v>
      </c>
      <c r="D6" s="316">
        <v>0.91800000000000004</v>
      </c>
      <c r="E6" s="316">
        <v>0.86499999999999999</v>
      </c>
      <c r="F6" s="316">
        <v>0.80700000000000005</v>
      </c>
      <c r="H6" s="317">
        <f t="shared" si="1"/>
        <v>1902</v>
      </c>
      <c r="I6" s="318">
        <f t="shared" si="2"/>
        <v>1.0289999999999999</v>
      </c>
      <c r="J6" s="318">
        <f t="shared" si="3"/>
        <v>0.91800000000000004</v>
      </c>
      <c r="K6" s="318">
        <f t="shared" si="4"/>
        <v>0.86499999999999999</v>
      </c>
      <c r="L6" s="319">
        <f t="shared" si="5"/>
        <v>0.80700000000000005</v>
      </c>
      <c r="M6" s="317">
        <f t="shared" si="6"/>
        <v>1957</v>
      </c>
      <c r="N6" s="318">
        <f t="shared" si="7"/>
        <v>1.0209999999999999</v>
      </c>
      <c r="O6" s="318">
        <f t="shared" si="8"/>
        <v>0.94699999999999995</v>
      </c>
      <c r="P6" s="318">
        <f t="shared" si="9"/>
        <v>0.91400000000000003</v>
      </c>
      <c r="Q6" s="320">
        <f t="shared" si="10"/>
        <v>0.86199999999999999</v>
      </c>
      <c r="T6" s="457"/>
    </row>
    <row r="7" spans="2:20">
      <c r="B7" s="80">
        <f t="shared" si="11"/>
        <v>1903</v>
      </c>
      <c r="C7" s="316">
        <v>1.0349999999999999</v>
      </c>
      <c r="D7" s="316">
        <v>0.89200000000000002</v>
      </c>
      <c r="E7" s="316">
        <v>0.82299999999999995</v>
      </c>
      <c r="F7" s="316">
        <v>0.76400000000000001</v>
      </c>
      <c r="H7" s="317">
        <f t="shared" si="1"/>
        <v>1903</v>
      </c>
      <c r="I7" s="318">
        <f t="shared" si="2"/>
        <v>1.0349999999999999</v>
      </c>
      <c r="J7" s="318">
        <f t="shared" si="3"/>
        <v>0.89200000000000002</v>
      </c>
      <c r="K7" s="318">
        <f t="shared" si="4"/>
        <v>0.82299999999999995</v>
      </c>
      <c r="L7" s="319">
        <f t="shared" si="5"/>
        <v>0.76400000000000001</v>
      </c>
      <c r="M7" s="317">
        <f t="shared" si="6"/>
        <v>1958</v>
      </c>
      <c r="N7" s="318">
        <f t="shared" si="7"/>
        <v>1.03</v>
      </c>
      <c r="O7" s="318">
        <f t="shared" si="8"/>
        <v>0.91300000000000003</v>
      </c>
      <c r="P7" s="318">
        <f t="shared" si="9"/>
        <v>0.85799999999999998</v>
      </c>
      <c r="Q7" s="320">
        <f t="shared" si="10"/>
        <v>0.79800000000000004</v>
      </c>
      <c r="T7" s="457"/>
    </row>
    <row r="8" spans="2:20">
      <c r="B8" s="80">
        <f t="shared" si="11"/>
        <v>1904</v>
      </c>
      <c r="C8" s="316">
        <v>1.038</v>
      </c>
      <c r="D8" s="316">
        <v>0.88200000000000001</v>
      </c>
      <c r="E8" s="316">
        <v>0.80700000000000005</v>
      </c>
      <c r="F8" s="316">
        <v>0.748</v>
      </c>
      <c r="H8" s="317">
        <f t="shared" si="1"/>
        <v>1904</v>
      </c>
      <c r="I8" s="318">
        <f t="shared" si="2"/>
        <v>1.038</v>
      </c>
      <c r="J8" s="318">
        <f t="shared" si="3"/>
        <v>0.88200000000000001</v>
      </c>
      <c r="K8" s="318">
        <f t="shared" si="4"/>
        <v>0.80700000000000005</v>
      </c>
      <c r="L8" s="319">
        <f t="shared" si="5"/>
        <v>0.748</v>
      </c>
      <c r="M8" s="317">
        <f t="shared" si="6"/>
        <v>1959</v>
      </c>
      <c r="N8" s="318">
        <f t="shared" si="7"/>
        <v>1.036</v>
      </c>
      <c r="O8" s="318">
        <f t="shared" si="8"/>
        <v>0.89</v>
      </c>
      <c r="P8" s="318">
        <f t="shared" si="9"/>
        <v>0.81899999999999995</v>
      </c>
      <c r="Q8" s="320">
        <f t="shared" si="10"/>
        <v>0.76</v>
      </c>
      <c r="T8" s="457"/>
    </row>
    <row r="9" spans="2:20">
      <c r="B9" s="80">
        <f t="shared" si="11"/>
        <v>1905</v>
      </c>
      <c r="C9" s="316">
        <v>1.036</v>
      </c>
      <c r="D9" s="316">
        <v>0.88900000000000001</v>
      </c>
      <c r="E9" s="316">
        <v>0.81799999999999995</v>
      </c>
      <c r="F9" s="316">
        <v>0.75900000000000001</v>
      </c>
      <c r="H9" s="317">
        <f t="shared" si="1"/>
        <v>1905</v>
      </c>
      <c r="I9" s="318">
        <f t="shared" si="2"/>
        <v>1.036</v>
      </c>
      <c r="J9" s="318">
        <f t="shared" si="3"/>
        <v>0.88900000000000001</v>
      </c>
      <c r="K9" s="318">
        <f t="shared" si="4"/>
        <v>0.81799999999999995</v>
      </c>
      <c r="L9" s="319">
        <f t="shared" si="5"/>
        <v>0.75900000000000001</v>
      </c>
      <c r="M9" s="317">
        <f t="shared" si="6"/>
        <v>1960</v>
      </c>
      <c r="N9" s="318">
        <f t="shared" si="7"/>
        <v>1.038</v>
      </c>
      <c r="O9" s="318">
        <f t="shared" si="8"/>
        <v>0.88200000000000001</v>
      </c>
      <c r="P9" s="318">
        <f t="shared" si="9"/>
        <v>0.80600000000000005</v>
      </c>
      <c r="Q9" s="320">
        <f t="shared" si="10"/>
        <v>0.748</v>
      </c>
      <c r="T9" s="457"/>
    </row>
    <row r="10" spans="2:20">
      <c r="B10" s="80">
        <f t="shared" si="11"/>
        <v>1906</v>
      </c>
      <c r="C10" s="316">
        <v>1.03</v>
      </c>
      <c r="D10" s="316">
        <v>0.91200000000000003</v>
      </c>
      <c r="E10" s="316">
        <v>0.85599999999999998</v>
      </c>
      <c r="F10" s="316">
        <v>0.79700000000000004</v>
      </c>
      <c r="H10" s="317">
        <f t="shared" si="1"/>
        <v>1906</v>
      </c>
      <c r="I10" s="318">
        <f t="shared" si="2"/>
        <v>1.03</v>
      </c>
      <c r="J10" s="318">
        <f t="shared" si="3"/>
        <v>0.91200000000000003</v>
      </c>
      <c r="K10" s="318">
        <f t="shared" si="4"/>
        <v>0.85599999999999998</v>
      </c>
      <c r="L10" s="319">
        <f t="shared" si="5"/>
        <v>0.79700000000000004</v>
      </c>
      <c r="M10" s="317">
        <f t="shared" si="6"/>
        <v>1961</v>
      </c>
      <c r="N10" s="318">
        <f t="shared" si="7"/>
        <v>1.0349999999999999</v>
      </c>
      <c r="O10" s="318">
        <f t="shared" si="8"/>
        <v>0.89200000000000002</v>
      </c>
      <c r="P10" s="318">
        <f t="shared" si="9"/>
        <v>0.82199999999999995</v>
      </c>
      <c r="Q10" s="320">
        <f t="shared" si="10"/>
        <v>0.76300000000000001</v>
      </c>
      <c r="T10" s="457"/>
    </row>
    <row r="11" spans="2:20">
      <c r="B11" s="80">
        <f t="shared" si="11"/>
        <v>1907</v>
      </c>
      <c r="C11" s="316">
        <v>1.0209999999999999</v>
      </c>
      <c r="D11" s="316">
        <v>0.94599999999999995</v>
      </c>
      <c r="E11" s="316">
        <v>0.91200000000000003</v>
      </c>
      <c r="F11" s="316">
        <v>0.86</v>
      </c>
      <c r="H11" s="317">
        <f t="shared" si="1"/>
        <v>1907</v>
      </c>
      <c r="I11" s="318">
        <f t="shared" si="2"/>
        <v>1.0209999999999999</v>
      </c>
      <c r="J11" s="318">
        <f t="shared" si="3"/>
        <v>0.94599999999999995</v>
      </c>
      <c r="K11" s="318">
        <f t="shared" si="4"/>
        <v>0.91200000000000003</v>
      </c>
      <c r="L11" s="319">
        <f t="shared" si="5"/>
        <v>0.86</v>
      </c>
      <c r="M11" s="317">
        <f t="shared" si="6"/>
        <v>1962</v>
      </c>
      <c r="N11" s="318">
        <f t="shared" si="7"/>
        <v>1.0289999999999999</v>
      </c>
      <c r="O11" s="318">
        <f t="shared" si="8"/>
        <v>0.91700000000000004</v>
      </c>
      <c r="P11" s="318">
        <f t="shared" si="9"/>
        <v>0.86399999999999999</v>
      </c>
      <c r="Q11" s="320">
        <f t="shared" si="10"/>
        <v>0.80500000000000005</v>
      </c>
      <c r="T11" s="457"/>
    </row>
    <row r="12" spans="2:20">
      <c r="B12" s="80">
        <f t="shared" si="11"/>
        <v>1908</v>
      </c>
      <c r="C12" s="316">
        <v>1.01</v>
      </c>
      <c r="D12" s="316">
        <v>0.98599999999999999</v>
      </c>
      <c r="E12" s="316">
        <v>0.97599999999999998</v>
      </c>
      <c r="F12" s="316">
        <v>0.94499999999999995</v>
      </c>
      <c r="H12" s="317">
        <f t="shared" si="1"/>
        <v>1908</v>
      </c>
      <c r="I12" s="318">
        <f t="shared" si="2"/>
        <v>1.01</v>
      </c>
      <c r="J12" s="318">
        <f t="shared" si="3"/>
        <v>0.98599999999999999</v>
      </c>
      <c r="K12" s="318">
        <f t="shared" si="4"/>
        <v>0.97599999999999998</v>
      </c>
      <c r="L12" s="319">
        <f t="shared" si="5"/>
        <v>0.94499999999999995</v>
      </c>
      <c r="M12" s="317">
        <f t="shared" si="6"/>
        <v>1963</v>
      </c>
      <c r="N12" s="318">
        <f t="shared" si="7"/>
        <v>1.0189999999999999</v>
      </c>
      <c r="O12" s="318">
        <f t="shared" si="8"/>
        <v>0.95299999999999996</v>
      </c>
      <c r="P12" s="318">
        <f t="shared" si="9"/>
        <v>0.92200000000000004</v>
      </c>
      <c r="Q12" s="320">
        <f t="shared" si="10"/>
        <v>0.873</v>
      </c>
      <c r="T12" s="457"/>
    </row>
    <row r="13" spans="2:20">
      <c r="B13" s="80">
        <f t="shared" si="11"/>
        <v>1909</v>
      </c>
      <c r="C13" s="316">
        <v>0.997</v>
      </c>
      <c r="D13" s="316">
        <v>1.024</v>
      </c>
      <c r="E13" s="316">
        <v>1.0389999999999999</v>
      </c>
      <c r="F13" s="316">
        <v>1.0409999999999999</v>
      </c>
      <c r="H13" s="317">
        <f t="shared" si="1"/>
        <v>1909</v>
      </c>
      <c r="I13" s="318">
        <f t="shared" si="2"/>
        <v>0.997</v>
      </c>
      <c r="J13" s="318">
        <f t="shared" si="3"/>
        <v>1.024</v>
      </c>
      <c r="K13" s="318">
        <f t="shared" si="4"/>
        <v>1.0389999999999999</v>
      </c>
      <c r="L13" s="319">
        <f t="shared" si="5"/>
        <v>1.0409999999999999</v>
      </c>
      <c r="M13" s="317">
        <f t="shared" si="6"/>
        <v>1964</v>
      </c>
      <c r="N13" s="318">
        <f t="shared" si="7"/>
        <v>1.008</v>
      </c>
      <c r="O13" s="318">
        <f t="shared" si="8"/>
        <v>0.99199999999999999</v>
      </c>
      <c r="P13" s="318">
        <f t="shared" si="9"/>
        <v>0.98599999999999999</v>
      </c>
      <c r="Q13" s="320">
        <f t="shared" si="10"/>
        <v>0.96</v>
      </c>
      <c r="T13" s="457"/>
    </row>
    <row r="14" spans="2:20">
      <c r="B14" s="80">
        <f t="shared" si="11"/>
        <v>1910</v>
      </c>
      <c r="C14" s="316">
        <v>0.98499999999999999</v>
      </c>
      <c r="D14" s="316">
        <v>1.0580000000000001</v>
      </c>
      <c r="E14" s="316">
        <v>1.0940000000000001</v>
      </c>
      <c r="F14" s="316">
        <v>1.137</v>
      </c>
      <c r="H14" s="317">
        <f t="shared" si="1"/>
        <v>1910</v>
      </c>
      <c r="I14" s="318">
        <f t="shared" si="2"/>
        <v>0.98499999999999999</v>
      </c>
      <c r="J14" s="318">
        <f t="shared" si="3"/>
        <v>1.0580000000000001</v>
      </c>
      <c r="K14" s="318">
        <f t="shared" si="4"/>
        <v>1.0940000000000001</v>
      </c>
      <c r="L14" s="319">
        <f t="shared" si="5"/>
        <v>1.137</v>
      </c>
      <c r="M14" s="317">
        <f t="shared" si="6"/>
        <v>1965</v>
      </c>
      <c r="N14" s="318">
        <f t="shared" si="7"/>
        <v>0.995</v>
      </c>
      <c r="O14" s="318">
        <f t="shared" si="8"/>
        <v>1.03</v>
      </c>
      <c r="P14" s="318">
        <f t="shared" si="9"/>
        <v>1.048</v>
      </c>
      <c r="Q14" s="320">
        <f t="shared" si="10"/>
        <v>1.0580000000000001</v>
      </c>
      <c r="T14" s="457"/>
    </row>
    <row r="15" spans="2:20">
      <c r="B15" s="80">
        <f t="shared" si="11"/>
        <v>1911</v>
      </c>
      <c r="C15" s="316">
        <v>0.97499999999999998</v>
      </c>
      <c r="D15" s="316">
        <v>1.085</v>
      </c>
      <c r="E15" s="316">
        <v>1.137</v>
      </c>
      <c r="F15" s="316">
        <v>1.222</v>
      </c>
      <c r="H15" s="317">
        <f t="shared" si="1"/>
        <v>1911</v>
      </c>
      <c r="I15" s="318">
        <f t="shared" si="2"/>
        <v>0.97499999999999998</v>
      </c>
      <c r="J15" s="318">
        <f t="shared" si="3"/>
        <v>1.085</v>
      </c>
      <c r="K15" s="318">
        <f t="shared" si="4"/>
        <v>1.137</v>
      </c>
      <c r="L15" s="319">
        <f t="shared" si="5"/>
        <v>1.222</v>
      </c>
      <c r="M15" s="317">
        <f t="shared" si="6"/>
        <v>1966</v>
      </c>
      <c r="N15" s="318">
        <f t="shared" si="7"/>
        <v>0.98299999999999998</v>
      </c>
      <c r="O15" s="318">
        <f t="shared" si="8"/>
        <v>1.0629999999999999</v>
      </c>
      <c r="P15" s="318">
        <f t="shared" si="9"/>
        <v>1.101</v>
      </c>
      <c r="Q15" s="320">
        <f t="shared" si="10"/>
        <v>1.1519999999999999</v>
      </c>
      <c r="T15" s="457"/>
    </row>
    <row r="16" spans="2:20">
      <c r="B16" s="80">
        <f t="shared" si="11"/>
        <v>1912</v>
      </c>
      <c r="C16" s="316">
        <v>0.96699999999999997</v>
      </c>
      <c r="D16" s="316">
        <v>1.103</v>
      </c>
      <c r="E16" s="316">
        <v>1.167</v>
      </c>
      <c r="F16" s="316">
        <v>1.2829999999999999</v>
      </c>
      <c r="H16" s="317">
        <f t="shared" si="1"/>
        <v>1912</v>
      </c>
      <c r="I16" s="318">
        <f t="shared" si="2"/>
        <v>0.96699999999999997</v>
      </c>
      <c r="J16" s="318">
        <f t="shared" si="3"/>
        <v>1.103</v>
      </c>
      <c r="K16" s="318">
        <f t="shared" si="4"/>
        <v>1.167</v>
      </c>
      <c r="L16" s="319">
        <f t="shared" si="5"/>
        <v>1.2829999999999999</v>
      </c>
      <c r="M16" s="317">
        <f t="shared" si="6"/>
        <v>1967</v>
      </c>
      <c r="N16" s="318">
        <f t="shared" si="7"/>
        <v>0.97299999999999998</v>
      </c>
      <c r="O16" s="318">
        <f t="shared" si="8"/>
        <v>1.089</v>
      </c>
      <c r="P16" s="318">
        <f t="shared" si="9"/>
        <v>1.143</v>
      </c>
      <c r="Q16" s="320">
        <f t="shared" si="10"/>
        <v>1.2330000000000001</v>
      </c>
      <c r="T16" s="457"/>
    </row>
    <row r="17" spans="2:20">
      <c r="B17" s="80">
        <f t="shared" si="11"/>
        <v>1913</v>
      </c>
      <c r="C17" s="316">
        <v>0.96399999999999997</v>
      </c>
      <c r="D17" s="316">
        <v>1.1120000000000001</v>
      </c>
      <c r="E17" s="316">
        <v>1.181</v>
      </c>
      <c r="F17" s="316">
        <v>1.3140000000000001</v>
      </c>
      <c r="H17" s="317">
        <f t="shared" si="1"/>
        <v>1913</v>
      </c>
      <c r="I17" s="318">
        <f t="shared" si="2"/>
        <v>0.96399999999999997</v>
      </c>
      <c r="J17" s="318">
        <f t="shared" si="3"/>
        <v>1.1120000000000001</v>
      </c>
      <c r="K17" s="318">
        <f t="shared" si="4"/>
        <v>1.181</v>
      </c>
      <c r="L17" s="319">
        <f t="shared" si="5"/>
        <v>1.3140000000000001</v>
      </c>
      <c r="M17" s="317">
        <f t="shared" si="6"/>
        <v>1968</v>
      </c>
      <c r="N17" s="318">
        <f t="shared" si="7"/>
        <v>0.96699999999999997</v>
      </c>
      <c r="O17" s="318">
        <f t="shared" si="8"/>
        <v>1.1060000000000001</v>
      </c>
      <c r="P17" s="318">
        <f t="shared" si="9"/>
        <v>1.17</v>
      </c>
      <c r="Q17" s="320">
        <f t="shared" si="10"/>
        <v>1.29</v>
      </c>
      <c r="T17" s="457"/>
    </row>
    <row r="18" spans="2:20">
      <c r="B18" s="80">
        <f t="shared" si="11"/>
        <v>1914</v>
      </c>
      <c r="C18" s="316">
        <v>0.96399999999999997</v>
      </c>
      <c r="D18" s="316">
        <v>1.111</v>
      </c>
      <c r="E18" s="316">
        <v>1.18</v>
      </c>
      <c r="F18" s="316">
        <v>1.3109999999999999</v>
      </c>
      <c r="H18" s="317">
        <f t="shared" si="1"/>
        <v>1914</v>
      </c>
      <c r="I18" s="318">
        <f t="shared" si="2"/>
        <v>0.96399999999999997</v>
      </c>
      <c r="J18" s="318">
        <f t="shared" si="3"/>
        <v>1.111</v>
      </c>
      <c r="K18" s="318">
        <f t="shared" si="4"/>
        <v>1.18</v>
      </c>
      <c r="L18" s="319">
        <f t="shared" si="5"/>
        <v>1.3109999999999999</v>
      </c>
      <c r="M18" s="317">
        <f t="shared" si="6"/>
        <v>1969</v>
      </c>
      <c r="N18" s="318">
        <f t="shared" si="7"/>
        <v>0.96399999999999997</v>
      </c>
      <c r="O18" s="318">
        <f t="shared" si="8"/>
        <v>1.113</v>
      </c>
      <c r="P18" s="318">
        <f t="shared" si="9"/>
        <v>1.1819999999999999</v>
      </c>
      <c r="Q18" s="320">
        <f t="shared" si="10"/>
        <v>1.3149999999999999</v>
      </c>
      <c r="T18" s="457"/>
    </row>
    <row r="19" spans="2:20">
      <c r="B19" s="80">
        <f t="shared" si="11"/>
        <v>1915</v>
      </c>
      <c r="C19" s="316">
        <v>0.96899999999999997</v>
      </c>
      <c r="D19" s="316">
        <v>1.1000000000000001</v>
      </c>
      <c r="E19" s="316">
        <v>1.163</v>
      </c>
      <c r="F19" s="316">
        <v>1.2729999999999999</v>
      </c>
      <c r="H19" s="317">
        <f t="shared" si="1"/>
        <v>1915</v>
      </c>
      <c r="I19" s="318">
        <f t="shared" si="2"/>
        <v>0.96899999999999997</v>
      </c>
      <c r="J19" s="318">
        <f t="shared" si="3"/>
        <v>1.1000000000000001</v>
      </c>
      <c r="K19" s="318">
        <f t="shared" si="4"/>
        <v>1.163</v>
      </c>
      <c r="L19" s="319">
        <f t="shared" si="5"/>
        <v>1.2729999999999999</v>
      </c>
      <c r="M19" s="317">
        <f t="shared" si="6"/>
        <v>1970</v>
      </c>
      <c r="N19" s="318">
        <f t="shared" si="7"/>
        <v>0.96499999999999997</v>
      </c>
      <c r="O19" s="318">
        <f t="shared" si="8"/>
        <v>1.1100000000000001</v>
      </c>
      <c r="P19" s="318">
        <f t="shared" si="9"/>
        <v>1.1779999999999999</v>
      </c>
      <c r="Q19" s="320">
        <f t="shared" si="10"/>
        <v>1.306</v>
      </c>
      <c r="T19" s="457"/>
    </row>
    <row r="20" spans="2:20">
      <c r="B20" s="80">
        <f t="shared" si="11"/>
        <v>1916</v>
      </c>
      <c r="C20" s="316">
        <v>0.97699999999999998</v>
      </c>
      <c r="D20" s="316">
        <v>1.081</v>
      </c>
      <c r="E20" s="316">
        <v>1.1299999999999999</v>
      </c>
      <c r="F20" s="316">
        <v>1.2070000000000001</v>
      </c>
      <c r="H20" s="317">
        <f t="shared" si="1"/>
        <v>1916</v>
      </c>
      <c r="I20" s="318">
        <f t="shared" si="2"/>
        <v>0.97699999999999998</v>
      </c>
      <c r="J20" s="318">
        <f t="shared" si="3"/>
        <v>1.081</v>
      </c>
      <c r="K20" s="318">
        <f t="shared" si="4"/>
        <v>1.1299999999999999</v>
      </c>
      <c r="L20" s="319">
        <f t="shared" si="5"/>
        <v>1.2070000000000001</v>
      </c>
      <c r="M20" s="317">
        <f t="shared" si="6"/>
        <v>1971</v>
      </c>
      <c r="N20" s="318">
        <f t="shared" si="7"/>
        <v>0.97</v>
      </c>
      <c r="O20" s="318">
        <f t="shared" si="8"/>
        <v>1.097</v>
      </c>
      <c r="P20" s="318">
        <f t="shared" si="9"/>
        <v>1.1579999999999999</v>
      </c>
      <c r="Q20" s="320">
        <f t="shared" si="10"/>
        <v>1.264</v>
      </c>
      <c r="T20" s="457"/>
    </row>
    <row r="21" spans="2:20">
      <c r="B21" s="80">
        <f t="shared" si="11"/>
        <v>1917</v>
      </c>
      <c r="C21" s="316">
        <v>0.98699999999999999</v>
      </c>
      <c r="D21" s="316">
        <v>1.0529999999999999</v>
      </c>
      <c r="E21" s="316">
        <v>1.0840000000000001</v>
      </c>
      <c r="F21" s="316">
        <v>1.119</v>
      </c>
      <c r="H21" s="317">
        <f t="shared" si="1"/>
        <v>1917</v>
      </c>
      <c r="I21" s="318">
        <f t="shared" si="2"/>
        <v>0.98699999999999999</v>
      </c>
      <c r="J21" s="318">
        <f t="shared" si="3"/>
        <v>1.0529999999999999</v>
      </c>
      <c r="K21" s="318">
        <f t="shared" si="4"/>
        <v>1.0840000000000001</v>
      </c>
      <c r="L21" s="319">
        <f t="shared" si="5"/>
        <v>1.119</v>
      </c>
      <c r="M21" s="317">
        <f t="shared" si="6"/>
        <v>1972</v>
      </c>
      <c r="N21" s="318">
        <f t="shared" si="7"/>
        <v>0.97799999999999998</v>
      </c>
      <c r="O21" s="318">
        <f t="shared" si="8"/>
        <v>1.0760000000000001</v>
      </c>
      <c r="P21" s="318">
        <f t="shared" si="9"/>
        <v>1.123</v>
      </c>
      <c r="Q21" s="320">
        <f t="shared" si="10"/>
        <v>1.1930000000000001</v>
      </c>
      <c r="T21" s="457"/>
    </row>
    <row r="22" spans="2:20">
      <c r="B22" s="80">
        <f t="shared" si="11"/>
        <v>1918</v>
      </c>
      <c r="C22" s="316">
        <v>1</v>
      </c>
      <c r="D22" s="316">
        <v>1.0169999999999999</v>
      </c>
      <c r="E22" s="316">
        <v>1.0269999999999999</v>
      </c>
      <c r="F22" s="316">
        <v>1.0209999999999999</v>
      </c>
      <c r="H22" s="317">
        <f t="shared" si="1"/>
        <v>1918</v>
      </c>
      <c r="I22" s="318">
        <f t="shared" si="2"/>
        <v>1</v>
      </c>
      <c r="J22" s="318">
        <f t="shared" si="3"/>
        <v>1.0169999999999999</v>
      </c>
      <c r="K22" s="318">
        <f t="shared" si="4"/>
        <v>1.0269999999999999</v>
      </c>
      <c r="L22" s="319">
        <f t="shared" si="5"/>
        <v>1.0209999999999999</v>
      </c>
      <c r="M22" s="317">
        <f t="shared" si="6"/>
        <v>1973</v>
      </c>
      <c r="N22" s="318">
        <f t="shared" si="7"/>
        <v>0.98899999999999999</v>
      </c>
      <c r="O22" s="318">
        <f t="shared" si="8"/>
        <v>1.0469999999999999</v>
      </c>
      <c r="P22" s="318">
        <f t="shared" si="9"/>
        <v>1.075</v>
      </c>
      <c r="Q22" s="320">
        <f t="shared" si="10"/>
        <v>1.103</v>
      </c>
      <c r="T22" s="457"/>
    </row>
    <row r="23" spans="2:20">
      <c r="B23" s="80">
        <f t="shared" si="11"/>
        <v>1919</v>
      </c>
      <c r="C23" s="316">
        <v>1.012</v>
      </c>
      <c r="D23" s="316">
        <v>0.97699999999999998</v>
      </c>
      <c r="E23" s="316">
        <v>0.96299999999999997</v>
      </c>
      <c r="F23" s="316">
        <v>0.92600000000000005</v>
      </c>
      <c r="H23" s="317">
        <f t="shared" si="1"/>
        <v>1919</v>
      </c>
      <c r="I23" s="318">
        <f t="shared" si="2"/>
        <v>1.012</v>
      </c>
      <c r="J23" s="318">
        <f t="shared" si="3"/>
        <v>0.97699999999999998</v>
      </c>
      <c r="K23" s="318">
        <f t="shared" si="4"/>
        <v>0.96299999999999997</v>
      </c>
      <c r="L23" s="319">
        <f t="shared" si="5"/>
        <v>0.92600000000000005</v>
      </c>
      <c r="M23" s="317">
        <f t="shared" si="6"/>
        <v>1974</v>
      </c>
      <c r="N23" s="318">
        <f t="shared" si="7"/>
        <v>1.002</v>
      </c>
      <c r="O23" s="318">
        <f t="shared" si="8"/>
        <v>1.0109999999999999</v>
      </c>
      <c r="P23" s="318">
        <f t="shared" si="9"/>
        <v>1.016</v>
      </c>
      <c r="Q23" s="320">
        <f t="shared" si="10"/>
        <v>1.006</v>
      </c>
      <c r="T23" s="457"/>
    </row>
    <row r="24" spans="2:20">
      <c r="B24" s="80">
        <f t="shared" si="11"/>
        <v>1920</v>
      </c>
      <c r="C24" s="316">
        <v>1.0229999999999999</v>
      </c>
      <c r="D24" s="316">
        <v>0.93899999999999995</v>
      </c>
      <c r="E24" s="316">
        <v>0.9</v>
      </c>
      <c r="F24" s="316">
        <v>0.84599999999999997</v>
      </c>
      <c r="H24" s="317">
        <f t="shared" si="1"/>
        <v>1920</v>
      </c>
      <c r="I24" s="318">
        <f t="shared" si="2"/>
        <v>1.0229999999999999</v>
      </c>
      <c r="J24" s="318">
        <f t="shared" si="3"/>
        <v>0.93899999999999995</v>
      </c>
      <c r="K24" s="318">
        <f t="shared" si="4"/>
        <v>0.9</v>
      </c>
      <c r="L24" s="319">
        <f t="shared" si="5"/>
        <v>0.84599999999999997</v>
      </c>
      <c r="M24" s="317">
        <f t="shared" si="6"/>
        <v>1975</v>
      </c>
      <c r="N24" s="318">
        <f t="shared" si="7"/>
        <v>1.014</v>
      </c>
      <c r="O24" s="318">
        <f t="shared" si="8"/>
        <v>0.97099999999999997</v>
      </c>
      <c r="P24" s="318">
        <f t="shared" si="9"/>
        <v>0.95199999999999996</v>
      </c>
      <c r="Q24" s="320">
        <f t="shared" si="10"/>
        <v>0.91300000000000003</v>
      </c>
      <c r="T24" s="457"/>
    </row>
    <row r="25" spans="2:20">
      <c r="B25" s="80">
        <f t="shared" si="11"/>
        <v>1921</v>
      </c>
      <c r="C25" s="316">
        <v>1.032</v>
      </c>
      <c r="D25" s="316">
        <v>0.90700000000000003</v>
      </c>
      <c r="E25" s="316">
        <v>0.84699999999999998</v>
      </c>
      <c r="F25" s="316">
        <v>0.78800000000000003</v>
      </c>
      <c r="H25" s="317">
        <f t="shared" si="1"/>
        <v>1921</v>
      </c>
      <c r="I25" s="318">
        <f t="shared" si="2"/>
        <v>1.032</v>
      </c>
      <c r="J25" s="318">
        <f t="shared" si="3"/>
        <v>0.90700000000000003</v>
      </c>
      <c r="K25" s="318">
        <f t="shared" si="4"/>
        <v>0.84699999999999998</v>
      </c>
      <c r="L25" s="319">
        <f t="shared" si="5"/>
        <v>0.78800000000000003</v>
      </c>
      <c r="M25" s="317">
        <f t="shared" si="6"/>
        <v>1976</v>
      </c>
      <c r="N25" s="318">
        <f t="shared" si="7"/>
        <v>1.0249999999999999</v>
      </c>
      <c r="O25" s="318">
        <f t="shared" si="8"/>
        <v>0.93300000000000005</v>
      </c>
      <c r="P25" s="318">
        <f t="shared" si="9"/>
        <v>0.89900000000000002</v>
      </c>
      <c r="Q25" s="320">
        <f t="shared" si="10"/>
        <v>0.83499999999999996</v>
      </c>
      <c r="T25" s="457"/>
    </row>
    <row r="26" spans="2:20">
      <c r="B26" s="80">
        <f t="shared" si="11"/>
        <v>1922</v>
      </c>
      <c r="C26" s="316">
        <v>1.0369999999999999</v>
      </c>
      <c r="D26" s="316">
        <v>0.88700000000000001</v>
      </c>
      <c r="E26" s="316">
        <v>0.81399999999999995</v>
      </c>
      <c r="F26" s="316">
        <v>0.755</v>
      </c>
      <c r="H26" s="317">
        <f t="shared" si="1"/>
        <v>1922</v>
      </c>
      <c r="I26" s="318">
        <f t="shared" si="2"/>
        <v>1.0369999999999999</v>
      </c>
      <c r="J26" s="318">
        <f t="shared" si="3"/>
        <v>0.88700000000000001</v>
      </c>
      <c r="K26" s="318">
        <f t="shared" si="4"/>
        <v>0.81399999999999995</v>
      </c>
      <c r="L26" s="319">
        <f t="shared" si="5"/>
        <v>0.755</v>
      </c>
      <c r="M26" s="317">
        <f t="shared" si="6"/>
        <v>1977</v>
      </c>
      <c r="N26" s="318">
        <f t="shared" si="7"/>
        <v>1.0329999999999999</v>
      </c>
      <c r="O26" s="318">
        <f t="shared" si="8"/>
        <v>0.90200000000000002</v>
      </c>
      <c r="P26" s="318">
        <f t="shared" si="9"/>
        <v>0.84</v>
      </c>
      <c r="Q26" s="320">
        <f t="shared" si="10"/>
        <v>0.78</v>
      </c>
      <c r="T26" s="457"/>
    </row>
    <row r="27" spans="2:20">
      <c r="B27" s="80">
        <f t="shared" si="11"/>
        <v>1923</v>
      </c>
      <c r="C27" s="316">
        <v>1.038</v>
      </c>
      <c r="D27" s="316">
        <v>0.88300000000000001</v>
      </c>
      <c r="E27" s="316">
        <v>0.80800000000000005</v>
      </c>
      <c r="F27" s="316">
        <v>0.749</v>
      </c>
      <c r="H27" s="317">
        <f t="shared" si="1"/>
        <v>1923</v>
      </c>
      <c r="I27" s="318">
        <f t="shared" si="2"/>
        <v>1.038</v>
      </c>
      <c r="J27" s="318">
        <f t="shared" si="3"/>
        <v>0.88300000000000001</v>
      </c>
      <c r="K27" s="318">
        <f t="shared" si="4"/>
        <v>0.80800000000000005</v>
      </c>
      <c r="L27" s="319">
        <f t="shared" si="5"/>
        <v>0.749</v>
      </c>
      <c r="M27" s="317">
        <f t="shared" si="6"/>
        <v>1978</v>
      </c>
      <c r="N27" s="318">
        <f t="shared" si="7"/>
        <v>1.0369999999999999</v>
      </c>
      <c r="O27" s="318">
        <f t="shared" si="8"/>
        <v>0.88400000000000001</v>
      </c>
      <c r="P27" s="318">
        <f t="shared" si="9"/>
        <v>0.81</v>
      </c>
      <c r="Q27" s="320">
        <f t="shared" si="10"/>
        <v>0.752</v>
      </c>
      <c r="T27" s="457"/>
    </row>
    <row r="28" spans="2:20">
      <c r="B28" s="80">
        <f t="shared" si="11"/>
        <v>1924</v>
      </c>
      <c r="C28" s="316">
        <v>1.034</v>
      </c>
      <c r="D28" s="316">
        <v>0.89600000000000002</v>
      </c>
      <c r="E28" s="316">
        <v>0.83</v>
      </c>
      <c r="F28" s="316">
        <v>0.77100000000000002</v>
      </c>
      <c r="H28" s="317">
        <f t="shared" si="1"/>
        <v>1924</v>
      </c>
      <c r="I28" s="318">
        <f t="shared" si="2"/>
        <v>1.034</v>
      </c>
      <c r="J28" s="318">
        <f t="shared" si="3"/>
        <v>0.89600000000000002</v>
      </c>
      <c r="K28" s="318">
        <f t="shared" si="4"/>
        <v>0.83</v>
      </c>
      <c r="L28" s="319">
        <f t="shared" si="5"/>
        <v>0.77100000000000002</v>
      </c>
      <c r="M28" s="317">
        <f t="shared" si="6"/>
        <v>1979</v>
      </c>
      <c r="N28" s="318">
        <f t="shared" si="7"/>
        <v>1.0369999999999999</v>
      </c>
      <c r="O28" s="318">
        <f t="shared" si="8"/>
        <v>0.88400000000000001</v>
      </c>
      <c r="P28" s="318">
        <f t="shared" si="9"/>
        <v>0.80900000000000005</v>
      </c>
      <c r="Q28" s="320">
        <f t="shared" si="10"/>
        <v>0.751</v>
      </c>
      <c r="T28" s="457"/>
    </row>
    <row r="29" spans="2:20">
      <c r="B29" s="80">
        <f t="shared" si="11"/>
        <v>1925</v>
      </c>
      <c r="C29" s="316">
        <v>1.0269999999999999</v>
      </c>
      <c r="D29" s="316">
        <v>0.92400000000000004</v>
      </c>
      <c r="E29" s="316">
        <v>0.876</v>
      </c>
      <c r="F29" s="316">
        <v>0.81899999999999995</v>
      </c>
      <c r="H29" s="317">
        <f t="shared" si="1"/>
        <v>1925</v>
      </c>
      <c r="I29" s="318">
        <f t="shared" si="2"/>
        <v>1.0269999999999999</v>
      </c>
      <c r="J29" s="318">
        <f t="shared" si="3"/>
        <v>0.92400000000000004</v>
      </c>
      <c r="K29" s="318">
        <f t="shared" si="4"/>
        <v>0.876</v>
      </c>
      <c r="L29" s="319">
        <f t="shared" si="5"/>
        <v>0.81899999999999995</v>
      </c>
      <c r="M29" s="317">
        <f t="shared" si="6"/>
        <v>1980</v>
      </c>
      <c r="N29" s="318">
        <f t="shared" si="7"/>
        <v>1.0329999999999999</v>
      </c>
      <c r="O29" s="318">
        <f t="shared" si="8"/>
        <v>0.9</v>
      </c>
      <c r="P29" s="318">
        <f t="shared" si="9"/>
        <v>0.83599999999999997</v>
      </c>
      <c r="Q29" s="320">
        <f t="shared" si="10"/>
        <v>0.77700000000000002</v>
      </c>
      <c r="T29" s="457"/>
    </row>
    <row r="30" spans="2:20">
      <c r="B30" s="80">
        <f t="shared" si="11"/>
        <v>1926</v>
      </c>
      <c r="C30" s="316">
        <v>1.0169999999999999</v>
      </c>
      <c r="D30" s="316">
        <v>0.96099999999999997</v>
      </c>
      <c r="E30" s="316">
        <v>0.93600000000000005</v>
      </c>
      <c r="F30" s="316">
        <v>0.89100000000000001</v>
      </c>
      <c r="H30" s="317">
        <f t="shared" si="1"/>
        <v>1926</v>
      </c>
      <c r="I30" s="318">
        <f t="shared" si="2"/>
        <v>1.0169999999999999</v>
      </c>
      <c r="J30" s="318">
        <f t="shared" si="3"/>
        <v>0.96099999999999997</v>
      </c>
      <c r="K30" s="318">
        <f t="shared" si="4"/>
        <v>0.93600000000000005</v>
      </c>
      <c r="L30" s="319">
        <f t="shared" si="5"/>
        <v>0.89100000000000001</v>
      </c>
      <c r="M30" s="317">
        <f t="shared" si="6"/>
        <v>1981</v>
      </c>
      <c r="N30" s="318">
        <f t="shared" si="7"/>
        <v>1.026</v>
      </c>
      <c r="O30" s="318">
        <f t="shared" si="8"/>
        <v>0.93</v>
      </c>
      <c r="P30" s="318">
        <f t="shared" si="9"/>
        <v>0.88500000000000001</v>
      </c>
      <c r="Q30" s="320">
        <f t="shared" si="10"/>
        <v>0.82899999999999996</v>
      </c>
      <c r="T30" s="457"/>
    </row>
    <row r="31" spans="2:20">
      <c r="B31" s="80">
        <f t="shared" si="11"/>
        <v>1927</v>
      </c>
      <c r="C31" s="316">
        <v>1.0049999999999999</v>
      </c>
      <c r="D31" s="316">
        <v>1.0009999999999999</v>
      </c>
      <c r="E31" s="316">
        <v>1.0009999999999999</v>
      </c>
      <c r="F31" s="316">
        <v>0.98099999999999998</v>
      </c>
      <c r="H31" s="317">
        <f t="shared" si="1"/>
        <v>1927</v>
      </c>
      <c r="I31" s="318">
        <f t="shared" si="2"/>
        <v>1.0049999999999999</v>
      </c>
      <c r="J31" s="318">
        <f t="shared" si="3"/>
        <v>1.0009999999999999</v>
      </c>
      <c r="K31" s="318">
        <f t="shared" si="4"/>
        <v>1.0009999999999999</v>
      </c>
      <c r="L31" s="319">
        <f t="shared" si="5"/>
        <v>0.98099999999999998</v>
      </c>
      <c r="M31" s="317">
        <f t="shared" si="6"/>
        <v>1982</v>
      </c>
      <c r="N31" s="318">
        <f t="shared" si="7"/>
        <v>1.0149999999999999</v>
      </c>
      <c r="O31" s="318">
        <f t="shared" si="8"/>
        <v>0.96799999999999997</v>
      </c>
      <c r="P31" s="318">
        <f t="shared" si="9"/>
        <v>0.94699999999999995</v>
      </c>
      <c r="Q31" s="320">
        <f t="shared" si="10"/>
        <v>0.90500000000000003</v>
      </c>
      <c r="T31" s="457"/>
    </row>
    <row r="32" spans="2:20">
      <c r="B32" s="80">
        <f t="shared" si="11"/>
        <v>1928</v>
      </c>
      <c r="C32" s="316">
        <v>0.99199999999999999</v>
      </c>
      <c r="D32" s="316">
        <v>1.038</v>
      </c>
      <c r="E32" s="316">
        <v>1.0609999999999999</v>
      </c>
      <c r="F32" s="316">
        <v>1.079</v>
      </c>
      <c r="H32" s="317">
        <f t="shared" si="1"/>
        <v>1928</v>
      </c>
      <c r="I32" s="318">
        <f t="shared" si="2"/>
        <v>0.99199999999999999</v>
      </c>
      <c r="J32" s="318">
        <f t="shared" si="3"/>
        <v>1.038</v>
      </c>
      <c r="K32" s="318">
        <f t="shared" si="4"/>
        <v>1.0609999999999999</v>
      </c>
      <c r="L32" s="319">
        <f t="shared" si="5"/>
        <v>1.079</v>
      </c>
      <c r="M32" s="317">
        <f t="shared" si="6"/>
        <v>1983</v>
      </c>
      <c r="N32" s="318">
        <f t="shared" si="7"/>
        <v>1.0029999999999999</v>
      </c>
      <c r="O32" s="318">
        <f t="shared" si="8"/>
        <v>1.0069999999999999</v>
      </c>
      <c r="P32" s="318">
        <f t="shared" si="9"/>
        <v>1.0109999999999999</v>
      </c>
      <c r="Q32" s="320">
        <f t="shared" si="10"/>
        <v>0.997</v>
      </c>
      <c r="T32" s="457"/>
    </row>
    <row r="33" spans="2:20">
      <c r="B33" s="80">
        <f t="shared" si="11"/>
        <v>1929</v>
      </c>
      <c r="C33" s="316">
        <v>0.98099999999999998</v>
      </c>
      <c r="D33" s="316">
        <v>1.069</v>
      </c>
      <c r="E33" s="316">
        <v>1.1120000000000001</v>
      </c>
      <c r="F33" s="316">
        <v>1.1719999999999999</v>
      </c>
      <c r="H33" s="317">
        <f t="shared" si="1"/>
        <v>1929</v>
      </c>
      <c r="I33" s="318">
        <f t="shared" si="2"/>
        <v>0.98099999999999998</v>
      </c>
      <c r="J33" s="318">
        <f t="shared" si="3"/>
        <v>1.069</v>
      </c>
      <c r="K33" s="318">
        <f t="shared" si="4"/>
        <v>1.1120000000000001</v>
      </c>
      <c r="L33" s="319">
        <f t="shared" si="5"/>
        <v>1.1719999999999999</v>
      </c>
      <c r="M33" s="317">
        <f t="shared" si="6"/>
        <v>1984</v>
      </c>
      <c r="N33" s="318">
        <f t="shared" si="7"/>
        <v>0.99</v>
      </c>
      <c r="O33" s="318">
        <f t="shared" si="8"/>
        <v>1.044</v>
      </c>
      <c r="P33" s="318">
        <f t="shared" si="9"/>
        <v>1.07</v>
      </c>
      <c r="Q33" s="320">
        <f t="shared" si="10"/>
        <v>1.095</v>
      </c>
      <c r="T33" s="457"/>
    </row>
    <row r="34" spans="2:20">
      <c r="B34" s="80">
        <f t="shared" si="11"/>
        <v>1930</v>
      </c>
      <c r="C34" s="316">
        <v>0.97199999999999998</v>
      </c>
      <c r="D34" s="316">
        <v>1.093</v>
      </c>
      <c r="E34" s="316">
        <v>1.151</v>
      </c>
      <c r="F34" s="316">
        <v>1.2490000000000001</v>
      </c>
      <c r="H34" s="317">
        <f t="shared" si="1"/>
        <v>1930</v>
      </c>
      <c r="I34" s="318">
        <f t="shared" si="2"/>
        <v>0.97199999999999998</v>
      </c>
      <c r="J34" s="318">
        <f t="shared" si="3"/>
        <v>1.093</v>
      </c>
      <c r="K34" s="318">
        <f t="shared" si="4"/>
        <v>1.151</v>
      </c>
      <c r="L34" s="319">
        <f t="shared" si="5"/>
        <v>1.2490000000000001</v>
      </c>
      <c r="M34" s="317">
        <f t="shared" si="6"/>
        <v>1985</v>
      </c>
      <c r="N34" s="318">
        <f t="shared" si="7"/>
        <v>0.97899999999999998</v>
      </c>
      <c r="O34" s="318">
        <f t="shared" si="8"/>
        <v>1.0740000000000001</v>
      </c>
      <c r="P34" s="318">
        <f t="shared" si="9"/>
        <v>1.119</v>
      </c>
      <c r="Q34" s="320">
        <f t="shared" si="10"/>
        <v>1.1859999999999999</v>
      </c>
      <c r="T34" s="457"/>
    </row>
    <row r="35" spans="2:20">
      <c r="B35" s="80">
        <f t="shared" si="11"/>
        <v>1931</v>
      </c>
      <c r="C35" s="316">
        <v>0.96499999999999997</v>
      </c>
      <c r="D35" s="316">
        <v>1.1080000000000001</v>
      </c>
      <c r="E35" s="316">
        <v>1.175</v>
      </c>
      <c r="F35" s="316">
        <v>1.3</v>
      </c>
      <c r="H35" s="317">
        <f t="shared" si="1"/>
        <v>1931</v>
      </c>
      <c r="I35" s="318">
        <f t="shared" si="2"/>
        <v>0.96499999999999997</v>
      </c>
      <c r="J35" s="318">
        <f t="shared" si="3"/>
        <v>1.1080000000000001</v>
      </c>
      <c r="K35" s="318">
        <f t="shared" si="4"/>
        <v>1.175</v>
      </c>
      <c r="L35" s="319">
        <f t="shared" si="5"/>
        <v>1.3</v>
      </c>
      <c r="M35" s="317">
        <f t="shared" si="6"/>
        <v>1986</v>
      </c>
      <c r="N35" s="318">
        <f t="shared" si="7"/>
        <v>0.97</v>
      </c>
      <c r="O35" s="318">
        <f t="shared" si="8"/>
        <v>1.0960000000000001</v>
      </c>
      <c r="P35" s="318">
        <f t="shared" si="9"/>
        <v>1.155</v>
      </c>
      <c r="Q35" s="320">
        <f t="shared" si="10"/>
        <v>1.258</v>
      </c>
      <c r="T35" s="457"/>
    </row>
    <row r="36" spans="2:20">
      <c r="B36" s="80">
        <f t="shared" si="11"/>
        <v>1932</v>
      </c>
      <c r="C36" s="316">
        <v>0.96299999999999997</v>
      </c>
      <c r="D36" s="316">
        <v>1.113</v>
      </c>
      <c r="E36" s="316">
        <v>1.1830000000000001</v>
      </c>
      <c r="F36" s="316">
        <v>1.3169999999999999</v>
      </c>
      <c r="H36" s="317">
        <f t="shared" si="1"/>
        <v>1932</v>
      </c>
      <c r="I36" s="318">
        <f t="shared" si="2"/>
        <v>0.96299999999999997</v>
      </c>
      <c r="J36" s="318">
        <f t="shared" si="3"/>
        <v>1.113</v>
      </c>
      <c r="K36" s="318">
        <f t="shared" si="4"/>
        <v>1.1830000000000001</v>
      </c>
      <c r="L36" s="319">
        <f t="shared" si="5"/>
        <v>1.3169999999999999</v>
      </c>
      <c r="M36" s="317">
        <f t="shared" si="6"/>
        <v>1987</v>
      </c>
      <c r="N36" s="318">
        <f t="shared" si="7"/>
        <v>0.96499999999999997</v>
      </c>
      <c r="O36" s="318">
        <f t="shared" si="8"/>
        <v>1.109</v>
      </c>
      <c r="P36" s="318">
        <f t="shared" si="9"/>
        <v>1.177</v>
      </c>
      <c r="Q36" s="320">
        <f t="shared" si="10"/>
        <v>1.304</v>
      </c>
      <c r="T36" s="457"/>
    </row>
    <row r="37" spans="2:20">
      <c r="B37" s="80">
        <f t="shared" si="11"/>
        <v>1933</v>
      </c>
      <c r="C37" s="316">
        <v>0.96499999999999997</v>
      </c>
      <c r="D37" s="316">
        <v>1.1080000000000001</v>
      </c>
      <c r="E37" s="316">
        <v>1.175</v>
      </c>
      <c r="F37" s="316">
        <v>1.3</v>
      </c>
      <c r="H37" s="317">
        <f t="shared" si="1"/>
        <v>1933</v>
      </c>
      <c r="I37" s="318">
        <f t="shared" si="2"/>
        <v>0.96499999999999997</v>
      </c>
      <c r="J37" s="318">
        <f t="shared" si="3"/>
        <v>1.1080000000000001</v>
      </c>
      <c r="K37" s="318">
        <f t="shared" si="4"/>
        <v>1.175</v>
      </c>
      <c r="L37" s="319">
        <f t="shared" si="5"/>
        <v>1.3</v>
      </c>
      <c r="M37" s="317">
        <f t="shared" ref="M37:M57" si="12">B92</f>
        <v>1988</v>
      </c>
      <c r="N37" s="318">
        <f t="shared" ref="N37:N57" si="13">C92</f>
        <v>0.96399999999999997</v>
      </c>
      <c r="O37" s="318">
        <f t="shared" ref="O37:O57" si="14">D92</f>
        <v>1.113</v>
      </c>
      <c r="P37" s="318">
        <f t="shared" ref="P37:P57" si="15">E92</f>
        <v>1.1830000000000001</v>
      </c>
      <c r="Q37" s="320">
        <f t="shared" si="10"/>
        <v>1.3160000000000001</v>
      </c>
      <c r="T37" s="457"/>
    </row>
    <row r="38" spans="2:20">
      <c r="B38" s="80">
        <f t="shared" si="11"/>
        <v>1934</v>
      </c>
      <c r="C38" s="316">
        <v>0.97099999999999997</v>
      </c>
      <c r="D38" s="316">
        <v>1.093</v>
      </c>
      <c r="E38" s="316">
        <v>1.151</v>
      </c>
      <c r="F38" s="316">
        <v>1.2509999999999999</v>
      </c>
      <c r="H38" s="317">
        <f t="shared" si="1"/>
        <v>1934</v>
      </c>
      <c r="I38" s="318">
        <f t="shared" si="2"/>
        <v>0.97099999999999997</v>
      </c>
      <c r="J38" s="318">
        <f t="shared" si="3"/>
        <v>1.093</v>
      </c>
      <c r="K38" s="318">
        <f t="shared" si="4"/>
        <v>1.151</v>
      </c>
      <c r="L38" s="319">
        <f t="shared" si="5"/>
        <v>1.2509999999999999</v>
      </c>
      <c r="M38" s="317">
        <f t="shared" si="12"/>
        <v>1989</v>
      </c>
      <c r="N38" s="318">
        <f t="shared" si="13"/>
        <v>0.96599999999999997</v>
      </c>
      <c r="O38" s="318">
        <f t="shared" si="14"/>
        <v>1.1060000000000001</v>
      </c>
      <c r="P38" s="318">
        <f t="shared" si="15"/>
        <v>1.1719999999999999</v>
      </c>
      <c r="Q38" s="320">
        <f t="shared" si="10"/>
        <v>1.294</v>
      </c>
      <c r="T38" s="457"/>
    </row>
    <row r="39" spans="2:20">
      <c r="B39" s="80">
        <f t="shared" si="11"/>
        <v>1935</v>
      </c>
      <c r="C39" s="316">
        <v>0.98099999999999998</v>
      </c>
      <c r="D39" s="316">
        <v>1.07</v>
      </c>
      <c r="E39" s="316">
        <v>1.113</v>
      </c>
      <c r="F39" s="316">
        <v>1.1739999999999999</v>
      </c>
      <c r="H39" s="317">
        <f t="shared" si="1"/>
        <v>1935</v>
      </c>
      <c r="I39" s="318">
        <f t="shared" si="2"/>
        <v>0.98099999999999998</v>
      </c>
      <c r="J39" s="318">
        <f t="shared" si="3"/>
        <v>1.07</v>
      </c>
      <c r="K39" s="318">
        <f t="shared" si="4"/>
        <v>1.113</v>
      </c>
      <c r="L39" s="319">
        <f t="shared" si="5"/>
        <v>1.1739999999999999</v>
      </c>
      <c r="M39" s="317">
        <f t="shared" si="12"/>
        <v>1990</v>
      </c>
      <c r="N39" s="318">
        <f t="shared" si="13"/>
        <v>0.97299999999999998</v>
      </c>
      <c r="O39" s="318">
        <f t="shared" si="14"/>
        <v>1.0900000000000001</v>
      </c>
      <c r="P39" s="318">
        <f t="shared" si="15"/>
        <v>1.1459999999999999</v>
      </c>
      <c r="Q39" s="320">
        <f t="shared" si="10"/>
        <v>1.24</v>
      </c>
      <c r="T39" s="457"/>
    </row>
    <row r="40" spans="2:20">
      <c r="B40" s="80">
        <f t="shared" si="11"/>
        <v>1936</v>
      </c>
      <c r="C40" s="316">
        <v>0.99199999999999999</v>
      </c>
      <c r="D40" s="316">
        <v>1.0389999999999999</v>
      </c>
      <c r="E40" s="316">
        <v>1.0629999999999999</v>
      </c>
      <c r="F40" s="316">
        <v>1.0820000000000001</v>
      </c>
      <c r="H40" s="317">
        <f t="shared" si="1"/>
        <v>1936</v>
      </c>
      <c r="I40" s="318">
        <f t="shared" si="2"/>
        <v>0.99199999999999999</v>
      </c>
      <c r="J40" s="318">
        <f t="shared" si="3"/>
        <v>1.0389999999999999</v>
      </c>
      <c r="K40" s="318">
        <f t="shared" si="4"/>
        <v>1.0629999999999999</v>
      </c>
      <c r="L40" s="319">
        <f t="shared" si="5"/>
        <v>1.0820000000000001</v>
      </c>
      <c r="M40" s="317">
        <f t="shared" si="12"/>
        <v>1991</v>
      </c>
      <c r="N40" s="318">
        <f t="shared" si="13"/>
        <v>0.98199999999999998</v>
      </c>
      <c r="O40" s="318">
        <f t="shared" si="14"/>
        <v>1.0660000000000001</v>
      </c>
      <c r="P40" s="318">
        <f t="shared" si="15"/>
        <v>1.1060000000000001</v>
      </c>
      <c r="Q40" s="320">
        <f t="shared" si="10"/>
        <v>1.161</v>
      </c>
      <c r="T40" s="457"/>
    </row>
    <row r="41" spans="2:20">
      <c r="B41" s="80">
        <f t="shared" si="11"/>
        <v>1937</v>
      </c>
      <c r="C41" s="316">
        <v>1.004</v>
      </c>
      <c r="D41" s="316">
        <v>1.002</v>
      </c>
      <c r="E41" s="316">
        <v>1.0029999999999999</v>
      </c>
      <c r="F41" s="316">
        <v>0.98399999999999999</v>
      </c>
      <c r="H41" s="317">
        <f t="shared" si="1"/>
        <v>1937</v>
      </c>
      <c r="I41" s="318">
        <f t="shared" si="2"/>
        <v>1.004</v>
      </c>
      <c r="J41" s="318">
        <f t="shared" si="3"/>
        <v>1.002</v>
      </c>
      <c r="K41" s="318">
        <f t="shared" si="4"/>
        <v>1.0029999999999999</v>
      </c>
      <c r="L41" s="319">
        <f t="shared" si="5"/>
        <v>0.98399999999999999</v>
      </c>
      <c r="M41" s="317">
        <f t="shared" si="12"/>
        <v>1992</v>
      </c>
      <c r="N41" s="318">
        <f t="shared" si="13"/>
        <v>0.99399999999999999</v>
      </c>
      <c r="O41" s="318">
        <f t="shared" si="14"/>
        <v>1.034</v>
      </c>
      <c r="P41" s="318">
        <f t="shared" si="15"/>
        <v>1.054</v>
      </c>
      <c r="Q41" s="320">
        <f t="shared" si="10"/>
        <v>1.0660000000000001</v>
      </c>
      <c r="T41" s="457"/>
    </row>
    <row r="42" spans="2:20">
      <c r="B42" s="80">
        <f t="shared" si="11"/>
        <v>1938</v>
      </c>
      <c r="C42" s="316">
        <v>1.0169999999999999</v>
      </c>
      <c r="D42" s="316">
        <v>0.96199999999999997</v>
      </c>
      <c r="E42" s="316">
        <v>0.93799999999999994</v>
      </c>
      <c r="F42" s="316">
        <v>0.89400000000000002</v>
      </c>
      <c r="H42" s="317">
        <f t="shared" si="1"/>
        <v>1938</v>
      </c>
      <c r="I42" s="318">
        <f t="shared" si="2"/>
        <v>1.0169999999999999</v>
      </c>
      <c r="J42" s="318">
        <f t="shared" si="3"/>
        <v>0.96199999999999997</v>
      </c>
      <c r="K42" s="318">
        <f t="shared" si="4"/>
        <v>0.93799999999999994</v>
      </c>
      <c r="L42" s="319">
        <f t="shared" si="5"/>
        <v>0.89400000000000002</v>
      </c>
      <c r="M42" s="317">
        <f t="shared" si="12"/>
        <v>1993</v>
      </c>
      <c r="N42" s="318">
        <f t="shared" si="13"/>
        <v>1.006</v>
      </c>
      <c r="O42" s="318">
        <f t="shared" si="14"/>
        <v>0.996</v>
      </c>
      <c r="P42" s="318">
        <f t="shared" si="15"/>
        <v>0.99199999999999999</v>
      </c>
      <c r="Q42" s="320">
        <f t="shared" si="10"/>
        <v>0.96799999999999997</v>
      </c>
      <c r="T42" s="457"/>
    </row>
    <row r="43" spans="2:20">
      <c r="B43" s="80">
        <f t="shared" si="11"/>
        <v>1939</v>
      </c>
      <c r="C43" s="316">
        <v>1.0269999999999999</v>
      </c>
      <c r="D43" s="316">
        <v>0.92500000000000004</v>
      </c>
      <c r="E43" s="316">
        <v>0.878</v>
      </c>
      <c r="F43" s="316">
        <v>0.82099999999999995</v>
      </c>
      <c r="H43" s="317">
        <f t="shared" si="1"/>
        <v>1939</v>
      </c>
      <c r="I43" s="318">
        <f t="shared" si="2"/>
        <v>1.0269999999999999</v>
      </c>
      <c r="J43" s="318">
        <f t="shared" si="3"/>
        <v>0.92500000000000004</v>
      </c>
      <c r="K43" s="318">
        <f t="shared" si="4"/>
        <v>0.878</v>
      </c>
      <c r="L43" s="319">
        <f t="shared" si="5"/>
        <v>0.82099999999999995</v>
      </c>
      <c r="M43" s="317">
        <f t="shared" si="12"/>
        <v>1994</v>
      </c>
      <c r="N43" s="318">
        <f t="shared" si="13"/>
        <v>1.018</v>
      </c>
      <c r="O43" s="318">
        <f t="shared" si="14"/>
        <v>0.95599999999999996</v>
      </c>
      <c r="P43" s="318">
        <f t="shared" si="15"/>
        <v>0.92700000000000005</v>
      </c>
      <c r="Q43" s="320">
        <f t="shared" si="10"/>
        <v>0.879</v>
      </c>
      <c r="T43" s="457"/>
    </row>
    <row r="44" spans="2:20">
      <c r="B44" s="80">
        <f t="shared" si="11"/>
        <v>1940</v>
      </c>
      <c r="C44" s="316">
        <v>1.034</v>
      </c>
      <c r="D44" s="316">
        <v>0.89700000000000002</v>
      </c>
      <c r="E44" s="316">
        <v>0.83099999999999996</v>
      </c>
      <c r="F44" s="316">
        <v>0.77200000000000002</v>
      </c>
      <c r="H44" s="317">
        <f t="shared" si="1"/>
        <v>1940</v>
      </c>
      <c r="I44" s="318">
        <f t="shared" si="2"/>
        <v>1.034</v>
      </c>
      <c r="J44" s="318">
        <f t="shared" si="3"/>
        <v>0.89700000000000002</v>
      </c>
      <c r="K44" s="318">
        <f t="shared" si="4"/>
        <v>0.83099999999999996</v>
      </c>
      <c r="L44" s="319">
        <f t="shared" si="5"/>
        <v>0.77200000000000002</v>
      </c>
      <c r="M44" s="317">
        <f t="shared" si="12"/>
        <v>1995</v>
      </c>
      <c r="N44" s="318">
        <f t="shared" si="13"/>
        <v>1.028</v>
      </c>
      <c r="O44" s="318">
        <f t="shared" si="14"/>
        <v>0.92</v>
      </c>
      <c r="P44" s="318">
        <f t="shared" si="15"/>
        <v>0.86899999999999999</v>
      </c>
      <c r="Q44" s="320">
        <f t="shared" si="10"/>
        <v>0.81</v>
      </c>
      <c r="T44" s="457"/>
    </row>
    <row r="45" spans="2:20">
      <c r="B45" s="80">
        <f t="shared" si="11"/>
        <v>1941</v>
      </c>
      <c r="C45" s="316">
        <v>1.038</v>
      </c>
      <c r="D45" s="316">
        <v>0.88300000000000001</v>
      </c>
      <c r="E45" s="316">
        <v>0.80800000000000005</v>
      </c>
      <c r="F45" s="316">
        <v>0.75</v>
      </c>
      <c r="H45" s="317">
        <f t="shared" si="1"/>
        <v>1941</v>
      </c>
      <c r="I45" s="318">
        <f t="shared" si="2"/>
        <v>1.038</v>
      </c>
      <c r="J45" s="318">
        <f t="shared" si="3"/>
        <v>0.88300000000000001</v>
      </c>
      <c r="K45" s="318">
        <f t="shared" si="4"/>
        <v>0.80800000000000005</v>
      </c>
      <c r="L45" s="319">
        <f t="shared" si="5"/>
        <v>0.75</v>
      </c>
      <c r="M45" s="317">
        <f t="shared" si="12"/>
        <v>1996</v>
      </c>
      <c r="N45" s="318">
        <f t="shared" si="13"/>
        <v>1.0349999999999999</v>
      </c>
      <c r="O45" s="318">
        <f t="shared" si="14"/>
        <v>0.89400000000000002</v>
      </c>
      <c r="P45" s="318">
        <f t="shared" si="15"/>
        <v>0.82599999999999996</v>
      </c>
      <c r="Q45" s="320">
        <f t="shared" si="10"/>
        <v>0.76600000000000001</v>
      </c>
      <c r="T45" s="457"/>
    </row>
    <row r="46" spans="2:20">
      <c r="B46" s="80">
        <f t="shared" si="11"/>
        <v>1942</v>
      </c>
      <c r="C46" s="316">
        <v>1.0369999999999999</v>
      </c>
      <c r="D46" s="316">
        <v>0.88600000000000001</v>
      </c>
      <c r="E46" s="316">
        <v>0.81299999999999994</v>
      </c>
      <c r="F46" s="316">
        <v>0.754</v>
      </c>
      <c r="H46" s="317">
        <f t="shared" si="1"/>
        <v>1942</v>
      </c>
      <c r="I46" s="318">
        <f t="shared" si="2"/>
        <v>1.0369999999999999</v>
      </c>
      <c r="J46" s="318">
        <f t="shared" si="3"/>
        <v>0.88600000000000001</v>
      </c>
      <c r="K46" s="318">
        <f t="shared" si="4"/>
        <v>0.81299999999999994</v>
      </c>
      <c r="L46" s="319">
        <f t="shared" si="5"/>
        <v>0.754</v>
      </c>
      <c r="M46" s="317">
        <f t="shared" si="12"/>
        <v>1997</v>
      </c>
      <c r="N46" s="318">
        <f t="shared" si="13"/>
        <v>1.038</v>
      </c>
      <c r="O46" s="318">
        <f t="shared" si="14"/>
        <v>0.88300000000000001</v>
      </c>
      <c r="P46" s="318">
        <f t="shared" si="15"/>
        <v>0.80700000000000005</v>
      </c>
      <c r="Q46" s="320">
        <f t="shared" si="10"/>
        <v>0.748</v>
      </c>
      <c r="T46" s="457"/>
    </row>
    <row r="47" spans="2:20">
      <c r="B47" s="80">
        <f t="shared" si="11"/>
        <v>1943</v>
      </c>
      <c r="C47" s="316">
        <v>1.032</v>
      </c>
      <c r="D47" s="316">
        <v>0.90600000000000003</v>
      </c>
      <c r="E47" s="316">
        <v>0.84599999999999997</v>
      </c>
      <c r="F47" s="316">
        <v>0.78600000000000003</v>
      </c>
      <c r="H47" s="317">
        <f t="shared" si="1"/>
        <v>1943</v>
      </c>
      <c r="I47" s="318">
        <f t="shared" si="2"/>
        <v>1.032</v>
      </c>
      <c r="J47" s="318">
        <f t="shared" si="3"/>
        <v>0.90600000000000003</v>
      </c>
      <c r="K47" s="318">
        <f t="shared" si="4"/>
        <v>0.84599999999999997</v>
      </c>
      <c r="L47" s="319">
        <f t="shared" si="5"/>
        <v>0.78600000000000003</v>
      </c>
      <c r="M47" s="317">
        <f t="shared" si="12"/>
        <v>1998</v>
      </c>
      <c r="N47" s="318">
        <f t="shared" si="13"/>
        <v>1.0367</v>
      </c>
      <c r="O47" s="318">
        <f t="shared" si="14"/>
        <v>0.88470000000000004</v>
      </c>
      <c r="P47" s="318">
        <f t="shared" si="15"/>
        <v>0.81799999999999995</v>
      </c>
      <c r="Q47" s="320">
        <f t="shared" si="10"/>
        <v>0.75900000000000001</v>
      </c>
      <c r="T47" s="457"/>
    </row>
    <row r="48" spans="2:20">
      <c r="B48" s="80">
        <f t="shared" si="11"/>
        <v>1944</v>
      </c>
      <c r="C48" s="316">
        <v>1.0229999999999999</v>
      </c>
      <c r="D48" s="316">
        <v>0.93799999999999994</v>
      </c>
      <c r="E48" s="316">
        <v>0.89800000000000002</v>
      </c>
      <c r="F48" s="316">
        <v>0.84399999999999997</v>
      </c>
      <c r="H48" s="317">
        <f t="shared" si="1"/>
        <v>1944</v>
      </c>
      <c r="I48" s="318">
        <f t="shared" si="2"/>
        <v>1.0229999999999999</v>
      </c>
      <c r="J48" s="318">
        <f t="shared" si="3"/>
        <v>0.93799999999999994</v>
      </c>
      <c r="K48" s="318">
        <f t="shared" si="4"/>
        <v>0.89800000000000002</v>
      </c>
      <c r="L48" s="319">
        <f t="shared" si="5"/>
        <v>0.84399999999999997</v>
      </c>
      <c r="M48" s="317">
        <f t="shared" si="12"/>
        <v>1999</v>
      </c>
      <c r="N48" s="318">
        <f t="shared" si="13"/>
        <v>1.0330999999999999</v>
      </c>
      <c r="O48" s="318">
        <f t="shared" si="14"/>
        <v>0.90510000000000002</v>
      </c>
      <c r="P48" s="318">
        <f t="shared" si="15"/>
        <v>0.85599999999999998</v>
      </c>
      <c r="Q48" s="320">
        <f t="shared" si="10"/>
        <v>0.79700000000000004</v>
      </c>
      <c r="T48" s="457"/>
    </row>
    <row r="49" spans="2:20">
      <c r="B49" s="80">
        <f t="shared" si="11"/>
        <v>1945</v>
      </c>
      <c r="C49" s="316">
        <v>1.012</v>
      </c>
      <c r="D49" s="316">
        <v>0.97599999999999998</v>
      </c>
      <c r="E49" s="316">
        <v>0.96099999999999997</v>
      </c>
      <c r="F49" s="316">
        <v>0.92400000000000004</v>
      </c>
      <c r="H49" s="317">
        <f t="shared" si="1"/>
        <v>1945</v>
      </c>
      <c r="I49" s="318">
        <f t="shared" si="2"/>
        <v>1.012</v>
      </c>
      <c r="J49" s="318">
        <f t="shared" si="3"/>
        <v>0.97599999999999998</v>
      </c>
      <c r="K49" s="318">
        <f t="shared" si="4"/>
        <v>0.96099999999999997</v>
      </c>
      <c r="L49" s="319">
        <f t="shared" si="5"/>
        <v>0.92400000000000004</v>
      </c>
      <c r="M49" s="317">
        <f t="shared" si="12"/>
        <v>2000</v>
      </c>
      <c r="N49" s="318">
        <f t="shared" si="13"/>
        <v>1.0236000000000001</v>
      </c>
      <c r="O49" s="318">
        <f t="shared" si="14"/>
        <v>0.93559999999999999</v>
      </c>
      <c r="P49" s="318">
        <f t="shared" si="15"/>
        <v>0.91200000000000003</v>
      </c>
      <c r="Q49" s="320">
        <f t="shared" si="10"/>
        <v>0.86</v>
      </c>
      <c r="T49" s="457"/>
    </row>
    <row r="50" spans="2:20">
      <c r="B50" s="80">
        <f t="shared" si="11"/>
        <v>1946</v>
      </c>
      <c r="C50" s="316">
        <v>1</v>
      </c>
      <c r="D50" s="316">
        <v>1.016</v>
      </c>
      <c r="E50" s="316">
        <v>1.026</v>
      </c>
      <c r="F50" s="316">
        <v>1.0189999999999999</v>
      </c>
      <c r="H50" s="317">
        <f t="shared" si="1"/>
        <v>1946</v>
      </c>
      <c r="I50" s="318">
        <f t="shared" si="2"/>
        <v>1</v>
      </c>
      <c r="J50" s="318">
        <f t="shared" si="3"/>
        <v>1.016</v>
      </c>
      <c r="K50" s="318">
        <f t="shared" si="4"/>
        <v>1.026</v>
      </c>
      <c r="L50" s="319">
        <f t="shared" si="5"/>
        <v>1.0189999999999999</v>
      </c>
      <c r="M50" s="317">
        <f t="shared" si="12"/>
        <v>2001</v>
      </c>
      <c r="N50" s="318">
        <f t="shared" si="13"/>
        <v>1.012</v>
      </c>
      <c r="O50" s="318">
        <f t="shared" si="14"/>
        <v>0.97710000000000008</v>
      </c>
      <c r="P50" s="318">
        <f t="shared" si="15"/>
        <v>0.97599999999999998</v>
      </c>
      <c r="Q50" s="320">
        <f t="shared" si="10"/>
        <v>0.94499999999999995</v>
      </c>
      <c r="T50" s="457"/>
    </row>
    <row r="51" spans="2:20">
      <c r="B51" s="80">
        <f t="shared" si="11"/>
        <v>1947</v>
      </c>
      <c r="C51" s="316">
        <v>0.98799999999999999</v>
      </c>
      <c r="D51" s="316">
        <v>1.052</v>
      </c>
      <c r="E51" s="316">
        <v>1.083</v>
      </c>
      <c r="F51" s="316">
        <v>1.1160000000000001</v>
      </c>
      <c r="H51" s="317">
        <f t="shared" si="1"/>
        <v>1947</v>
      </c>
      <c r="I51" s="318">
        <f t="shared" si="2"/>
        <v>0.98799999999999999</v>
      </c>
      <c r="J51" s="318">
        <f t="shared" si="3"/>
        <v>1.052</v>
      </c>
      <c r="K51" s="318">
        <f t="shared" si="4"/>
        <v>1.083</v>
      </c>
      <c r="L51" s="319">
        <f t="shared" si="5"/>
        <v>1.1160000000000001</v>
      </c>
      <c r="M51" s="317">
        <f t="shared" si="12"/>
        <v>2002</v>
      </c>
      <c r="N51" s="318">
        <f t="shared" si="13"/>
        <v>0.99959999999999993</v>
      </c>
      <c r="O51" s="318">
        <f t="shared" si="14"/>
        <v>1.0153000000000001</v>
      </c>
      <c r="P51" s="318">
        <f t="shared" si="15"/>
        <v>1.0389999999999999</v>
      </c>
      <c r="Q51" s="320">
        <f t="shared" si="10"/>
        <v>1.0409999999999999</v>
      </c>
      <c r="T51" s="457"/>
    </row>
    <row r="52" spans="2:20">
      <c r="B52" s="80">
        <f t="shared" si="11"/>
        <v>1948</v>
      </c>
      <c r="C52" s="316">
        <v>0.97699999999999998</v>
      </c>
      <c r="D52" s="316">
        <v>1.08</v>
      </c>
      <c r="E52" s="316">
        <v>1.129</v>
      </c>
      <c r="F52" s="316">
        <v>1.204</v>
      </c>
      <c r="H52" s="317">
        <f t="shared" si="1"/>
        <v>1948</v>
      </c>
      <c r="I52" s="318">
        <f t="shared" si="2"/>
        <v>0.97699999999999998</v>
      </c>
      <c r="J52" s="318">
        <f t="shared" si="3"/>
        <v>1.08</v>
      </c>
      <c r="K52" s="318">
        <f t="shared" si="4"/>
        <v>1.129</v>
      </c>
      <c r="L52" s="319">
        <f t="shared" si="5"/>
        <v>1.204</v>
      </c>
      <c r="M52" s="317">
        <f t="shared" si="12"/>
        <v>2003</v>
      </c>
      <c r="N52" s="318">
        <f t="shared" si="13"/>
        <v>0.98780000000000001</v>
      </c>
      <c r="O52" s="318">
        <f t="shared" si="14"/>
        <v>1.0492000000000001</v>
      </c>
      <c r="P52" s="318">
        <f t="shared" si="15"/>
        <v>1.0940000000000001</v>
      </c>
      <c r="Q52" s="320">
        <f t="shared" si="10"/>
        <v>1.137</v>
      </c>
      <c r="T52" s="457"/>
    </row>
    <row r="53" spans="2:20">
      <c r="B53" s="80">
        <f t="shared" si="11"/>
        <v>1949</v>
      </c>
      <c r="C53" s="316">
        <v>0.96899999999999997</v>
      </c>
      <c r="D53" s="316">
        <v>1.1000000000000001</v>
      </c>
      <c r="E53" s="316">
        <v>1.1619999999999999</v>
      </c>
      <c r="F53" s="316">
        <v>1.272</v>
      </c>
      <c r="H53" s="317">
        <f t="shared" si="1"/>
        <v>1949</v>
      </c>
      <c r="I53" s="318">
        <f t="shared" si="2"/>
        <v>0.96899999999999997</v>
      </c>
      <c r="J53" s="318">
        <f t="shared" si="3"/>
        <v>1.1000000000000001</v>
      </c>
      <c r="K53" s="318">
        <f t="shared" si="4"/>
        <v>1.1619999999999999</v>
      </c>
      <c r="L53" s="319">
        <f t="shared" si="5"/>
        <v>1.272</v>
      </c>
      <c r="M53" s="317">
        <f t="shared" si="12"/>
        <v>2004</v>
      </c>
      <c r="N53" s="318">
        <f t="shared" si="13"/>
        <v>0.97739999999999994</v>
      </c>
      <c r="O53" s="318">
        <f t="shared" si="14"/>
        <v>1.0814000000000001</v>
      </c>
      <c r="P53" s="318">
        <f t="shared" si="15"/>
        <v>1.137</v>
      </c>
      <c r="Q53" s="320">
        <f t="shared" si="10"/>
        <v>1.222</v>
      </c>
      <c r="T53" s="457"/>
    </row>
    <row r="54" spans="2:20">
      <c r="B54" s="80">
        <f t="shared" si="11"/>
        <v>1950</v>
      </c>
      <c r="C54" s="316">
        <v>0.96399999999999997</v>
      </c>
      <c r="D54" s="316">
        <v>1.111</v>
      </c>
      <c r="E54" s="316">
        <v>1.18</v>
      </c>
      <c r="F54" s="316">
        <v>1.31</v>
      </c>
      <c r="H54" s="317">
        <f t="shared" si="1"/>
        <v>1950</v>
      </c>
      <c r="I54" s="318">
        <f t="shared" si="2"/>
        <v>0.96399999999999997</v>
      </c>
      <c r="J54" s="318">
        <f t="shared" si="3"/>
        <v>1.111</v>
      </c>
      <c r="K54" s="318">
        <f t="shared" si="4"/>
        <v>1.18</v>
      </c>
      <c r="L54" s="319">
        <f t="shared" si="5"/>
        <v>1.31</v>
      </c>
      <c r="M54" s="317">
        <f t="shared" si="12"/>
        <v>2005</v>
      </c>
      <c r="N54" s="318">
        <f t="shared" si="13"/>
        <v>0.96909999999999996</v>
      </c>
      <c r="O54" s="318">
        <f t="shared" si="14"/>
        <v>1.1017000000000001</v>
      </c>
      <c r="P54" s="318">
        <f t="shared" si="15"/>
        <v>1.167</v>
      </c>
      <c r="Q54" s="320">
        <f t="shared" si="10"/>
        <v>1.2829999999999999</v>
      </c>
      <c r="T54" s="457"/>
    </row>
    <row r="55" spans="2:20">
      <c r="B55" s="80">
        <f t="shared" si="11"/>
        <v>1951</v>
      </c>
      <c r="C55" s="316">
        <v>0.96399999999999997</v>
      </c>
      <c r="D55" s="316">
        <v>1.1120000000000001</v>
      </c>
      <c r="E55" s="316">
        <v>1.181</v>
      </c>
      <c r="F55" s="316">
        <v>1.3140000000000001</v>
      </c>
      <c r="H55" s="317">
        <f t="shared" si="1"/>
        <v>1951</v>
      </c>
      <c r="I55" s="318">
        <f t="shared" si="2"/>
        <v>0.96399999999999997</v>
      </c>
      <c r="J55" s="318">
        <f t="shared" si="3"/>
        <v>1.1120000000000001</v>
      </c>
      <c r="K55" s="318">
        <f t="shared" si="4"/>
        <v>1.181</v>
      </c>
      <c r="L55" s="319">
        <f t="shared" si="5"/>
        <v>1.3140000000000001</v>
      </c>
      <c r="M55" s="317">
        <f t="shared" si="12"/>
        <v>2006</v>
      </c>
      <c r="N55" s="318">
        <f t="shared" si="13"/>
        <v>0.96449999999999991</v>
      </c>
      <c r="O55" s="318">
        <f t="shared" si="14"/>
        <v>1.1119000000000001</v>
      </c>
      <c r="P55" s="318">
        <f t="shared" si="15"/>
        <v>1.181</v>
      </c>
      <c r="Q55" s="320">
        <f t="shared" si="10"/>
        <v>1.3140000000000001</v>
      </c>
      <c r="T55" s="457"/>
    </row>
    <row r="56" spans="2:20">
      <c r="B56" s="80">
        <f t="shared" si="11"/>
        <v>1952</v>
      </c>
      <c r="C56" s="316">
        <v>0.96699999999999997</v>
      </c>
      <c r="D56" s="316">
        <v>1.103</v>
      </c>
      <c r="E56" s="316">
        <v>1.167</v>
      </c>
      <c r="F56" s="316">
        <v>1.284</v>
      </c>
      <c r="H56" s="317">
        <f t="shared" si="1"/>
        <v>1952</v>
      </c>
      <c r="I56" s="318">
        <f t="shared" si="2"/>
        <v>0.96699999999999997</v>
      </c>
      <c r="J56" s="318">
        <f t="shared" si="3"/>
        <v>1.103</v>
      </c>
      <c r="K56" s="318">
        <f t="shared" si="4"/>
        <v>1.167</v>
      </c>
      <c r="L56" s="319">
        <f t="shared" si="5"/>
        <v>1.284</v>
      </c>
      <c r="M56" s="317">
        <f t="shared" si="12"/>
        <v>2007</v>
      </c>
      <c r="N56" s="318">
        <f t="shared" si="13"/>
        <v>0.96429999999999993</v>
      </c>
      <c r="O56" s="318">
        <f t="shared" si="14"/>
        <v>1.1120000000000001</v>
      </c>
      <c r="P56" s="318">
        <f t="shared" si="15"/>
        <v>1.18</v>
      </c>
      <c r="Q56" s="320">
        <f t="shared" si="10"/>
        <v>1.3109999999999999</v>
      </c>
      <c r="T56" s="457"/>
    </row>
    <row r="57" spans="2:20">
      <c r="B57" s="80">
        <f t="shared" si="11"/>
        <v>1953</v>
      </c>
      <c r="C57" s="316">
        <v>0.97499999999999998</v>
      </c>
      <c r="D57" s="316">
        <v>1.085</v>
      </c>
      <c r="E57" s="316">
        <v>1.1379999999999999</v>
      </c>
      <c r="F57" s="316">
        <v>1.2230000000000001</v>
      </c>
      <c r="H57" s="317">
        <f t="shared" si="1"/>
        <v>1953</v>
      </c>
      <c r="I57" s="318">
        <f t="shared" si="2"/>
        <v>0.97499999999999998</v>
      </c>
      <c r="J57" s="318">
        <f t="shared" si="3"/>
        <v>1.085</v>
      </c>
      <c r="K57" s="318">
        <f t="shared" si="4"/>
        <v>1.1379999999999999</v>
      </c>
      <c r="L57" s="319">
        <f t="shared" si="5"/>
        <v>1.2230000000000001</v>
      </c>
      <c r="M57" s="317">
        <f t="shared" si="12"/>
        <v>2008</v>
      </c>
      <c r="N57" s="318">
        <f t="shared" si="13"/>
        <v>0.9677</v>
      </c>
      <c r="O57" s="318">
        <f t="shared" si="14"/>
        <v>1.103</v>
      </c>
      <c r="P57" s="318">
        <f t="shared" si="15"/>
        <v>1.163</v>
      </c>
      <c r="Q57" s="320">
        <f t="shared" si="10"/>
        <v>1.2729999999999999</v>
      </c>
      <c r="T57" s="457"/>
    </row>
    <row r="58" spans="2:20">
      <c r="B58" s="80">
        <f t="shared" si="11"/>
        <v>1954</v>
      </c>
      <c r="C58" s="316">
        <v>0.98499999999999999</v>
      </c>
      <c r="D58" s="316">
        <v>1.0589999999999999</v>
      </c>
      <c r="E58" s="316">
        <v>1.095</v>
      </c>
      <c r="F58" s="316">
        <v>1.1399999999999999</v>
      </c>
      <c r="H58" s="321">
        <f t="shared" si="1"/>
        <v>1954</v>
      </c>
      <c r="I58" s="322">
        <f t="shared" si="2"/>
        <v>0.98499999999999999</v>
      </c>
      <c r="J58" s="322">
        <f t="shared" si="3"/>
        <v>1.0589999999999999</v>
      </c>
      <c r="K58" s="322">
        <f t="shared" si="4"/>
        <v>1.095</v>
      </c>
      <c r="L58" s="323">
        <f t="shared" si="5"/>
        <v>1.1399999999999999</v>
      </c>
      <c r="M58" s="317">
        <f t="shared" ref="M58:Q61" si="16">B113</f>
        <v>2009</v>
      </c>
      <c r="N58" s="318">
        <f t="shared" si="16"/>
        <v>0.97519999999999996</v>
      </c>
      <c r="O58" s="318">
        <f t="shared" si="16"/>
        <v>1.085</v>
      </c>
      <c r="P58" s="318">
        <f t="shared" si="16"/>
        <v>1.1299999999999999</v>
      </c>
      <c r="Q58" s="320">
        <f t="shared" si="16"/>
        <v>1.2070000000000001</v>
      </c>
      <c r="T58" s="457"/>
    </row>
    <row r="59" spans="2:20">
      <c r="B59" s="80">
        <f t="shared" si="11"/>
        <v>1955</v>
      </c>
      <c r="C59" s="316">
        <v>0.997</v>
      </c>
      <c r="D59" s="316">
        <v>1.0249999999999999</v>
      </c>
      <c r="E59" s="316">
        <v>1.0409999999999999</v>
      </c>
      <c r="F59" s="316">
        <v>1.044</v>
      </c>
      <c r="H59" s="324"/>
      <c r="I59" s="1"/>
      <c r="J59" s="1"/>
      <c r="K59" s="1"/>
      <c r="L59" s="1"/>
      <c r="M59" s="317">
        <f t="shared" si="16"/>
        <v>2010</v>
      </c>
      <c r="N59" s="318">
        <f t="shared" si="16"/>
        <v>0.98509999999999998</v>
      </c>
      <c r="O59" s="318">
        <f t="shared" si="16"/>
        <v>1.0589999999999999</v>
      </c>
      <c r="P59" s="318">
        <f t="shared" si="16"/>
        <v>1.0840000000000001</v>
      </c>
      <c r="Q59" s="320">
        <f t="shared" si="16"/>
        <v>1.119</v>
      </c>
      <c r="T59" s="457"/>
    </row>
    <row r="60" spans="2:20">
      <c r="B60" s="80">
        <f t="shared" si="11"/>
        <v>1956</v>
      </c>
      <c r="C60" s="316">
        <v>1.0089999999999999</v>
      </c>
      <c r="D60" s="316">
        <v>0.98699999999999999</v>
      </c>
      <c r="E60" s="316">
        <v>0.97799999999999998</v>
      </c>
      <c r="F60" s="316">
        <v>0.94799999999999995</v>
      </c>
      <c r="M60" s="317">
        <f t="shared" si="16"/>
        <v>2011</v>
      </c>
      <c r="N60" s="318">
        <f t="shared" si="16"/>
        <v>0.997</v>
      </c>
      <c r="O60" s="318">
        <f t="shared" si="16"/>
        <v>1.0249999999999999</v>
      </c>
      <c r="P60" s="318">
        <f t="shared" si="16"/>
        <v>1.0269999999999999</v>
      </c>
      <c r="Q60" s="320">
        <f t="shared" si="16"/>
        <v>1.0209999999999999</v>
      </c>
      <c r="T60" s="457"/>
    </row>
    <row r="61" spans="2:20">
      <c r="B61" s="80">
        <f t="shared" si="11"/>
        <v>1957</v>
      </c>
      <c r="C61" s="316">
        <v>1.0209999999999999</v>
      </c>
      <c r="D61" s="316">
        <v>0.94699999999999995</v>
      </c>
      <c r="E61" s="316">
        <v>0.91400000000000003</v>
      </c>
      <c r="F61" s="316">
        <v>0.86199999999999999</v>
      </c>
      <c r="M61" s="317">
        <f t="shared" si="16"/>
        <v>2012</v>
      </c>
      <c r="N61" s="318">
        <f t="shared" si="16"/>
        <v>1.0090999999999999</v>
      </c>
      <c r="O61" s="318">
        <f t="shared" si="16"/>
        <v>0.98699999999999999</v>
      </c>
      <c r="P61" s="318">
        <f t="shared" si="16"/>
        <v>0.96299999999999997</v>
      </c>
      <c r="Q61" s="320">
        <f t="shared" si="16"/>
        <v>0.92600000000000005</v>
      </c>
      <c r="T61" s="457"/>
    </row>
    <row r="62" spans="2:20">
      <c r="B62" s="80">
        <f t="shared" si="11"/>
        <v>1958</v>
      </c>
      <c r="C62" s="316">
        <v>1.03</v>
      </c>
      <c r="D62" s="316">
        <v>0.91300000000000003</v>
      </c>
      <c r="E62" s="316">
        <v>0.85799999999999998</v>
      </c>
      <c r="F62" s="316">
        <v>0.79800000000000004</v>
      </c>
      <c r="M62" s="317">
        <f t="shared" ref="M62:M76" si="17">B117</f>
        <v>2013</v>
      </c>
      <c r="T62" s="457"/>
    </row>
    <row r="63" spans="2:20">
      <c r="B63" s="80">
        <f t="shared" si="11"/>
        <v>1959</v>
      </c>
      <c r="C63" s="316">
        <v>1.036</v>
      </c>
      <c r="D63" s="316">
        <v>0.89</v>
      </c>
      <c r="E63" s="316">
        <v>0.81899999999999995</v>
      </c>
      <c r="F63" s="316">
        <v>0.76</v>
      </c>
      <c r="M63" s="317">
        <f t="shared" si="17"/>
        <v>2014</v>
      </c>
      <c r="T63" s="457"/>
    </row>
    <row r="64" spans="2:20">
      <c r="B64" s="80">
        <f t="shared" si="11"/>
        <v>1960</v>
      </c>
      <c r="C64" s="316">
        <v>1.038</v>
      </c>
      <c r="D64" s="316">
        <v>0.88200000000000001</v>
      </c>
      <c r="E64" s="316">
        <v>0.80600000000000005</v>
      </c>
      <c r="F64" s="316">
        <v>0.748</v>
      </c>
      <c r="M64" s="317">
        <f t="shared" si="17"/>
        <v>2015</v>
      </c>
      <c r="T64" s="457"/>
    </row>
    <row r="65" spans="2:20">
      <c r="B65" s="80">
        <f t="shared" si="11"/>
        <v>1961</v>
      </c>
      <c r="C65" s="316">
        <v>1.0349999999999999</v>
      </c>
      <c r="D65" s="316">
        <v>0.89200000000000002</v>
      </c>
      <c r="E65" s="316">
        <v>0.82199999999999995</v>
      </c>
      <c r="F65" s="316">
        <v>0.76300000000000001</v>
      </c>
      <c r="M65" s="317">
        <f t="shared" si="17"/>
        <v>2016</v>
      </c>
      <c r="T65" s="457"/>
    </row>
    <row r="66" spans="2:20">
      <c r="B66" s="80">
        <f t="shared" si="11"/>
        <v>1962</v>
      </c>
      <c r="C66" s="316">
        <v>1.0289999999999999</v>
      </c>
      <c r="D66" s="316">
        <v>0.91700000000000004</v>
      </c>
      <c r="E66" s="316">
        <v>0.86399999999999999</v>
      </c>
      <c r="F66" s="316">
        <v>0.80500000000000005</v>
      </c>
      <c r="M66" s="317">
        <f t="shared" si="17"/>
        <v>2017</v>
      </c>
      <c r="T66" s="457"/>
    </row>
    <row r="67" spans="2:20">
      <c r="B67" s="80">
        <f t="shared" si="11"/>
        <v>1963</v>
      </c>
      <c r="C67" s="316">
        <v>1.0189999999999999</v>
      </c>
      <c r="D67" s="316">
        <v>0.95299999999999996</v>
      </c>
      <c r="E67" s="316">
        <v>0.92200000000000004</v>
      </c>
      <c r="F67" s="316">
        <v>0.873</v>
      </c>
      <c r="M67" s="317">
        <f t="shared" si="17"/>
        <v>2018</v>
      </c>
      <c r="T67" s="457"/>
    </row>
    <row r="68" spans="2:20">
      <c r="B68" s="80">
        <f t="shared" si="11"/>
        <v>1964</v>
      </c>
      <c r="C68" s="316">
        <v>1.008</v>
      </c>
      <c r="D68" s="316">
        <v>0.99199999999999999</v>
      </c>
      <c r="E68" s="316">
        <v>0.98599999999999999</v>
      </c>
      <c r="F68" s="316">
        <v>0.96</v>
      </c>
      <c r="M68" s="317">
        <f t="shared" si="17"/>
        <v>2019</v>
      </c>
      <c r="T68" s="457"/>
    </row>
    <row r="69" spans="2:20">
      <c r="B69" s="80">
        <f t="shared" si="11"/>
        <v>1965</v>
      </c>
      <c r="C69" s="316">
        <v>0.995</v>
      </c>
      <c r="D69" s="316">
        <v>1.03</v>
      </c>
      <c r="E69" s="316">
        <v>1.048</v>
      </c>
      <c r="F69" s="316">
        <v>1.0580000000000001</v>
      </c>
      <c r="M69" s="317">
        <f t="shared" si="17"/>
        <v>2020</v>
      </c>
      <c r="T69" s="457"/>
    </row>
    <row r="70" spans="2:20">
      <c r="B70" s="80">
        <f t="shared" ref="B70:B110" si="18">B69+1</f>
        <v>1966</v>
      </c>
      <c r="C70" s="316">
        <v>0.98299999999999998</v>
      </c>
      <c r="D70" s="316">
        <v>1.0629999999999999</v>
      </c>
      <c r="E70" s="316">
        <v>1.101</v>
      </c>
      <c r="F70" s="316">
        <v>1.1519999999999999</v>
      </c>
      <c r="M70" s="317">
        <f t="shared" si="17"/>
        <v>2021</v>
      </c>
      <c r="T70" s="457"/>
    </row>
    <row r="71" spans="2:20">
      <c r="B71" s="80">
        <f t="shared" si="18"/>
        <v>1967</v>
      </c>
      <c r="C71" s="316">
        <v>0.97299999999999998</v>
      </c>
      <c r="D71" s="316">
        <v>1.089</v>
      </c>
      <c r="E71" s="316">
        <v>1.143</v>
      </c>
      <c r="F71" s="316">
        <v>1.2330000000000001</v>
      </c>
      <c r="M71" s="317">
        <f t="shared" si="17"/>
        <v>0</v>
      </c>
      <c r="T71" s="457"/>
    </row>
    <row r="72" spans="2:20">
      <c r="B72" s="80">
        <f t="shared" si="18"/>
        <v>1968</v>
      </c>
      <c r="C72" s="316">
        <v>0.96699999999999997</v>
      </c>
      <c r="D72" s="316">
        <v>1.1060000000000001</v>
      </c>
      <c r="E72" s="316">
        <v>1.17</v>
      </c>
      <c r="F72" s="316">
        <v>1.29</v>
      </c>
      <c r="M72" s="317">
        <f t="shared" si="17"/>
        <v>0</v>
      </c>
      <c r="T72" s="457"/>
    </row>
    <row r="73" spans="2:20">
      <c r="B73" s="80">
        <f t="shared" si="18"/>
        <v>1969</v>
      </c>
      <c r="C73" s="316">
        <v>0.96399999999999997</v>
      </c>
      <c r="D73" s="316">
        <v>1.113</v>
      </c>
      <c r="E73" s="316">
        <v>1.1819999999999999</v>
      </c>
      <c r="F73" s="316">
        <v>1.3149999999999999</v>
      </c>
      <c r="M73" s="317">
        <f t="shared" si="17"/>
        <v>0</v>
      </c>
      <c r="T73" s="457"/>
    </row>
    <row r="74" spans="2:20">
      <c r="B74" s="80">
        <f t="shared" si="18"/>
        <v>1970</v>
      </c>
      <c r="C74" s="316">
        <v>0.96499999999999997</v>
      </c>
      <c r="D74" s="316">
        <v>1.1100000000000001</v>
      </c>
      <c r="E74" s="316">
        <v>1.1779999999999999</v>
      </c>
      <c r="F74" s="316">
        <v>1.306</v>
      </c>
      <c r="M74" s="317">
        <f t="shared" si="17"/>
        <v>0</v>
      </c>
      <c r="T74" s="457"/>
    </row>
    <row r="75" spans="2:20">
      <c r="B75" s="80">
        <f t="shared" si="18"/>
        <v>1971</v>
      </c>
      <c r="C75" s="316">
        <v>0.97</v>
      </c>
      <c r="D75" s="316">
        <v>1.097</v>
      </c>
      <c r="E75" s="316">
        <v>1.1579999999999999</v>
      </c>
      <c r="F75" s="316">
        <v>1.264</v>
      </c>
      <c r="M75" s="317">
        <f t="shared" si="17"/>
        <v>0</v>
      </c>
      <c r="T75" s="457"/>
    </row>
    <row r="76" spans="2:20">
      <c r="B76" s="80">
        <f t="shared" si="18"/>
        <v>1972</v>
      </c>
      <c r="C76" s="316">
        <v>0.97799999999999998</v>
      </c>
      <c r="D76" s="316">
        <v>1.0760000000000001</v>
      </c>
      <c r="E76" s="316">
        <v>1.123</v>
      </c>
      <c r="F76" s="316">
        <v>1.1930000000000001</v>
      </c>
      <c r="M76" s="317">
        <f t="shared" si="17"/>
        <v>0</v>
      </c>
      <c r="T76" s="457"/>
    </row>
    <row r="77" spans="2:20">
      <c r="B77" s="80">
        <f t="shared" si="18"/>
        <v>1973</v>
      </c>
      <c r="C77" s="316">
        <v>0.98899999999999999</v>
      </c>
      <c r="D77" s="316">
        <v>1.0469999999999999</v>
      </c>
      <c r="E77" s="316">
        <v>1.075</v>
      </c>
      <c r="F77" s="316">
        <v>1.103</v>
      </c>
      <c r="T77" s="457"/>
    </row>
    <row r="78" spans="2:20">
      <c r="B78" s="80">
        <f t="shared" si="18"/>
        <v>1974</v>
      </c>
      <c r="C78" s="316">
        <v>1.002</v>
      </c>
      <c r="D78" s="316">
        <v>1.0109999999999999</v>
      </c>
      <c r="E78" s="316">
        <v>1.016</v>
      </c>
      <c r="F78" s="316">
        <v>1.006</v>
      </c>
      <c r="T78" s="457"/>
    </row>
    <row r="79" spans="2:20">
      <c r="B79" s="80">
        <f t="shared" si="18"/>
        <v>1975</v>
      </c>
      <c r="C79" s="316">
        <v>1.014</v>
      </c>
      <c r="D79" s="316">
        <v>0.97099999999999997</v>
      </c>
      <c r="E79" s="316">
        <v>0.95199999999999996</v>
      </c>
      <c r="F79" s="316">
        <v>0.91300000000000003</v>
      </c>
      <c r="T79" s="457"/>
    </row>
    <row r="80" spans="2:20">
      <c r="B80" s="80">
        <f t="shared" si="18"/>
        <v>1976</v>
      </c>
      <c r="C80" s="316">
        <v>1.0249999999999999</v>
      </c>
      <c r="D80" s="316">
        <v>0.93300000000000005</v>
      </c>
      <c r="E80" s="316">
        <v>0.89900000000000002</v>
      </c>
      <c r="F80" s="316">
        <v>0.83499999999999996</v>
      </c>
      <c r="T80" s="457"/>
    </row>
    <row r="81" spans="2:20">
      <c r="B81" s="80">
        <f t="shared" si="18"/>
        <v>1977</v>
      </c>
      <c r="C81" s="316">
        <v>1.0329999999999999</v>
      </c>
      <c r="D81" s="316">
        <v>0.90200000000000002</v>
      </c>
      <c r="E81" s="316">
        <v>0.84</v>
      </c>
      <c r="F81" s="316">
        <v>0.78</v>
      </c>
      <c r="T81" s="457"/>
    </row>
    <row r="82" spans="2:20">
      <c r="B82" s="80">
        <f t="shared" si="18"/>
        <v>1978</v>
      </c>
      <c r="C82" s="316">
        <v>1.0369999999999999</v>
      </c>
      <c r="D82" s="316">
        <v>0.88400000000000001</v>
      </c>
      <c r="E82" s="316">
        <v>0.81</v>
      </c>
      <c r="F82" s="316">
        <v>0.752</v>
      </c>
      <c r="T82" s="457"/>
    </row>
    <row r="83" spans="2:20">
      <c r="B83" s="80">
        <f t="shared" si="18"/>
        <v>1979</v>
      </c>
      <c r="C83" s="316">
        <v>1.0369999999999999</v>
      </c>
      <c r="D83" s="316">
        <v>0.88400000000000001</v>
      </c>
      <c r="E83" s="316">
        <v>0.80900000000000005</v>
      </c>
      <c r="F83" s="316">
        <v>0.751</v>
      </c>
      <c r="T83" s="457"/>
    </row>
    <row r="84" spans="2:20">
      <c r="B84" s="80">
        <f t="shared" si="18"/>
        <v>1980</v>
      </c>
      <c r="C84" s="316">
        <v>1.0329999999999999</v>
      </c>
      <c r="D84" s="316">
        <v>0.9</v>
      </c>
      <c r="E84" s="316">
        <v>0.83599999999999997</v>
      </c>
      <c r="F84" s="316">
        <v>0.77700000000000002</v>
      </c>
      <c r="T84" s="457"/>
    </row>
    <row r="85" spans="2:20">
      <c r="B85" s="80">
        <f t="shared" si="18"/>
        <v>1981</v>
      </c>
      <c r="C85" s="316">
        <v>1.026</v>
      </c>
      <c r="D85" s="316">
        <v>0.93</v>
      </c>
      <c r="E85" s="316">
        <v>0.88500000000000001</v>
      </c>
      <c r="F85" s="316">
        <v>0.82899999999999996</v>
      </c>
      <c r="T85" s="457"/>
    </row>
    <row r="86" spans="2:20">
      <c r="B86" s="80">
        <f t="shared" si="18"/>
        <v>1982</v>
      </c>
      <c r="C86" s="316">
        <v>1.0149999999999999</v>
      </c>
      <c r="D86" s="316">
        <v>0.96799999999999997</v>
      </c>
      <c r="E86" s="316">
        <v>0.94699999999999995</v>
      </c>
      <c r="F86" s="316">
        <v>0.90500000000000003</v>
      </c>
      <c r="T86" s="457"/>
    </row>
    <row r="87" spans="2:20">
      <c r="B87" s="80">
        <f t="shared" si="18"/>
        <v>1983</v>
      </c>
      <c r="C87" s="316">
        <v>1.0029999999999999</v>
      </c>
      <c r="D87" s="316">
        <v>1.0069999999999999</v>
      </c>
      <c r="E87" s="316">
        <v>1.0109999999999999</v>
      </c>
      <c r="F87" s="316">
        <v>0.997</v>
      </c>
      <c r="T87" s="457"/>
    </row>
    <row r="88" spans="2:20">
      <c r="B88" s="80">
        <f t="shared" si="18"/>
        <v>1984</v>
      </c>
      <c r="C88" s="316">
        <v>0.99</v>
      </c>
      <c r="D88" s="316">
        <v>1.044</v>
      </c>
      <c r="E88" s="316">
        <v>1.07</v>
      </c>
      <c r="F88" s="316">
        <v>1.095</v>
      </c>
      <c r="T88" s="457"/>
    </row>
    <row r="89" spans="2:20">
      <c r="B89" s="80">
        <f t="shared" si="18"/>
        <v>1985</v>
      </c>
      <c r="C89" s="316">
        <v>0.97899999999999998</v>
      </c>
      <c r="D89" s="316">
        <v>1.0740000000000001</v>
      </c>
      <c r="E89" s="316">
        <v>1.119</v>
      </c>
      <c r="F89" s="316">
        <v>1.1859999999999999</v>
      </c>
      <c r="T89" s="457"/>
    </row>
    <row r="90" spans="2:20">
      <c r="B90" s="80">
        <f t="shared" si="18"/>
        <v>1986</v>
      </c>
      <c r="C90" s="316">
        <v>0.97</v>
      </c>
      <c r="D90" s="316">
        <v>1.0960000000000001</v>
      </c>
      <c r="E90" s="316">
        <v>1.155</v>
      </c>
      <c r="F90" s="316">
        <v>1.258</v>
      </c>
      <c r="T90" s="457"/>
    </row>
    <row r="91" spans="2:20">
      <c r="B91" s="80">
        <f t="shared" si="18"/>
        <v>1987</v>
      </c>
      <c r="C91" s="316">
        <v>0.96499999999999997</v>
      </c>
      <c r="D91" s="316">
        <v>1.109</v>
      </c>
      <c r="E91" s="316">
        <v>1.177</v>
      </c>
      <c r="F91" s="316">
        <v>1.304</v>
      </c>
      <c r="T91" s="457"/>
    </row>
    <row r="92" spans="2:20">
      <c r="B92" s="80">
        <f t="shared" si="18"/>
        <v>1988</v>
      </c>
      <c r="C92" s="316">
        <v>0.96399999999999997</v>
      </c>
      <c r="D92" s="316">
        <v>1.113</v>
      </c>
      <c r="E92" s="316">
        <v>1.1830000000000001</v>
      </c>
      <c r="F92" s="316">
        <v>1.3160000000000001</v>
      </c>
      <c r="T92" s="457"/>
    </row>
    <row r="93" spans="2:20">
      <c r="B93" s="80">
        <f t="shared" si="18"/>
        <v>1989</v>
      </c>
      <c r="C93" s="316">
        <v>0.96599999999999997</v>
      </c>
      <c r="D93" s="316">
        <v>1.1060000000000001</v>
      </c>
      <c r="E93" s="316">
        <v>1.1719999999999999</v>
      </c>
      <c r="F93" s="316">
        <v>1.294</v>
      </c>
      <c r="T93" s="457"/>
    </row>
    <row r="94" spans="2:20">
      <c r="B94" s="80">
        <f t="shared" si="18"/>
        <v>1990</v>
      </c>
      <c r="C94" s="316">
        <v>0.97299999999999998</v>
      </c>
      <c r="D94" s="316">
        <v>1.0900000000000001</v>
      </c>
      <c r="E94" s="316">
        <v>1.1459999999999999</v>
      </c>
      <c r="F94" s="316">
        <v>1.24</v>
      </c>
      <c r="T94" s="457"/>
    </row>
    <row r="95" spans="2:20">
      <c r="B95" s="80">
        <f t="shared" si="18"/>
        <v>1991</v>
      </c>
      <c r="C95" s="316">
        <v>0.98199999999999998</v>
      </c>
      <c r="D95" s="316">
        <v>1.0660000000000001</v>
      </c>
      <c r="E95" s="316">
        <v>1.1060000000000001</v>
      </c>
      <c r="F95" s="316">
        <v>1.161</v>
      </c>
      <c r="T95" s="457"/>
    </row>
    <row r="96" spans="2:20">
      <c r="B96" s="80">
        <f t="shared" si="18"/>
        <v>1992</v>
      </c>
      <c r="C96" s="316">
        <v>0.99399999999999999</v>
      </c>
      <c r="D96" s="316">
        <v>1.034</v>
      </c>
      <c r="E96" s="316">
        <v>1.054</v>
      </c>
      <c r="F96" s="316">
        <v>1.0660000000000001</v>
      </c>
      <c r="T96" s="457"/>
    </row>
    <row r="97" spans="2:20">
      <c r="B97" s="80">
        <f t="shared" si="18"/>
        <v>1993</v>
      </c>
      <c r="C97" s="316">
        <v>1.006</v>
      </c>
      <c r="D97" s="316">
        <v>0.996</v>
      </c>
      <c r="E97" s="316">
        <v>0.99199999999999999</v>
      </c>
      <c r="F97" s="316">
        <v>0.96799999999999997</v>
      </c>
      <c r="T97" s="457"/>
    </row>
    <row r="98" spans="2:20">
      <c r="B98" s="80">
        <f t="shared" si="18"/>
        <v>1994</v>
      </c>
      <c r="C98" s="316">
        <v>1.018</v>
      </c>
      <c r="D98" s="316">
        <v>0.95599999999999996</v>
      </c>
      <c r="E98" s="316">
        <v>0.92700000000000005</v>
      </c>
      <c r="F98" s="316">
        <v>0.879</v>
      </c>
      <c r="T98" s="457"/>
    </row>
    <row r="99" spans="2:20">
      <c r="B99" s="80">
        <f t="shared" si="18"/>
        <v>1995</v>
      </c>
      <c r="C99" s="316">
        <v>1.028</v>
      </c>
      <c r="D99" s="316">
        <v>0.92</v>
      </c>
      <c r="E99" s="316">
        <v>0.86899999999999999</v>
      </c>
      <c r="F99" s="316">
        <v>0.81</v>
      </c>
      <c r="T99" s="457"/>
    </row>
    <row r="100" spans="2:20">
      <c r="B100" s="80">
        <f t="shared" si="18"/>
        <v>1996</v>
      </c>
      <c r="C100" s="316">
        <v>1.0349999999999999</v>
      </c>
      <c r="D100" s="316">
        <v>0.89400000000000002</v>
      </c>
      <c r="E100" s="316">
        <v>0.82599999999999996</v>
      </c>
      <c r="F100" s="316">
        <v>0.76600000000000001</v>
      </c>
      <c r="T100" s="457"/>
    </row>
    <row r="101" spans="2:20">
      <c r="B101" s="80">
        <f t="shared" si="18"/>
        <v>1997</v>
      </c>
      <c r="C101" s="316">
        <v>1.038</v>
      </c>
      <c r="D101" s="316">
        <v>0.88300000000000001</v>
      </c>
      <c r="E101" s="316">
        <v>0.80700000000000005</v>
      </c>
      <c r="F101" s="316">
        <v>0.748</v>
      </c>
      <c r="T101" s="457"/>
    </row>
    <row r="102" spans="2:20">
      <c r="B102" s="80">
        <f t="shared" si="18"/>
        <v>1998</v>
      </c>
      <c r="C102" s="316">
        <v>1.0367</v>
      </c>
      <c r="D102" s="316">
        <v>0.88470000000000004</v>
      </c>
      <c r="E102" s="316">
        <v>0.81799999999999995</v>
      </c>
      <c r="F102" s="316">
        <v>0.75900000000000001</v>
      </c>
      <c r="T102" s="457"/>
    </row>
    <row r="103" spans="2:20">
      <c r="B103" s="80">
        <f t="shared" si="18"/>
        <v>1999</v>
      </c>
      <c r="C103" s="316">
        <v>1.0330999999999999</v>
      </c>
      <c r="D103" s="316">
        <v>0.90510000000000002</v>
      </c>
      <c r="E103" s="316">
        <v>0.85599999999999998</v>
      </c>
      <c r="F103" s="316">
        <v>0.79700000000000004</v>
      </c>
      <c r="T103" s="457"/>
    </row>
    <row r="104" spans="2:20">
      <c r="B104" s="80">
        <f t="shared" si="18"/>
        <v>2000</v>
      </c>
      <c r="C104" s="316">
        <v>1.0236000000000001</v>
      </c>
      <c r="D104" s="316">
        <v>0.93559999999999999</v>
      </c>
      <c r="E104" s="316">
        <v>0.91200000000000003</v>
      </c>
      <c r="F104" s="316">
        <v>0.86</v>
      </c>
      <c r="T104" s="457"/>
    </row>
    <row r="105" spans="2:20">
      <c r="B105" s="80">
        <f t="shared" si="18"/>
        <v>2001</v>
      </c>
      <c r="C105" s="316">
        <v>1.012</v>
      </c>
      <c r="D105" s="316">
        <v>0.97710000000000008</v>
      </c>
      <c r="E105" s="316">
        <v>0.97599999999999998</v>
      </c>
      <c r="F105" s="316">
        <v>0.94499999999999995</v>
      </c>
      <c r="T105" s="457"/>
    </row>
    <row r="106" spans="2:20">
      <c r="B106" s="80">
        <f t="shared" si="18"/>
        <v>2002</v>
      </c>
      <c r="C106" s="316">
        <v>0.99959999999999993</v>
      </c>
      <c r="D106" s="316">
        <v>1.0153000000000001</v>
      </c>
      <c r="E106" s="316">
        <v>1.0389999999999999</v>
      </c>
      <c r="F106" s="316">
        <v>1.0409999999999999</v>
      </c>
      <c r="T106" s="457"/>
    </row>
    <row r="107" spans="2:20">
      <c r="B107" s="80">
        <f t="shared" si="18"/>
        <v>2003</v>
      </c>
      <c r="C107" s="316">
        <v>0.98780000000000001</v>
      </c>
      <c r="D107" s="316">
        <v>1.0492000000000001</v>
      </c>
      <c r="E107" s="316">
        <v>1.0940000000000001</v>
      </c>
      <c r="F107" s="316">
        <v>1.137</v>
      </c>
      <c r="T107" s="457"/>
    </row>
    <row r="108" spans="2:20">
      <c r="B108" s="80">
        <f t="shared" si="18"/>
        <v>2004</v>
      </c>
      <c r="C108" s="316">
        <v>0.97739999999999994</v>
      </c>
      <c r="D108" s="316">
        <v>1.0814000000000001</v>
      </c>
      <c r="E108" s="316">
        <v>1.137</v>
      </c>
      <c r="F108" s="316">
        <v>1.222</v>
      </c>
      <c r="T108" s="457"/>
    </row>
    <row r="109" spans="2:20">
      <c r="B109" s="80">
        <f t="shared" si="18"/>
        <v>2005</v>
      </c>
      <c r="C109" s="316">
        <v>0.96909999999999996</v>
      </c>
      <c r="D109" s="316">
        <v>1.1017000000000001</v>
      </c>
      <c r="E109" s="316">
        <v>1.167</v>
      </c>
      <c r="F109" s="316">
        <v>1.2829999999999999</v>
      </c>
      <c r="T109" s="457"/>
    </row>
    <row r="110" spans="2:20">
      <c r="B110" s="80">
        <f t="shared" si="18"/>
        <v>2006</v>
      </c>
      <c r="C110" s="316">
        <v>0.96449999999999991</v>
      </c>
      <c r="D110" s="316">
        <v>1.1119000000000001</v>
      </c>
      <c r="E110" s="316">
        <v>1.181</v>
      </c>
      <c r="F110" s="316">
        <v>1.3140000000000001</v>
      </c>
      <c r="T110" s="457"/>
    </row>
    <row r="111" spans="2:20">
      <c r="B111" s="80">
        <v>2007</v>
      </c>
      <c r="C111" s="316">
        <v>0.96429999999999993</v>
      </c>
      <c r="D111" s="316">
        <v>1.1120000000000001</v>
      </c>
      <c r="E111" s="316">
        <v>1.18</v>
      </c>
      <c r="F111" s="316">
        <v>1.3109999999999999</v>
      </c>
      <c r="T111" s="457"/>
    </row>
    <row r="112" spans="2:20">
      <c r="B112" s="82">
        <v>2008</v>
      </c>
      <c r="C112" s="325">
        <v>0.9677</v>
      </c>
      <c r="D112" s="316">
        <v>1.103</v>
      </c>
      <c r="E112" s="316">
        <v>1.163</v>
      </c>
      <c r="F112" s="316">
        <v>1.2729999999999999</v>
      </c>
      <c r="T112" s="457"/>
    </row>
    <row r="113" spans="2:20">
      <c r="B113" s="80">
        <f>B112+1</f>
        <v>2009</v>
      </c>
      <c r="C113" s="316">
        <v>0.97519999999999996</v>
      </c>
      <c r="D113" s="316">
        <v>1.085</v>
      </c>
      <c r="E113" s="316">
        <v>1.1299999999999999</v>
      </c>
      <c r="F113" s="316">
        <v>1.2070000000000001</v>
      </c>
      <c r="T113" s="457"/>
    </row>
    <row r="114" spans="2:20">
      <c r="B114" s="80">
        <f>B113+1</f>
        <v>2010</v>
      </c>
      <c r="C114" s="316">
        <v>0.98509999999999998</v>
      </c>
      <c r="D114" s="316">
        <v>1.0589999999999999</v>
      </c>
      <c r="E114" s="316">
        <v>1.0840000000000001</v>
      </c>
      <c r="F114" s="316">
        <v>1.119</v>
      </c>
      <c r="T114" s="457"/>
    </row>
    <row r="115" spans="2:20">
      <c r="B115" s="80">
        <f>B114+1</f>
        <v>2011</v>
      </c>
      <c r="C115" s="316">
        <v>0.997</v>
      </c>
      <c r="D115" s="316">
        <v>1.0249999999999999</v>
      </c>
      <c r="E115" s="316">
        <v>1.0269999999999999</v>
      </c>
      <c r="F115" s="316">
        <v>1.0209999999999999</v>
      </c>
      <c r="T115" s="457"/>
    </row>
    <row r="116" spans="2:20">
      <c r="B116" s="80">
        <f>B115+1</f>
        <v>2012</v>
      </c>
      <c r="C116" s="316">
        <v>1.0090999999999999</v>
      </c>
      <c r="D116" s="316">
        <v>0.98699999999999999</v>
      </c>
      <c r="E116" s="316">
        <v>0.96299999999999997</v>
      </c>
      <c r="F116" s="316">
        <v>0.92600000000000005</v>
      </c>
      <c r="T116" s="457"/>
    </row>
    <row r="117" spans="2:20">
      <c r="B117" s="80">
        <f t="shared" ref="B117:B125" si="19">B116+1</f>
        <v>2013</v>
      </c>
      <c r="C117" s="316">
        <v>1.0208999999999999</v>
      </c>
      <c r="D117" s="316">
        <v>0.94699999999999995</v>
      </c>
      <c r="E117" s="316">
        <v>0.9</v>
      </c>
      <c r="F117" s="316">
        <v>0.84599999999999997</v>
      </c>
      <c r="T117" s="457"/>
    </row>
    <row r="118" spans="2:20">
      <c r="B118" s="80">
        <f t="shared" si="19"/>
        <v>2014</v>
      </c>
      <c r="C118" s="316">
        <v>1.0293999999999999</v>
      </c>
      <c r="D118" s="316">
        <v>0.91300000000000003</v>
      </c>
      <c r="E118" s="316">
        <v>0.84699999999999998</v>
      </c>
      <c r="F118" s="316">
        <v>0.78800000000000003</v>
      </c>
      <c r="T118" s="457"/>
    </row>
    <row r="119" spans="2:20">
      <c r="B119" s="80">
        <f t="shared" si="19"/>
        <v>2015</v>
      </c>
      <c r="C119" s="316">
        <v>1.0367</v>
      </c>
      <c r="D119" s="316">
        <v>0.89</v>
      </c>
      <c r="E119" s="316">
        <v>0.81399999999999995</v>
      </c>
      <c r="F119" s="316">
        <v>0.755</v>
      </c>
      <c r="T119" s="457"/>
    </row>
    <row r="120" spans="2:20">
      <c r="B120" s="80">
        <f t="shared" si="19"/>
        <v>2016</v>
      </c>
      <c r="C120" s="316">
        <v>1.0384</v>
      </c>
      <c r="D120" s="316">
        <v>0.88200000000000001</v>
      </c>
      <c r="E120" s="316">
        <v>0.80800000000000005</v>
      </c>
      <c r="F120" s="316">
        <v>0.749</v>
      </c>
      <c r="T120" s="457"/>
    </row>
    <row r="121" spans="2:20">
      <c r="B121" s="80">
        <f t="shared" si="19"/>
        <v>2017</v>
      </c>
      <c r="C121" s="325">
        <v>1.0351999999999999</v>
      </c>
      <c r="D121" s="316">
        <v>0.89200000000000002</v>
      </c>
      <c r="E121" s="316">
        <v>0.83</v>
      </c>
      <c r="F121" s="316">
        <v>0.77100000000000002</v>
      </c>
      <c r="T121" s="457"/>
    </row>
    <row r="122" spans="2:20">
      <c r="B122" s="80">
        <f t="shared" si="19"/>
        <v>2018</v>
      </c>
      <c r="C122" s="316">
        <v>1.0286999999999999</v>
      </c>
      <c r="D122" s="316">
        <v>0.91700000000000004</v>
      </c>
      <c r="E122" s="316">
        <v>0.876</v>
      </c>
      <c r="F122" s="316">
        <v>0.81899999999999995</v>
      </c>
      <c r="T122" s="457"/>
    </row>
    <row r="123" spans="2:20">
      <c r="B123" s="80">
        <f t="shared" si="19"/>
        <v>2019</v>
      </c>
      <c r="C123" s="316">
        <v>1.0187999999999999</v>
      </c>
      <c r="D123" s="316">
        <v>0.95299999999999996</v>
      </c>
      <c r="E123" s="316">
        <v>0.93600000000000005</v>
      </c>
      <c r="F123" s="316">
        <v>0.89100000000000001</v>
      </c>
      <c r="T123" s="457"/>
    </row>
    <row r="124" spans="2:20">
      <c r="B124" s="80">
        <f t="shared" si="19"/>
        <v>2020</v>
      </c>
      <c r="C124" s="316">
        <v>1.008</v>
      </c>
      <c r="D124" s="316">
        <v>0.99199999999999999</v>
      </c>
      <c r="E124" s="316">
        <v>1.0009999999999999</v>
      </c>
      <c r="F124" s="316">
        <v>0.98099999999999998</v>
      </c>
      <c r="T124" s="457"/>
    </row>
    <row r="125" spans="2:20">
      <c r="B125" s="80">
        <f t="shared" si="19"/>
        <v>2021</v>
      </c>
      <c r="C125" s="316">
        <v>0.99529999999999996</v>
      </c>
      <c r="D125" s="316">
        <v>1.03</v>
      </c>
      <c r="E125" s="316">
        <v>1.0609999999999999</v>
      </c>
      <c r="F125" s="316">
        <v>1.079</v>
      </c>
    </row>
    <row r="126" spans="2:20">
      <c r="D126" s="316">
        <v>1.0629999999999999</v>
      </c>
      <c r="E126" s="316">
        <v>1.1120000000000001</v>
      </c>
      <c r="F126" s="316">
        <v>1.1719999999999999</v>
      </c>
    </row>
    <row r="127" spans="2:20">
      <c r="D127" s="316">
        <v>1.089</v>
      </c>
      <c r="E127" s="316">
        <v>1.151</v>
      </c>
    </row>
    <row r="128" spans="2:20">
      <c r="D128" s="316">
        <v>1.1060000000000001</v>
      </c>
      <c r="E128" s="316">
        <v>1.175</v>
      </c>
    </row>
    <row r="129" spans="4:5">
      <c r="D129" s="316">
        <v>1.113</v>
      </c>
      <c r="E129" s="316">
        <v>1.1830000000000001</v>
      </c>
    </row>
    <row r="130" spans="4:5">
      <c r="D130" s="316">
        <v>1.1100000000000001</v>
      </c>
      <c r="E130" s="316">
        <v>1.175</v>
      </c>
    </row>
    <row r="131" spans="4:5">
      <c r="D131" s="316">
        <v>1.097</v>
      </c>
      <c r="E131" s="316">
        <v>1.151</v>
      </c>
    </row>
    <row r="132" spans="4:5">
      <c r="D132" s="316">
        <v>1.0760000000000001</v>
      </c>
      <c r="E132" s="316">
        <v>1.113</v>
      </c>
    </row>
    <row r="133" spans="4:5">
      <c r="D133" s="316">
        <v>1.0469999999999999</v>
      </c>
      <c r="E133" s="316">
        <v>1.0629999999999999</v>
      </c>
    </row>
    <row r="134" spans="4:5">
      <c r="D134" s="316">
        <v>1.0109999999999999</v>
      </c>
      <c r="E134" s="316">
        <v>1.0029999999999999</v>
      </c>
    </row>
    <row r="135" spans="4:5">
      <c r="D135" s="316">
        <v>0.97099999999999997</v>
      </c>
      <c r="E135" s="316">
        <v>0.93799999999999994</v>
      </c>
    </row>
    <row r="136" spans="4:5">
      <c r="D136" s="316">
        <v>0.93300000000000005</v>
      </c>
      <c r="E136" s="316">
        <v>0.878</v>
      </c>
    </row>
    <row r="137" spans="4:5">
      <c r="D137" s="316">
        <v>0.90200000000000002</v>
      </c>
      <c r="E137" s="316">
        <v>0.83099999999999996</v>
      </c>
    </row>
    <row r="138" spans="4:5">
      <c r="D138" s="316">
        <v>0.88400000000000001</v>
      </c>
      <c r="E138" s="316">
        <v>0.80600000000000005</v>
      </c>
    </row>
    <row r="139" spans="4:5">
      <c r="D139" s="316">
        <v>0.88400000000000001</v>
      </c>
      <c r="E139" s="316">
        <v>0.82199999999999995</v>
      </c>
    </row>
    <row r="140" spans="4:5">
      <c r="D140" s="316">
        <v>0.9</v>
      </c>
      <c r="E140" s="316">
        <v>0.86399999999999999</v>
      </c>
    </row>
    <row r="141" spans="4:5">
      <c r="D141" s="316">
        <v>0.93</v>
      </c>
      <c r="E141" s="316">
        <v>0.86399999999999999</v>
      </c>
    </row>
    <row r="142" spans="4:5">
      <c r="D142" s="316">
        <v>0.96799999999999997</v>
      </c>
    </row>
    <row r="143" spans="4:5">
      <c r="D143" s="316">
        <v>1.0069999999999999</v>
      </c>
    </row>
    <row r="144" spans="4:5">
      <c r="D144" s="316">
        <v>1.044</v>
      </c>
    </row>
    <row r="145" spans="4:4">
      <c r="D145" s="316">
        <v>1.0740000000000001</v>
      </c>
    </row>
    <row r="146" spans="4:4">
      <c r="D146" s="316">
        <v>1.0960000000000001</v>
      </c>
    </row>
    <row r="147" spans="4:4">
      <c r="D147" s="316">
        <v>1.109</v>
      </c>
    </row>
    <row r="148" spans="4:4">
      <c r="D148" s="316">
        <v>1.113</v>
      </c>
    </row>
    <row r="149" spans="4:4">
      <c r="D149" s="316">
        <v>1.1060000000000001</v>
      </c>
    </row>
    <row r="150" spans="4:4">
      <c r="D150" s="316">
        <v>1.0900000000000001</v>
      </c>
    </row>
  </sheetData>
  <sheetProtection selectLockedCells="1" selectUnlockedCells="1"/>
  <phoneticPr fontId="26" type="noConversion"/>
  <printOptions horizontalCentered="1"/>
  <pageMargins left="1" right="0.74791666666666667" top="0.82013888888888886" bottom="0.65" header="0.51180555555555551" footer="0.51180555555555551"/>
  <pageSetup paperSize="9" scale="84" firstPageNumber="0" orientation="portrait" horizontalDpi="300" verticalDpi="300"/>
  <headerFooter alignWithMargins="0"/>
  <rowBreaks count="1" manualBreakCount="1">
    <brk id="59" max="16383" man="1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AA133"/>
  <sheetViews>
    <sheetView topLeftCell="A21" zoomScaleSheetLayoutView="70" workbookViewId="0">
      <selection activeCell="M3" sqref="M3:N61"/>
    </sheetView>
  </sheetViews>
  <sheetFormatPr defaultColWidth="9.140625" defaultRowHeight="14.25"/>
  <cols>
    <col min="1" max="1" width="2.85546875" style="1" customWidth="1"/>
    <col min="2" max="2" width="9.140625" style="326"/>
    <col min="3" max="6" width="9.140625" style="43"/>
    <col min="7" max="7" width="2.42578125" style="43" customWidth="1"/>
    <col min="8" max="11" width="9.140625" style="43"/>
    <col min="12" max="24" width="9.140625" style="1"/>
    <col min="25" max="25" width="9.42578125" style="1" bestFit="1" customWidth="1"/>
    <col min="26" max="26" width="9.140625" style="1"/>
    <col min="27" max="27" width="9.140625" style="458"/>
    <col min="28" max="16384" width="9.140625" style="1"/>
  </cols>
  <sheetData>
    <row r="1" spans="2:21" ht="15">
      <c r="B1" s="52" t="s">
        <v>381</v>
      </c>
      <c r="H1" s="114" t="str">
        <f>B1</f>
        <v xml:space="preserve">Tabel 40. Daftar nilai V dari jam 00 pada tanggal </v>
      </c>
      <c r="I1" s="24"/>
      <c r="L1" s="43"/>
      <c r="M1" s="305"/>
      <c r="N1" s="43"/>
      <c r="O1" s="43"/>
      <c r="P1" s="43"/>
      <c r="Q1" s="43"/>
    </row>
    <row r="2" spans="2:21" ht="15">
      <c r="B2" s="1"/>
      <c r="C2" s="52" t="s">
        <v>382</v>
      </c>
      <c r="H2" s="306"/>
      <c r="I2" s="114" t="str">
        <f>C2</f>
        <v>1 januari 1990 hingga tahun 2008.</v>
      </c>
      <c r="L2" s="43"/>
      <c r="M2" s="305"/>
      <c r="N2" s="43"/>
      <c r="O2" s="43"/>
      <c r="P2" s="43"/>
      <c r="Q2" s="43"/>
    </row>
    <row r="3" spans="2:21" ht="16.5">
      <c r="B3" s="327" t="s">
        <v>380</v>
      </c>
      <c r="C3" s="78" t="s">
        <v>146</v>
      </c>
      <c r="D3" s="78" t="s">
        <v>148</v>
      </c>
      <c r="E3" s="78" t="s">
        <v>149</v>
      </c>
      <c r="F3" s="78" t="s">
        <v>150</v>
      </c>
      <c r="H3" s="307" t="str">
        <f>B3</f>
        <v>Tahun</v>
      </c>
      <c r="I3" s="308" t="str">
        <f t="shared" ref="I3:L18" si="0">C3</f>
        <v>M2</v>
      </c>
      <c r="J3" s="308" t="str">
        <f t="shared" si="0"/>
        <v>N2</v>
      </c>
      <c r="K3" s="308" t="str">
        <f t="shared" si="0"/>
        <v>K1</v>
      </c>
      <c r="L3" s="309" t="str">
        <f t="shared" si="0"/>
        <v>O1</v>
      </c>
      <c r="M3" s="307" t="str">
        <f>H3</f>
        <v>Tahun</v>
      </c>
      <c r="N3" s="308" t="str">
        <f>I3</f>
        <v>M2</v>
      </c>
      <c r="O3" s="308" t="str">
        <f>J3</f>
        <v>N2</v>
      </c>
      <c r="P3" s="308" t="str">
        <f>K3</f>
        <v>K1</v>
      </c>
      <c r="Q3" s="310" t="str">
        <f>L3</f>
        <v>O1</v>
      </c>
    </row>
    <row r="4" spans="2:21">
      <c r="B4" s="79">
        <v>1900</v>
      </c>
      <c r="C4" s="328">
        <v>6.3</v>
      </c>
      <c r="D4" s="79">
        <v>63.7</v>
      </c>
      <c r="E4" s="79">
        <v>10.199999999999999</v>
      </c>
      <c r="F4" s="79">
        <v>356.1</v>
      </c>
      <c r="H4" s="312">
        <f>B4</f>
        <v>1900</v>
      </c>
      <c r="I4" s="329">
        <f t="shared" si="0"/>
        <v>6.3</v>
      </c>
      <c r="J4" s="329">
        <f t="shared" si="0"/>
        <v>63.7</v>
      </c>
      <c r="K4" s="329">
        <f t="shared" si="0"/>
        <v>10.199999999999999</v>
      </c>
      <c r="L4" s="330">
        <f t="shared" si="0"/>
        <v>356.1</v>
      </c>
      <c r="M4" s="312">
        <f>B59</f>
        <v>1955</v>
      </c>
      <c r="N4" s="329">
        <f>C59</f>
        <v>190.8</v>
      </c>
      <c r="O4" s="329">
        <f>D59</f>
        <v>238.6</v>
      </c>
      <c r="P4" s="329">
        <f>E59</f>
        <v>9.9</v>
      </c>
      <c r="Q4" s="331">
        <f>F59</f>
        <v>180.9</v>
      </c>
      <c r="U4" s="459"/>
    </row>
    <row r="5" spans="2:21">
      <c r="B5" s="80">
        <f>B4+1</f>
        <v>1901</v>
      </c>
      <c r="C5" s="118">
        <v>107.1</v>
      </c>
      <c r="D5" s="80">
        <v>75.7</v>
      </c>
      <c r="E5" s="80">
        <v>10</v>
      </c>
      <c r="F5" s="80">
        <v>97.1</v>
      </c>
      <c r="H5" s="317">
        <f t="shared" ref="H5:L58" si="1">B5</f>
        <v>1901</v>
      </c>
      <c r="I5" s="332">
        <f t="shared" si="0"/>
        <v>107.1</v>
      </c>
      <c r="J5" s="332">
        <f t="shared" si="0"/>
        <v>75.7</v>
      </c>
      <c r="K5" s="332">
        <f t="shared" si="0"/>
        <v>10</v>
      </c>
      <c r="L5" s="333">
        <f t="shared" si="0"/>
        <v>97.1</v>
      </c>
      <c r="M5" s="317">
        <f t="shared" ref="M5:M36" si="2">B60</f>
        <v>1956</v>
      </c>
      <c r="N5" s="332">
        <f t="shared" ref="N5:N36" si="3">C60</f>
        <v>291.5</v>
      </c>
      <c r="O5" s="332">
        <f t="shared" ref="O5:O36" si="4">D60</f>
        <v>250.6</v>
      </c>
      <c r="P5" s="332">
        <f t="shared" ref="P5:P36" si="5">E60</f>
        <v>9.6</v>
      </c>
      <c r="Q5" s="334">
        <f t="shared" ref="Q5:Q57" si="6">F60</f>
        <v>281.89999999999998</v>
      </c>
      <c r="U5" s="459"/>
    </row>
    <row r="6" spans="2:21">
      <c r="B6" s="80">
        <f t="shared" ref="B6:B69" si="7">B5+1</f>
        <v>1902</v>
      </c>
      <c r="C6" s="118">
        <v>207.8</v>
      </c>
      <c r="D6" s="80">
        <v>87.8</v>
      </c>
      <c r="E6" s="80">
        <v>9.6999999999999993</v>
      </c>
      <c r="F6" s="80">
        <v>198.1</v>
      </c>
      <c r="H6" s="317">
        <f t="shared" si="1"/>
        <v>1902</v>
      </c>
      <c r="I6" s="332">
        <f t="shared" si="0"/>
        <v>207.8</v>
      </c>
      <c r="J6" s="332">
        <f t="shared" si="0"/>
        <v>87.8</v>
      </c>
      <c r="K6" s="332">
        <f t="shared" si="0"/>
        <v>9.6999999999999993</v>
      </c>
      <c r="L6" s="333">
        <f t="shared" si="0"/>
        <v>198.1</v>
      </c>
      <c r="M6" s="317">
        <f t="shared" si="2"/>
        <v>1957</v>
      </c>
      <c r="N6" s="332">
        <f t="shared" si="3"/>
        <v>7.9</v>
      </c>
      <c r="O6" s="332">
        <f t="shared" si="4"/>
        <v>225.2</v>
      </c>
      <c r="P6" s="332">
        <f t="shared" si="5"/>
        <v>10.4</v>
      </c>
      <c r="Q6" s="334">
        <f t="shared" si="6"/>
        <v>357.5</v>
      </c>
      <c r="U6" s="459"/>
    </row>
    <row r="7" spans="2:21">
      <c r="B7" s="80">
        <f t="shared" si="7"/>
        <v>1903</v>
      </c>
      <c r="C7" s="118">
        <v>208.6</v>
      </c>
      <c r="D7" s="80">
        <v>99.8</v>
      </c>
      <c r="E7" s="80">
        <v>9.5</v>
      </c>
      <c r="F7" s="80">
        <v>299.10000000000002</v>
      </c>
      <c r="H7" s="317">
        <f t="shared" si="1"/>
        <v>1903</v>
      </c>
      <c r="I7" s="332">
        <f t="shared" si="0"/>
        <v>208.6</v>
      </c>
      <c r="J7" s="332">
        <f t="shared" si="0"/>
        <v>99.8</v>
      </c>
      <c r="K7" s="332">
        <f t="shared" si="0"/>
        <v>9.5</v>
      </c>
      <c r="L7" s="333">
        <f t="shared" si="0"/>
        <v>299.10000000000002</v>
      </c>
      <c r="M7" s="317">
        <f t="shared" si="2"/>
        <v>1958</v>
      </c>
      <c r="N7" s="332">
        <f t="shared" si="3"/>
        <v>108.7</v>
      </c>
      <c r="O7" s="332">
        <f t="shared" si="4"/>
        <v>237.2</v>
      </c>
      <c r="P7" s="332">
        <f t="shared" si="5"/>
        <v>10.1</v>
      </c>
      <c r="Q7" s="334">
        <f t="shared" si="6"/>
        <v>98.5</v>
      </c>
      <c r="U7" s="459"/>
    </row>
    <row r="8" spans="2:21">
      <c r="B8" s="80">
        <f t="shared" si="7"/>
        <v>1904</v>
      </c>
      <c r="C8" s="118">
        <v>49.3</v>
      </c>
      <c r="D8" s="80">
        <v>111.3</v>
      </c>
      <c r="E8" s="80">
        <v>9.1999999999999993</v>
      </c>
      <c r="F8" s="80">
        <v>40.1</v>
      </c>
      <c r="H8" s="317">
        <f t="shared" si="1"/>
        <v>1904</v>
      </c>
      <c r="I8" s="332">
        <f t="shared" si="0"/>
        <v>49.3</v>
      </c>
      <c r="J8" s="332">
        <f t="shared" si="0"/>
        <v>111.3</v>
      </c>
      <c r="K8" s="332">
        <f t="shared" si="0"/>
        <v>9.1999999999999993</v>
      </c>
      <c r="L8" s="333">
        <f t="shared" si="0"/>
        <v>40.1</v>
      </c>
      <c r="M8" s="317">
        <f t="shared" si="2"/>
        <v>1959</v>
      </c>
      <c r="N8" s="332">
        <f t="shared" si="3"/>
        <v>209.4</v>
      </c>
      <c r="O8" s="332">
        <f t="shared" si="4"/>
        <v>249.2</v>
      </c>
      <c r="P8" s="332">
        <f t="shared" si="5"/>
        <v>9.9</v>
      </c>
      <c r="Q8" s="334">
        <f t="shared" si="6"/>
        <v>199.5</v>
      </c>
      <c r="U8" s="459"/>
    </row>
    <row r="9" spans="2:21">
      <c r="B9" s="80">
        <f t="shared" si="7"/>
        <v>1905</v>
      </c>
      <c r="C9" s="118">
        <v>125.7</v>
      </c>
      <c r="D9" s="80">
        <v>86.4</v>
      </c>
      <c r="E9" s="80">
        <v>10</v>
      </c>
      <c r="F9" s="80">
        <v>115.7</v>
      </c>
      <c r="H9" s="317">
        <f t="shared" si="1"/>
        <v>1905</v>
      </c>
      <c r="I9" s="332">
        <f t="shared" si="0"/>
        <v>125.7</v>
      </c>
      <c r="J9" s="332">
        <f t="shared" si="0"/>
        <v>86.4</v>
      </c>
      <c r="K9" s="332">
        <f t="shared" si="0"/>
        <v>10</v>
      </c>
      <c r="L9" s="333">
        <f t="shared" si="0"/>
        <v>115.7</v>
      </c>
      <c r="M9" s="317">
        <f t="shared" si="2"/>
        <v>1960</v>
      </c>
      <c r="N9" s="332">
        <f t="shared" si="3"/>
        <v>310.2</v>
      </c>
      <c r="O9" s="332">
        <f t="shared" si="4"/>
        <v>261.3</v>
      </c>
      <c r="P9" s="332">
        <f t="shared" si="5"/>
        <v>9.6999999999999993</v>
      </c>
      <c r="Q9" s="334">
        <f t="shared" si="6"/>
        <v>300.5</v>
      </c>
      <c r="U9" s="459"/>
    </row>
    <row r="10" spans="2:21">
      <c r="B10" s="80">
        <f t="shared" si="7"/>
        <v>1906</v>
      </c>
      <c r="C10" s="118">
        <v>226.5</v>
      </c>
      <c r="D10" s="80">
        <v>98.4</v>
      </c>
      <c r="E10" s="80">
        <v>9.6999999999999993</v>
      </c>
      <c r="F10" s="80">
        <v>216.7</v>
      </c>
      <c r="H10" s="317">
        <f t="shared" si="1"/>
        <v>1906</v>
      </c>
      <c r="I10" s="332">
        <f t="shared" si="0"/>
        <v>226.5</v>
      </c>
      <c r="J10" s="332">
        <f t="shared" si="0"/>
        <v>98.4</v>
      </c>
      <c r="K10" s="332">
        <f t="shared" si="0"/>
        <v>9.6999999999999993</v>
      </c>
      <c r="L10" s="333">
        <f t="shared" si="0"/>
        <v>216.7</v>
      </c>
      <c r="M10" s="317">
        <f t="shared" si="2"/>
        <v>1961</v>
      </c>
      <c r="N10" s="332">
        <f t="shared" si="3"/>
        <v>26.5</v>
      </c>
      <c r="O10" s="332">
        <f t="shared" si="4"/>
        <v>235.9</v>
      </c>
      <c r="P10" s="332">
        <f t="shared" si="5"/>
        <v>10.4</v>
      </c>
      <c r="Q10" s="334">
        <f t="shared" si="6"/>
        <v>16.100000000000001</v>
      </c>
      <c r="U10" s="459"/>
    </row>
    <row r="11" spans="2:21">
      <c r="B11" s="80">
        <f t="shared" si="7"/>
        <v>1907</v>
      </c>
      <c r="C11" s="118">
        <v>327.2</v>
      </c>
      <c r="D11" s="80">
        <v>110.5</v>
      </c>
      <c r="E11" s="80">
        <v>9.5</v>
      </c>
      <c r="F11" s="80">
        <v>317.7</v>
      </c>
      <c r="H11" s="317">
        <f t="shared" si="1"/>
        <v>1907</v>
      </c>
      <c r="I11" s="332">
        <f t="shared" si="0"/>
        <v>327.2</v>
      </c>
      <c r="J11" s="332">
        <f t="shared" si="0"/>
        <v>110.5</v>
      </c>
      <c r="K11" s="332">
        <f t="shared" si="0"/>
        <v>9.5</v>
      </c>
      <c r="L11" s="333">
        <f t="shared" si="0"/>
        <v>317.7</v>
      </c>
      <c r="M11" s="317">
        <f t="shared" si="2"/>
        <v>1962</v>
      </c>
      <c r="N11" s="332">
        <f t="shared" si="3"/>
        <v>127.3</v>
      </c>
      <c r="O11" s="332">
        <f t="shared" si="4"/>
        <v>247.3</v>
      </c>
      <c r="P11" s="332">
        <f t="shared" si="5"/>
        <v>10.199999999999999</v>
      </c>
      <c r="Q11" s="334">
        <f t="shared" si="6"/>
        <v>117.1</v>
      </c>
      <c r="U11" s="459"/>
    </row>
    <row r="12" spans="2:21">
      <c r="B12" s="80">
        <f t="shared" si="7"/>
        <v>1908</v>
      </c>
      <c r="C12" s="118">
        <v>68</v>
      </c>
      <c r="D12" s="80">
        <v>122.5</v>
      </c>
      <c r="E12" s="80">
        <v>9.3000000000000007</v>
      </c>
      <c r="F12" s="80">
        <v>58.7</v>
      </c>
      <c r="H12" s="317">
        <f t="shared" si="1"/>
        <v>1908</v>
      </c>
      <c r="I12" s="332">
        <f t="shared" si="0"/>
        <v>68</v>
      </c>
      <c r="J12" s="332">
        <f t="shared" si="0"/>
        <v>122.5</v>
      </c>
      <c r="K12" s="332">
        <f t="shared" si="0"/>
        <v>9.3000000000000007</v>
      </c>
      <c r="L12" s="333">
        <f t="shared" si="0"/>
        <v>58.7</v>
      </c>
      <c r="M12" s="317">
        <f t="shared" si="2"/>
        <v>1963</v>
      </c>
      <c r="N12" s="332">
        <f t="shared" si="3"/>
        <v>228</v>
      </c>
      <c r="O12" s="332">
        <f t="shared" si="4"/>
        <v>259.89999999999998</v>
      </c>
      <c r="P12" s="332">
        <f t="shared" si="5"/>
        <v>9.9</v>
      </c>
      <c r="Q12" s="334">
        <f t="shared" si="6"/>
        <v>218.1</v>
      </c>
      <c r="U12" s="459"/>
    </row>
    <row r="13" spans="2:21">
      <c r="B13" s="80">
        <f t="shared" si="7"/>
        <v>1909</v>
      </c>
      <c r="C13" s="118">
        <v>144.30000000000001</v>
      </c>
      <c r="D13" s="80">
        <v>97.1</v>
      </c>
      <c r="E13" s="80">
        <v>10</v>
      </c>
      <c r="F13" s="80">
        <v>134.30000000000001</v>
      </c>
      <c r="H13" s="317">
        <f t="shared" si="1"/>
        <v>1909</v>
      </c>
      <c r="I13" s="332">
        <f t="shared" si="0"/>
        <v>144.30000000000001</v>
      </c>
      <c r="J13" s="332">
        <f t="shared" si="0"/>
        <v>97.1</v>
      </c>
      <c r="K13" s="332">
        <f t="shared" si="0"/>
        <v>10</v>
      </c>
      <c r="L13" s="333">
        <f t="shared" si="0"/>
        <v>134.30000000000001</v>
      </c>
      <c r="M13" s="317">
        <f t="shared" si="2"/>
        <v>1964</v>
      </c>
      <c r="N13" s="332">
        <f t="shared" si="3"/>
        <v>328.8</v>
      </c>
      <c r="O13" s="332">
        <f t="shared" si="4"/>
        <v>272</v>
      </c>
      <c r="P13" s="332">
        <f t="shared" si="5"/>
        <v>9.6999999999999993</v>
      </c>
      <c r="Q13" s="334">
        <f t="shared" si="6"/>
        <v>319.10000000000002</v>
      </c>
      <c r="U13" s="459"/>
    </row>
    <row r="14" spans="2:21">
      <c r="B14" s="80">
        <f t="shared" si="7"/>
        <v>1910</v>
      </c>
      <c r="C14" s="118">
        <v>245.1</v>
      </c>
      <c r="D14" s="80">
        <v>109.1</v>
      </c>
      <c r="E14" s="80">
        <v>9.8000000000000007</v>
      </c>
      <c r="F14" s="80">
        <v>235.3</v>
      </c>
      <c r="H14" s="317">
        <f t="shared" si="1"/>
        <v>1910</v>
      </c>
      <c r="I14" s="332">
        <f t="shared" si="0"/>
        <v>245.1</v>
      </c>
      <c r="J14" s="332">
        <f t="shared" si="0"/>
        <v>109.1</v>
      </c>
      <c r="K14" s="332">
        <f t="shared" si="0"/>
        <v>9.8000000000000007</v>
      </c>
      <c r="L14" s="333">
        <f t="shared" si="0"/>
        <v>235.3</v>
      </c>
      <c r="M14" s="317">
        <f t="shared" si="2"/>
        <v>1965</v>
      </c>
      <c r="N14" s="332">
        <f t="shared" si="3"/>
        <v>45.2</v>
      </c>
      <c r="O14" s="332">
        <f t="shared" si="4"/>
        <v>246.5</v>
      </c>
      <c r="P14" s="332">
        <f t="shared" si="5"/>
        <v>10.4</v>
      </c>
      <c r="Q14" s="334">
        <f t="shared" si="6"/>
        <v>34.700000000000003</v>
      </c>
      <c r="U14" s="459"/>
    </row>
    <row r="15" spans="2:21">
      <c r="B15" s="80">
        <f t="shared" si="7"/>
        <v>1911</v>
      </c>
      <c r="C15" s="118">
        <v>345.8</v>
      </c>
      <c r="D15" s="80">
        <v>121.1</v>
      </c>
      <c r="E15" s="80">
        <v>9.5</v>
      </c>
      <c r="F15" s="80">
        <v>336.3</v>
      </c>
      <c r="H15" s="317">
        <f t="shared" si="1"/>
        <v>1911</v>
      </c>
      <c r="I15" s="332">
        <f t="shared" si="0"/>
        <v>345.8</v>
      </c>
      <c r="J15" s="332">
        <f t="shared" si="0"/>
        <v>121.1</v>
      </c>
      <c r="K15" s="332">
        <f t="shared" si="0"/>
        <v>9.5</v>
      </c>
      <c r="L15" s="333">
        <f t="shared" si="0"/>
        <v>336.3</v>
      </c>
      <c r="M15" s="317">
        <f t="shared" si="2"/>
        <v>1966</v>
      </c>
      <c r="N15" s="332">
        <f t="shared" si="3"/>
        <v>145.9</v>
      </c>
      <c r="O15" s="332">
        <f t="shared" si="4"/>
        <v>258.60000000000002</v>
      </c>
      <c r="P15" s="332">
        <f t="shared" si="5"/>
        <v>10.199999999999999</v>
      </c>
      <c r="Q15" s="334">
        <f t="shared" si="6"/>
        <v>135.69999999999999</v>
      </c>
      <c r="U15" s="459"/>
    </row>
    <row r="16" spans="2:21">
      <c r="B16" s="80">
        <f t="shared" si="7"/>
        <v>1912</v>
      </c>
      <c r="C16" s="118">
        <v>86.6</v>
      </c>
      <c r="D16" s="80">
        <v>133.19999999999999</v>
      </c>
      <c r="E16" s="80">
        <v>9.3000000000000007</v>
      </c>
      <c r="F16" s="80">
        <v>77.3</v>
      </c>
      <c r="H16" s="317">
        <f t="shared" si="1"/>
        <v>1912</v>
      </c>
      <c r="I16" s="332">
        <f t="shared" si="0"/>
        <v>86.6</v>
      </c>
      <c r="J16" s="332">
        <f t="shared" si="0"/>
        <v>133.19999999999999</v>
      </c>
      <c r="K16" s="332">
        <f t="shared" si="0"/>
        <v>9.3000000000000007</v>
      </c>
      <c r="L16" s="333">
        <f t="shared" si="0"/>
        <v>77.3</v>
      </c>
      <c r="M16" s="317">
        <f t="shared" si="2"/>
        <v>1967</v>
      </c>
      <c r="N16" s="332">
        <f t="shared" si="3"/>
        <v>246.7</v>
      </c>
      <c r="O16" s="332">
        <f t="shared" si="4"/>
        <v>270.60000000000002</v>
      </c>
      <c r="P16" s="332">
        <f t="shared" si="5"/>
        <v>10</v>
      </c>
      <c r="Q16" s="334">
        <f t="shared" si="6"/>
        <v>236.7</v>
      </c>
      <c r="U16" s="459"/>
    </row>
    <row r="17" spans="2:21">
      <c r="B17" s="80">
        <f t="shared" si="7"/>
        <v>1913</v>
      </c>
      <c r="C17" s="118">
        <v>163</v>
      </c>
      <c r="D17" s="80">
        <v>107.7</v>
      </c>
      <c r="E17" s="80">
        <v>10</v>
      </c>
      <c r="F17" s="80">
        <v>152.9</v>
      </c>
      <c r="H17" s="317">
        <f t="shared" si="1"/>
        <v>1913</v>
      </c>
      <c r="I17" s="332">
        <f t="shared" si="0"/>
        <v>163</v>
      </c>
      <c r="J17" s="332">
        <f t="shared" si="0"/>
        <v>107.7</v>
      </c>
      <c r="K17" s="332">
        <f t="shared" si="0"/>
        <v>10</v>
      </c>
      <c r="L17" s="333">
        <f t="shared" si="0"/>
        <v>152.9</v>
      </c>
      <c r="M17" s="317">
        <f t="shared" si="2"/>
        <v>1968</v>
      </c>
      <c r="N17" s="332">
        <f t="shared" si="3"/>
        <v>347.4</v>
      </c>
      <c r="O17" s="332">
        <f t="shared" si="4"/>
        <v>282.60000000000002</v>
      </c>
      <c r="P17" s="332">
        <f t="shared" si="5"/>
        <v>9.6999999999999993</v>
      </c>
      <c r="Q17" s="334">
        <f t="shared" si="6"/>
        <v>337.7</v>
      </c>
      <c r="U17" s="459"/>
    </row>
    <row r="18" spans="2:21">
      <c r="B18" s="80">
        <f t="shared" si="7"/>
        <v>1914</v>
      </c>
      <c r="C18" s="118">
        <v>263.7</v>
      </c>
      <c r="D18" s="80">
        <v>119.8</v>
      </c>
      <c r="E18" s="80">
        <v>9.8000000000000007</v>
      </c>
      <c r="F18" s="80">
        <v>253.9</v>
      </c>
      <c r="H18" s="317">
        <f t="shared" si="1"/>
        <v>1914</v>
      </c>
      <c r="I18" s="332">
        <f t="shared" si="0"/>
        <v>263.7</v>
      </c>
      <c r="J18" s="332">
        <f t="shared" si="0"/>
        <v>119.8</v>
      </c>
      <c r="K18" s="332">
        <f t="shared" si="0"/>
        <v>9.8000000000000007</v>
      </c>
      <c r="L18" s="333">
        <f t="shared" si="0"/>
        <v>253.9</v>
      </c>
      <c r="M18" s="317">
        <f t="shared" si="2"/>
        <v>1969</v>
      </c>
      <c r="N18" s="332">
        <f t="shared" si="3"/>
        <v>63.8</v>
      </c>
      <c r="O18" s="332">
        <f t="shared" si="4"/>
        <v>257.2</v>
      </c>
      <c r="P18" s="332">
        <f t="shared" si="5"/>
        <v>10.5</v>
      </c>
      <c r="Q18" s="334">
        <f t="shared" si="6"/>
        <v>53.3</v>
      </c>
      <c r="U18" s="459"/>
    </row>
    <row r="19" spans="2:21">
      <c r="B19" s="80">
        <f t="shared" si="7"/>
        <v>1915</v>
      </c>
      <c r="C19" s="118">
        <v>4.5</v>
      </c>
      <c r="D19" s="80">
        <v>131.80000000000001</v>
      </c>
      <c r="E19" s="80">
        <v>9.6</v>
      </c>
      <c r="F19" s="80">
        <v>354.9</v>
      </c>
      <c r="H19" s="317">
        <f t="shared" si="1"/>
        <v>1915</v>
      </c>
      <c r="I19" s="332">
        <f t="shared" si="1"/>
        <v>4.5</v>
      </c>
      <c r="J19" s="332">
        <f t="shared" si="1"/>
        <v>131.80000000000001</v>
      </c>
      <c r="K19" s="332">
        <f t="shared" si="1"/>
        <v>9.6</v>
      </c>
      <c r="L19" s="333">
        <f t="shared" si="1"/>
        <v>354.9</v>
      </c>
      <c r="M19" s="317">
        <f t="shared" si="2"/>
        <v>1970</v>
      </c>
      <c r="N19" s="332">
        <f t="shared" si="3"/>
        <v>164.6</v>
      </c>
      <c r="O19" s="332">
        <f t="shared" si="4"/>
        <v>269.2</v>
      </c>
      <c r="P19" s="332">
        <f t="shared" si="5"/>
        <v>10.199999999999999</v>
      </c>
      <c r="Q19" s="334">
        <f t="shared" si="6"/>
        <v>154.30000000000001</v>
      </c>
      <c r="U19" s="459"/>
    </row>
    <row r="20" spans="2:21">
      <c r="B20" s="80">
        <f t="shared" si="7"/>
        <v>1916</v>
      </c>
      <c r="C20" s="118">
        <v>105.2</v>
      </c>
      <c r="D20" s="80">
        <v>143.80000000000001</v>
      </c>
      <c r="E20" s="80">
        <v>9.3000000000000007</v>
      </c>
      <c r="F20" s="80">
        <v>95.6</v>
      </c>
      <c r="H20" s="317">
        <f t="shared" si="1"/>
        <v>1916</v>
      </c>
      <c r="I20" s="332">
        <f t="shared" si="1"/>
        <v>105.2</v>
      </c>
      <c r="J20" s="332">
        <f t="shared" si="1"/>
        <v>143.80000000000001</v>
      </c>
      <c r="K20" s="332">
        <f t="shared" si="1"/>
        <v>9.3000000000000007</v>
      </c>
      <c r="L20" s="333">
        <f t="shared" si="1"/>
        <v>95.6</v>
      </c>
      <c r="M20" s="317">
        <f t="shared" si="2"/>
        <v>1971</v>
      </c>
      <c r="N20" s="332">
        <f t="shared" si="3"/>
        <v>265.3</v>
      </c>
      <c r="O20" s="332">
        <f t="shared" si="4"/>
        <v>281.3</v>
      </c>
      <c r="P20" s="332">
        <f t="shared" si="5"/>
        <v>10</v>
      </c>
      <c r="Q20" s="334">
        <f t="shared" si="6"/>
        <v>255.3</v>
      </c>
      <c r="U20" s="459"/>
    </row>
    <row r="21" spans="2:21">
      <c r="B21" s="80">
        <f t="shared" si="7"/>
        <v>1917</v>
      </c>
      <c r="C21" s="118">
        <v>181.6</v>
      </c>
      <c r="D21" s="80">
        <v>118.4</v>
      </c>
      <c r="E21" s="80">
        <v>10.1</v>
      </c>
      <c r="F21" s="80">
        <v>171.5</v>
      </c>
      <c r="H21" s="317">
        <f t="shared" si="1"/>
        <v>1917</v>
      </c>
      <c r="I21" s="332">
        <f t="shared" si="1"/>
        <v>181.6</v>
      </c>
      <c r="J21" s="332">
        <f t="shared" si="1"/>
        <v>118.4</v>
      </c>
      <c r="K21" s="332">
        <f t="shared" si="1"/>
        <v>10.1</v>
      </c>
      <c r="L21" s="333">
        <f t="shared" si="1"/>
        <v>171.5</v>
      </c>
      <c r="M21" s="317">
        <f t="shared" si="2"/>
        <v>1972</v>
      </c>
      <c r="N21" s="332">
        <f t="shared" si="3"/>
        <v>6.1</v>
      </c>
      <c r="O21" s="332">
        <f t="shared" si="4"/>
        <v>293.3</v>
      </c>
      <c r="P21" s="332">
        <f t="shared" si="5"/>
        <v>9.8000000000000007</v>
      </c>
      <c r="Q21" s="334">
        <f t="shared" si="6"/>
        <v>356.3</v>
      </c>
      <c r="U21" s="459"/>
    </row>
    <row r="22" spans="2:21">
      <c r="B22" s="80">
        <f t="shared" si="7"/>
        <v>1918</v>
      </c>
      <c r="C22" s="118">
        <v>282.39999999999998</v>
      </c>
      <c r="D22" s="80">
        <v>130.5</v>
      </c>
      <c r="E22" s="80">
        <v>9.8000000000000007</v>
      </c>
      <c r="F22" s="80">
        <v>272.5</v>
      </c>
      <c r="H22" s="317">
        <f t="shared" si="1"/>
        <v>1918</v>
      </c>
      <c r="I22" s="332">
        <f t="shared" si="1"/>
        <v>282.39999999999998</v>
      </c>
      <c r="J22" s="332">
        <f t="shared" si="1"/>
        <v>130.5</v>
      </c>
      <c r="K22" s="332">
        <f t="shared" si="1"/>
        <v>9.8000000000000007</v>
      </c>
      <c r="L22" s="333">
        <f t="shared" si="1"/>
        <v>272.5</v>
      </c>
      <c r="M22" s="317">
        <f t="shared" si="2"/>
        <v>1973</v>
      </c>
      <c r="N22" s="332">
        <f t="shared" si="3"/>
        <v>82.4</v>
      </c>
      <c r="O22" s="332">
        <f t="shared" si="4"/>
        <v>267.89999999999998</v>
      </c>
      <c r="P22" s="332">
        <f t="shared" si="5"/>
        <v>10.5</v>
      </c>
      <c r="Q22" s="334">
        <f t="shared" si="6"/>
        <v>71.900000000000006</v>
      </c>
      <c r="U22" s="459"/>
    </row>
    <row r="23" spans="2:21">
      <c r="B23" s="80">
        <f t="shared" si="7"/>
        <v>1919</v>
      </c>
      <c r="C23" s="118">
        <v>23.1</v>
      </c>
      <c r="D23" s="80">
        <v>142.5</v>
      </c>
      <c r="E23" s="80">
        <v>9.6</v>
      </c>
      <c r="F23" s="80">
        <v>13.5</v>
      </c>
      <c r="H23" s="317">
        <f t="shared" si="1"/>
        <v>1919</v>
      </c>
      <c r="I23" s="332">
        <f t="shared" si="1"/>
        <v>23.1</v>
      </c>
      <c r="J23" s="332">
        <f t="shared" si="1"/>
        <v>142.5</v>
      </c>
      <c r="K23" s="332">
        <f t="shared" si="1"/>
        <v>9.6</v>
      </c>
      <c r="L23" s="333">
        <f t="shared" si="1"/>
        <v>13.5</v>
      </c>
      <c r="M23" s="317">
        <f t="shared" si="2"/>
        <v>1974</v>
      </c>
      <c r="N23" s="332">
        <f t="shared" si="3"/>
        <v>183.2</v>
      </c>
      <c r="O23" s="332">
        <f t="shared" si="4"/>
        <v>279.89999999999998</v>
      </c>
      <c r="P23" s="332">
        <f t="shared" si="5"/>
        <v>10.3</v>
      </c>
      <c r="Q23" s="334">
        <f t="shared" si="6"/>
        <v>172.9</v>
      </c>
      <c r="U23" s="459"/>
    </row>
    <row r="24" spans="2:21">
      <c r="B24" s="80">
        <f t="shared" si="7"/>
        <v>1920</v>
      </c>
      <c r="C24" s="118">
        <v>123.9</v>
      </c>
      <c r="D24" s="80">
        <v>154.5</v>
      </c>
      <c r="E24" s="80">
        <v>9.4</v>
      </c>
      <c r="F24" s="80">
        <v>114.5</v>
      </c>
      <c r="H24" s="317">
        <f t="shared" si="1"/>
        <v>1920</v>
      </c>
      <c r="I24" s="332">
        <f t="shared" si="1"/>
        <v>123.9</v>
      </c>
      <c r="J24" s="332">
        <f t="shared" si="1"/>
        <v>154.5</v>
      </c>
      <c r="K24" s="332">
        <f t="shared" si="1"/>
        <v>9.4</v>
      </c>
      <c r="L24" s="333">
        <f t="shared" si="1"/>
        <v>114.5</v>
      </c>
      <c r="M24" s="317">
        <f t="shared" si="2"/>
        <v>1975</v>
      </c>
      <c r="N24" s="332">
        <f t="shared" si="3"/>
        <v>283.89999999999998</v>
      </c>
      <c r="O24" s="332">
        <f t="shared" si="4"/>
        <v>291.89999999999998</v>
      </c>
      <c r="P24" s="332">
        <f t="shared" si="5"/>
        <v>10</v>
      </c>
      <c r="Q24" s="334">
        <f t="shared" si="6"/>
        <v>273.89999999999998</v>
      </c>
      <c r="U24" s="459"/>
    </row>
    <row r="25" spans="2:21">
      <c r="B25" s="80">
        <f t="shared" si="7"/>
        <v>1921</v>
      </c>
      <c r="C25" s="118">
        <v>200.2</v>
      </c>
      <c r="D25" s="80">
        <v>129.1</v>
      </c>
      <c r="E25" s="80">
        <v>10.1</v>
      </c>
      <c r="F25" s="80">
        <v>190.1</v>
      </c>
      <c r="H25" s="317">
        <f t="shared" si="1"/>
        <v>1921</v>
      </c>
      <c r="I25" s="332">
        <f t="shared" si="1"/>
        <v>200.2</v>
      </c>
      <c r="J25" s="332">
        <f t="shared" si="1"/>
        <v>129.1</v>
      </c>
      <c r="K25" s="332">
        <f t="shared" si="1"/>
        <v>10.1</v>
      </c>
      <c r="L25" s="333">
        <f t="shared" si="1"/>
        <v>190.1</v>
      </c>
      <c r="M25" s="317">
        <f t="shared" si="2"/>
        <v>1976</v>
      </c>
      <c r="N25" s="332">
        <f t="shared" si="3"/>
        <v>24.7</v>
      </c>
      <c r="O25" s="332">
        <f t="shared" si="4"/>
        <v>304</v>
      </c>
      <c r="P25" s="332">
        <f t="shared" si="5"/>
        <v>9.8000000000000007</v>
      </c>
      <c r="Q25" s="334">
        <f t="shared" si="6"/>
        <v>14.9</v>
      </c>
      <c r="U25" s="459"/>
    </row>
    <row r="26" spans="2:21">
      <c r="B26" s="80">
        <f t="shared" si="7"/>
        <v>1922</v>
      </c>
      <c r="C26" s="118">
        <v>301</v>
      </c>
      <c r="D26" s="80">
        <v>141.1</v>
      </c>
      <c r="E26" s="80">
        <v>9.9</v>
      </c>
      <c r="F26" s="80">
        <v>291.10000000000002</v>
      </c>
      <c r="H26" s="317">
        <f t="shared" si="1"/>
        <v>1922</v>
      </c>
      <c r="I26" s="332">
        <f t="shared" si="1"/>
        <v>301</v>
      </c>
      <c r="J26" s="332">
        <f t="shared" si="1"/>
        <v>141.1</v>
      </c>
      <c r="K26" s="332">
        <f t="shared" si="1"/>
        <v>9.9</v>
      </c>
      <c r="L26" s="333">
        <f t="shared" si="1"/>
        <v>291.10000000000002</v>
      </c>
      <c r="M26" s="317">
        <f t="shared" si="2"/>
        <v>1977</v>
      </c>
      <c r="N26" s="332">
        <f t="shared" si="3"/>
        <v>101.1</v>
      </c>
      <c r="O26" s="332">
        <f t="shared" si="4"/>
        <v>278.60000000000002</v>
      </c>
      <c r="P26" s="332">
        <f t="shared" si="5"/>
        <v>10.5</v>
      </c>
      <c r="Q26" s="334">
        <f t="shared" si="6"/>
        <v>90.5</v>
      </c>
      <c r="U26" s="459"/>
    </row>
    <row r="27" spans="2:21">
      <c r="B27" s="80">
        <f t="shared" si="7"/>
        <v>1923</v>
      </c>
      <c r="C27" s="118">
        <v>41.7</v>
      </c>
      <c r="D27" s="80">
        <v>153.19999999999999</v>
      </c>
      <c r="E27" s="80">
        <v>9.6</v>
      </c>
      <c r="F27" s="80">
        <v>32.1</v>
      </c>
      <c r="H27" s="317">
        <f t="shared" si="1"/>
        <v>1923</v>
      </c>
      <c r="I27" s="332">
        <f t="shared" si="1"/>
        <v>41.7</v>
      </c>
      <c r="J27" s="332">
        <f t="shared" si="1"/>
        <v>153.19999999999999</v>
      </c>
      <c r="K27" s="332">
        <f t="shared" si="1"/>
        <v>9.6</v>
      </c>
      <c r="L27" s="333">
        <f t="shared" si="1"/>
        <v>32.1</v>
      </c>
      <c r="M27" s="317">
        <f t="shared" si="2"/>
        <v>1978</v>
      </c>
      <c r="N27" s="332">
        <f t="shared" si="3"/>
        <v>201.8</v>
      </c>
      <c r="O27" s="332">
        <f t="shared" si="4"/>
        <v>290.60000000000002</v>
      </c>
      <c r="P27" s="332">
        <f t="shared" si="5"/>
        <v>10.3</v>
      </c>
      <c r="Q27" s="334">
        <f t="shared" si="6"/>
        <v>191.5</v>
      </c>
      <c r="U27" s="459"/>
    </row>
    <row r="28" spans="2:21">
      <c r="B28" s="80">
        <f t="shared" si="7"/>
        <v>1924</v>
      </c>
      <c r="C28" s="118">
        <v>142.5</v>
      </c>
      <c r="D28" s="80">
        <v>165.2</v>
      </c>
      <c r="E28" s="80">
        <v>9.4</v>
      </c>
      <c r="F28" s="80">
        <v>133.1</v>
      </c>
      <c r="H28" s="317">
        <f t="shared" si="1"/>
        <v>1924</v>
      </c>
      <c r="I28" s="332">
        <f t="shared" si="1"/>
        <v>142.5</v>
      </c>
      <c r="J28" s="332">
        <f t="shared" si="1"/>
        <v>165.2</v>
      </c>
      <c r="K28" s="332">
        <f t="shared" si="1"/>
        <v>9.4</v>
      </c>
      <c r="L28" s="333">
        <f t="shared" si="1"/>
        <v>133.1</v>
      </c>
      <c r="M28" s="317">
        <f t="shared" si="2"/>
        <v>1979</v>
      </c>
      <c r="N28" s="332">
        <f t="shared" si="3"/>
        <v>302.60000000000002</v>
      </c>
      <c r="O28" s="332">
        <f t="shared" si="4"/>
        <v>302.60000000000002</v>
      </c>
      <c r="P28" s="332">
        <f t="shared" si="5"/>
        <v>10.1</v>
      </c>
      <c r="Q28" s="334">
        <f t="shared" si="6"/>
        <v>292.5</v>
      </c>
      <c r="U28" s="459"/>
    </row>
    <row r="29" spans="2:21">
      <c r="B29" s="80">
        <f t="shared" si="7"/>
        <v>1925</v>
      </c>
      <c r="C29" s="118">
        <v>218.9</v>
      </c>
      <c r="D29" s="80">
        <v>139.80000000000001</v>
      </c>
      <c r="E29" s="80">
        <v>10.1</v>
      </c>
      <c r="F29" s="80">
        <v>208.7</v>
      </c>
      <c r="H29" s="317">
        <f t="shared" si="1"/>
        <v>1925</v>
      </c>
      <c r="I29" s="332">
        <f t="shared" si="1"/>
        <v>218.9</v>
      </c>
      <c r="J29" s="332">
        <f t="shared" si="1"/>
        <v>139.80000000000001</v>
      </c>
      <c r="K29" s="332">
        <f t="shared" si="1"/>
        <v>10.1</v>
      </c>
      <c r="L29" s="333">
        <f t="shared" si="1"/>
        <v>208.7</v>
      </c>
      <c r="M29" s="317">
        <f t="shared" si="2"/>
        <v>1980</v>
      </c>
      <c r="N29" s="332">
        <f t="shared" si="3"/>
        <v>43.3</v>
      </c>
      <c r="O29" s="332">
        <f t="shared" si="4"/>
        <v>314.7</v>
      </c>
      <c r="P29" s="332">
        <f t="shared" si="5"/>
        <v>9.8000000000000007</v>
      </c>
      <c r="Q29" s="334">
        <f t="shared" si="6"/>
        <v>33.5</v>
      </c>
      <c r="U29" s="459"/>
    </row>
    <row r="30" spans="2:21">
      <c r="B30" s="80">
        <f t="shared" si="7"/>
        <v>1926</v>
      </c>
      <c r="C30" s="118">
        <v>319.60000000000002</v>
      </c>
      <c r="D30" s="80">
        <v>151.80000000000001</v>
      </c>
      <c r="E30" s="80">
        <v>9.9</v>
      </c>
      <c r="F30" s="80">
        <v>309.7</v>
      </c>
      <c r="H30" s="317">
        <f t="shared" si="1"/>
        <v>1926</v>
      </c>
      <c r="I30" s="332">
        <f t="shared" si="1"/>
        <v>319.60000000000002</v>
      </c>
      <c r="J30" s="332">
        <f t="shared" si="1"/>
        <v>151.80000000000001</v>
      </c>
      <c r="K30" s="332">
        <f t="shared" si="1"/>
        <v>9.9</v>
      </c>
      <c r="L30" s="333">
        <f t="shared" si="1"/>
        <v>309.7</v>
      </c>
      <c r="M30" s="317">
        <f t="shared" si="2"/>
        <v>1981</v>
      </c>
      <c r="N30" s="332">
        <f t="shared" si="3"/>
        <v>119.7</v>
      </c>
      <c r="O30" s="332">
        <f t="shared" si="4"/>
        <v>289.2</v>
      </c>
      <c r="P30" s="332">
        <f t="shared" si="5"/>
        <v>10.6</v>
      </c>
      <c r="Q30" s="334">
        <f t="shared" si="6"/>
        <v>109.1</v>
      </c>
      <c r="U30" s="459"/>
    </row>
    <row r="31" spans="2:21">
      <c r="B31" s="80">
        <f t="shared" si="7"/>
        <v>1927</v>
      </c>
      <c r="C31" s="118">
        <v>60.4</v>
      </c>
      <c r="D31" s="80">
        <v>163.80000000000001</v>
      </c>
      <c r="E31" s="80">
        <v>9.6999999999999993</v>
      </c>
      <c r="F31" s="80">
        <v>50.7</v>
      </c>
      <c r="H31" s="317">
        <f t="shared" si="1"/>
        <v>1927</v>
      </c>
      <c r="I31" s="332">
        <f t="shared" si="1"/>
        <v>60.4</v>
      </c>
      <c r="J31" s="332">
        <f t="shared" si="1"/>
        <v>163.80000000000001</v>
      </c>
      <c r="K31" s="332">
        <f t="shared" si="1"/>
        <v>9.6999999999999993</v>
      </c>
      <c r="L31" s="333">
        <f t="shared" si="1"/>
        <v>50.7</v>
      </c>
      <c r="M31" s="317">
        <f t="shared" si="2"/>
        <v>1982</v>
      </c>
      <c r="N31" s="332">
        <f t="shared" si="3"/>
        <v>220.4</v>
      </c>
      <c r="O31" s="332">
        <f t="shared" si="4"/>
        <v>301.3</v>
      </c>
      <c r="P31" s="332">
        <f t="shared" si="5"/>
        <v>10.3</v>
      </c>
      <c r="Q31" s="334">
        <f t="shared" si="6"/>
        <v>210.1</v>
      </c>
      <c r="U31" s="459"/>
    </row>
    <row r="32" spans="2:21">
      <c r="B32" s="80">
        <f t="shared" si="7"/>
        <v>1928</v>
      </c>
      <c r="C32" s="118">
        <v>161.1</v>
      </c>
      <c r="D32" s="80">
        <v>175.9</v>
      </c>
      <c r="E32" s="80">
        <v>9.4</v>
      </c>
      <c r="F32" s="80">
        <v>151.69999999999999</v>
      </c>
      <c r="H32" s="317">
        <f t="shared" si="1"/>
        <v>1928</v>
      </c>
      <c r="I32" s="332">
        <f t="shared" si="1"/>
        <v>161.1</v>
      </c>
      <c r="J32" s="332">
        <f t="shared" si="1"/>
        <v>175.9</v>
      </c>
      <c r="K32" s="332">
        <f t="shared" si="1"/>
        <v>9.4</v>
      </c>
      <c r="L32" s="333">
        <f t="shared" si="1"/>
        <v>151.69999999999999</v>
      </c>
      <c r="M32" s="317">
        <f t="shared" si="2"/>
        <v>1983</v>
      </c>
      <c r="N32" s="332">
        <f t="shared" si="3"/>
        <v>321.2</v>
      </c>
      <c r="O32" s="332">
        <f t="shared" si="4"/>
        <v>313.3</v>
      </c>
      <c r="P32" s="332">
        <f t="shared" si="5"/>
        <v>10.1</v>
      </c>
      <c r="Q32" s="334">
        <f t="shared" si="6"/>
        <v>311.10000000000002</v>
      </c>
      <c r="U32" s="459"/>
    </row>
    <row r="33" spans="2:21">
      <c r="B33" s="80">
        <f t="shared" si="7"/>
        <v>1929</v>
      </c>
      <c r="C33" s="118">
        <v>237.5</v>
      </c>
      <c r="D33" s="80">
        <v>150.5</v>
      </c>
      <c r="E33" s="80">
        <v>10.199999999999999</v>
      </c>
      <c r="F33" s="80">
        <v>227.3</v>
      </c>
      <c r="H33" s="317">
        <f t="shared" si="1"/>
        <v>1929</v>
      </c>
      <c r="I33" s="332">
        <f t="shared" si="1"/>
        <v>237.5</v>
      </c>
      <c r="J33" s="332">
        <f t="shared" si="1"/>
        <v>150.5</v>
      </c>
      <c r="K33" s="332">
        <f t="shared" si="1"/>
        <v>10.199999999999999</v>
      </c>
      <c r="L33" s="333">
        <f t="shared" si="1"/>
        <v>227.3</v>
      </c>
      <c r="M33" s="317">
        <f t="shared" si="2"/>
        <v>1984</v>
      </c>
      <c r="N33" s="332">
        <f t="shared" si="3"/>
        <v>61.9</v>
      </c>
      <c r="O33" s="332">
        <f t="shared" si="4"/>
        <v>325.3</v>
      </c>
      <c r="P33" s="332">
        <f t="shared" si="5"/>
        <v>9.9</v>
      </c>
      <c r="Q33" s="334">
        <f t="shared" si="6"/>
        <v>52.1</v>
      </c>
      <c r="U33" s="459"/>
    </row>
    <row r="34" spans="2:21">
      <c r="B34" s="80">
        <f t="shared" si="7"/>
        <v>1930</v>
      </c>
      <c r="C34" s="118">
        <v>338.2</v>
      </c>
      <c r="D34" s="80">
        <v>162.5</v>
      </c>
      <c r="E34" s="80">
        <v>9.9</v>
      </c>
      <c r="F34" s="80">
        <v>328.3</v>
      </c>
      <c r="H34" s="317">
        <f t="shared" si="1"/>
        <v>1930</v>
      </c>
      <c r="I34" s="332">
        <f t="shared" si="1"/>
        <v>338.2</v>
      </c>
      <c r="J34" s="332">
        <f t="shared" si="1"/>
        <v>162.5</v>
      </c>
      <c r="K34" s="332">
        <f t="shared" si="1"/>
        <v>9.9</v>
      </c>
      <c r="L34" s="333">
        <f t="shared" si="1"/>
        <v>328.3</v>
      </c>
      <c r="M34" s="317">
        <f t="shared" si="2"/>
        <v>1985</v>
      </c>
      <c r="N34" s="332">
        <f t="shared" si="3"/>
        <v>138.30000000000001</v>
      </c>
      <c r="O34" s="332">
        <f t="shared" si="4"/>
        <v>299.89999999999998</v>
      </c>
      <c r="P34" s="332">
        <f t="shared" si="5"/>
        <v>10.6</v>
      </c>
      <c r="Q34" s="334">
        <f t="shared" si="6"/>
        <v>127.7</v>
      </c>
      <c r="U34" s="459"/>
    </row>
    <row r="35" spans="2:21">
      <c r="B35" s="80">
        <f t="shared" si="7"/>
        <v>1931</v>
      </c>
      <c r="C35" s="118">
        <v>79</v>
      </c>
      <c r="D35" s="80">
        <v>174.5</v>
      </c>
      <c r="E35" s="80">
        <v>9.6999999999999993</v>
      </c>
      <c r="F35" s="80">
        <v>69.3</v>
      </c>
      <c r="H35" s="317">
        <f t="shared" si="1"/>
        <v>1931</v>
      </c>
      <c r="I35" s="332">
        <f t="shared" si="1"/>
        <v>79</v>
      </c>
      <c r="J35" s="332">
        <f t="shared" si="1"/>
        <v>174.5</v>
      </c>
      <c r="K35" s="332">
        <f t="shared" si="1"/>
        <v>9.6999999999999993</v>
      </c>
      <c r="L35" s="333">
        <f t="shared" si="1"/>
        <v>69.3</v>
      </c>
      <c r="M35" s="317">
        <f t="shared" si="2"/>
        <v>1986</v>
      </c>
      <c r="N35" s="332">
        <f t="shared" si="3"/>
        <v>239.1</v>
      </c>
      <c r="O35" s="332">
        <f t="shared" si="4"/>
        <v>311.89999999999998</v>
      </c>
      <c r="P35" s="332">
        <f t="shared" si="5"/>
        <v>10.4</v>
      </c>
      <c r="Q35" s="334">
        <f t="shared" si="6"/>
        <v>228.7</v>
      </c>
      <c r="U35" s="459"/>
    </row>
    <row r="36" spans="2:21">
      <c r="B36" s="80">
        <f t="shared" si="7"/>
        <v>1932</v>
      </c>
      <c r="C36" s="118">
        <v>179.8</v>
      </c>
      <c r="D36" s="80">
        <v>186.5</v>
      </c>
      <c r="E36" s="80">
        <v>9.5</v>
      </c>
      <c r="F36" s="80">
        <v>170.3</v>
      </c>
      <c r="H36" s="317">
        <f t="shared" si="1"/>
        <v>1932</v>
      </c>
      <c r="I36" s="332">
        <f t="shared" si="1"/>
        <v>179.8</v>
      </c>
      <c r="J36" s="332">
        <f t="shared" si="1"/>
        <v>186.5</v>
      </c>
      <c r="K36" s="332">
        <f t="shared" si="1"/>
        <v>9.5</v>
      </c>
      <c r="L36" s="333">
        <f t="shared" si="1"/>
        <v>170.3</v>
      </c>
      <c r="M36" s="317">
        <f t="shared" si="2"/>
        <v>1987</v>
      </c>
      <c r="N36" s="332">
        <f t="shared" si="3"/>
        <v>339.8</v>
      </c>
      <c r="O36" s="332">
        <f t="shared" si="4"/>
        <v>324</v>
      </c>
      <c r="P36" s="332">
        <f t="shared" si="5"/>
        <v>10.1</v>
      </c>
      <c r="Q36" s="334">
        <f t="shared" si="6"/>
        <v>329.7</v>
      </c>
      <c r="U36" s="459"/>
    </row>
    <row r="37" spans="2:21">
      <c r="B37" s="80">
        <f t="shared" si="7"/>
        <v>1933</v>
      </c>
      <c r="C37" s="118">
        <v>256.10000000000002</v>
      </c>
      <c r="D37" s="80">
        <v>161.5</v>
      </c>
      <c r="E37" s="80">
        <v>10.199999999999999</v>
      </c>
      <c r="F37" s="80">
        <v>245.9</v>
      </c>
      <c r="H37" s="317">
        <f t="shared" si="1"/>
        <v>1933</v>
      </c>
      <c r="I37" s="332">
        <f t="shared" si="1"/>
        <v>256.10000000000002</v>
      </c>
      <c r="J37" s="332">
        <f t="shared" si="1"/>
        <v>161.5</v>
      </c>
      <c r="K37" s="332">
        <f t="shared" si="1"/>
        <v>10.199999999999999</v>
      </c>
      <c r="L37" s="333">
        <f t="shared" si="1"/>
        <v>245.9</v>
      </c>
      <c r="M37" s="317">
        <f t="shared" ref="M37:M61" si="8">B92</f>
        <v>1988</v>
      </c>
      <c r="N37" s="332">
        <f t="shared" ref="N37:N57" si="9">C92</f>
        <v>80.599999999999994</v>
      </c>
      <c r="O37" s="332">
        <f t="shared" ref="O37:O57" si="10">D92</f>
        <v>336</v>
      </c>
      <c r="P37" s="332">
        <f t="shared" ref="P37:P57" si="11">E92</f>
        <v>9.9</v>
      </c>
      <c r="Q37" s="334">
        <f t="shared" si="6"/>
        <v>70.7</v>
      </c>
      <c r="U37" s="459"/>
    </row>
    <row r="38" spans="2:21">
      <c r="B38" s="80">
        <f t="shared" si="7"/>
        <v>1934</v>
      </c>
      <c r="C38" s="118">
        <v>356.9</v>
      </c>
      <c r="D38" s="80">
        <v>173.2</v>
      </c>
      <c r="E38" s="80">
        <v>10</v>
      </c>
      <c r="F38" s="80">
        <v>346.9</v>
      </c>
      <c r="H38" s="317">
        <f t="shared" si="1"/>
        <v>1934</v>
      </c>
      <c r="I38" s="332">
        <f t="shared" si="1"/>
        <v>356.9</v>
      </c>
      <c r="J38" s="332">
        <f t="shared" si="1"/>
        <v>173.2</v>
      </c>
      <c r="K38" s="332">
        <f t="shared" si="1"/>
        <v>10</v>
      </c>
      <c r="L38" s="333">
        <f t="shared" si="1"/>
        <v>346.9</v>
      </c>
      <c r="M38" s="317">
        <f t="shared" si="8"/>
        <v>1989</v>
      </c>
      <c r="N38" s="332">
        <f t="shared" si="9"/>
        <v>156.9</v>
      </c>
      <c r="O38" s="332">
        <f t="shared" si="10"/>
        <v>310.60000000000002</v>
      </c>
      <c r="P38" s="332">
        <f t="shared" si="11"/>
        <v>10.6</v>
      </c>
      <c r="Q38" s="334">
        <f t="shared" si="6"/>
        <v>146.30000000000001</v>
      </c>
      <c r="U38" s="459"/>
    </row>
    <row r="39" spans="2:21">
      <c r="B39" s="80">
        <f t="shared" si="7"/>
        <v>1935</v>
      </c>
      <c r="C39" s="118">
        <v>97.6</v>
      </c>
      <c r="D39" s="80">
        <v>185.2</v>
      </c>
      <c r="E39" s="80">
        <v>9.6999999999999993</v>
      </c>
      <c r="F39" s="80">
        <v>87.9</v>
      </c>
      <c r="H39" s="317">
        <f t="shared" si="1"/>
        <v>1935</v>
      </c>
      <c r="I39" s="332">
        <f t="shared" si="1"/>
        <v>97.6</v>
      </c>
      <c r="J39" s="332">
        <f t="shared" si="1"/>
        <v>185.2</v>
      </c>
      <c r="K39" s="332">
        <f t="shared" si="1"/>
        <v>9.6999999999999993</v>
      </c>
      <c r="L39" s="333">
        <f t="shared" si="1"/>
        <v>87.9</v>
      </c>
      <c r="M39" s="317">
        <f t="shared" si="8"/>
        <v>1990</v>
      </c>
      <c r="N39" s="332">
        <f t="shared" si="9"/>
        <v>257.7</v>
      </c>
      <c r="O39" s="332">
        <f t="shared" si="10"/>
        <v>322.60000000000002</v>
      </c>
      <c r="P39" s="332">
        <f t="shared" si="11"/>
        <v>10.4</v>
      </c>
      <c r="Q39" s="334">
        <f t="shared" si="6"/>
        <v>247.8</v>
      </c>
      <c r="U39" s="459"/>
    </row>
    <row r="40" spans="2:21">
      <c r="B40" s="80">
        <f t="shared" si="7"/>
        <v>1936</v>
      </c>
      <c r="C40" s="118">
        <v>198.4</v>
      </c>
      <c r="D40" s="80">
        <v>197.2</v>
      </c>
      <c r="E40" s="80">
        <v>9.5</v>
      </c>
      <c r="F40" s="80">
        <v>188.9</v>
      </c>
      <c r="H40" s="317">
        <f t="shared" si="1"/>
        <v>1936</v>
      </c>
      <c r="I40" s="332">
        <f t="shared" si="1"/>
        <v>198.4</v>
      </c>
      <c r="J40" s="332">
        <f t="shared" si="1"/>
        <v>197.2</v>
      </c>
      <c r="K40" s="332">
        <f t="shared" si="1"/>
        <v>9.5</v>
      </c>
      <c r="L40" s="333">
        <f t="shared" si="1"/>
        <v>188.9</v>
      </c>
      <c r="M40" s="317">
        <f t="shared" si="8"/>
        <v>1991</v>
      </c>
      <c r="N40" s="332">
        <f t="shared" si="9"/>
        <v>358.5</v>
      </c>
      <c r="O40" s="332">
        <f t="shared" si="10"/>
        <v>334.5</v>
      </c>
      <c r="P40" s="332">
        <f t="shared" si="11"/>
        <v>10.199999999999999</v>
      </c>
      <c r="Q40" s="334">
        <f t="shared" si="6"/>
        <v>348.3</v>
      </c>
      <c r="U40" s="459"/>
    </row>
    <row r="41" spans="2:21">
      <c r="B41" s="80">
        <f t="shared" si="7"/>
        <v>1937</v>
      </c>
      <c r="C41" s="118">
        <v>274.8</v>
      </c>
      <c r="D41" s="80">
        <v>171.8</v>
      </c>
      <c r="E41" s="80">
        <v>10.199999999999999</v>
      </c>
      <c r="F41" s="80">
        <v>264.5</v>
      </c>
      <c r="H41" s="317">
        <f t="shared" si="1"/>
        <v>1937</v>
      </c>
      <c r="I41" s="332">
        <f t="shared" si="1"/>
        <v>274.8</v>
      </c>
      <c r="J41" s="332">
        <f t="shared" si="1"/>
        <v>171.8</v>
      </c>
      <c r="K41" s="332">
        <f t="shared" si="1"/>
        <v>10.199999999999999</v>
      </c>
      <c r="L41" s="333">
        <f t="shared" si="1"/>
        <v>264.5</v>
      </c>
      <c r="M41" s="317">
        <f t="shared" si="8"/>
        <v>1992</v>
      </c>
      <c r="N41" s="332">
        <f t="shared" si="9"/>
        <v>99.2</v>
      </c>
      <c r="O41" s="332">
        <f t="shared" si="10"/>
        <v>346.7</v>
      </c>
      <c r="P41" s="332">
        <f t="shared" si="11"/>
        <v>9.9</v>
      </c>
      <c r="Q41" s="334">
        <f t="shared" si="6"/>
        <v>89.3</v>
      </c>
      <c r="U41" s="459"/>
    </row>
    <row r="42" spans="2:21">
      <c r="B42" s="80">
        <f t="shared" si="7"/>
        <v>1938</v>
      </c>
      <c r="C42" s="118">
        <v>15.5</v>
      </c>
      <c r="D42" s="80">
        <v>183.8</v>
      </c>
      <c r="E42" s="80">
        <v>10</v>
      </c>
      <c r="F42" s="80">
        <v>5.5</v>
      </c>
      <c r="H42" s="317">
        <f t="shared" si="1"/>
        <v>1938</v>
      </c>
      <c r="I42" s="332">
        <f t="shared" si="1"/>
        <v>15.5</v>
      </c>
      <c r="J42" s="332">
        <f t="shared" si="1"/>
        <v>183.8</v>
      </c>
      <c r="K42" s="332">
        <f t="shared" si="1"/>
        <v>10</v>
      </c>
      <c r="L42" s="333">
        <f t="shared" si="1"/>
        <v>5.5</v>
      </c>
      <c r="M42" s="317">
        <f t="shared" si="8"/>
        <v>1993</v>
      </c>
      <c r="N42" s="332">
        <f t="shared" si="9"/>
        <v>175.6</v>
      </c>
      <c r="O42" s="332">
        <f t="shared" si="10"/>
        <v>321.3</v>
      </c>
      <c r="P42" s="332">
        <f t="shared" si="11"/>
        <v>10.7</v>
      </c>
      <c r="Q42" s="334">
        <f t="shared" si="6"/>
        <v>164.9</v>
      </c>
      <c r="U42" s="459"/>
    </row>
    <row r="43" spans="2:21">
      <c r="B43" s="80">
        <f t="shared" si="7"/>
        <v>1939</v>
      </c>
      <c r="C43" s="118">
        <v>116.3</v>
      </c>
      <c r="D43" s="80">
        <v>195.9</v>
      </c>
      <c r="E43" s="80">
        <v>9.8000000000000007</v>
      </c>
      <c r="F43" s="80">
        <v>106.5</v>
      </c>
      <c r="H43" s="317">
        <f t="shared" si="1"/>
        <v>1939</v>
      </c>
      <c r="I43" s="332">
        <f t="shared" si="1"/>
        <v>116.3</v>
      </c>
      <c r="J43" s="332">
        <f t="shared" si="1"/>
        <v>195.9</v>
      </c>
      <c r="K43" s="332">
        <f t="shared" si="1"/>
        <v>9.8000000000000007</v>
      </c>
      <c r="L43" s="333">
        <f t="shared" si="1"/>
        <v>106.5</v>
      </c>
      <c r="M43" s="317">
        <f t="shared" si="8"/>
        <v>1994</v>
      </c>
      <c r="N43" s="332">
        <f t="shared" si="9"/>
        <v>276.3</v>
      </c>
      <c r="O43" s="332">
        <f t="shared" si="10"/>
        <v>333.3</v>
      </c>
      <c r="P43" s="332">
        <f t="shared" si="11"/>
        <v>10.4</v>
      </c>
      <c r="Q43" s="334">
        <f t="shared" si="6"/>
        <v>265.89999999999998</v>
      </c>
      <c r="U43" s="459"/>
    </row>
    <row r="44" spans="2:21">
      <c r="B44" s="80">
        <f t="shared" si="7"/>
        <v>1940</v>
      </c>
      <c r="C44" s="118">
        <v>217</v>
      </c>
      <c r="D44" s="80">
        <v>207.9</v>
      </c>
      <c r="E44" s="80">
        <v>9.5</v>
      </c>
      <c r="F44" s="80">
        <v>207.5</v>
      </c>
      <c r="H44" s="317">
        <f t="shared" si="1"/>
        <v>1940</v>
      </c>
      <c r="I44" s="332">
        <f t="shared" si="1"/>
        <v>217</v>
      </c>
      <c r="J44" s="332">
        <f t="shared" si="1"/>
        <v>207.9</v>
      </c>
      <c r="K44" s="332">
        <f t="shared" si="1"/>
        <v>9.5</v>
      </c>
      <c r="L44" s="333">
        <f t="shared" si="1"/>
        <v>207.5</v>
      </c>
      <c r="M44" s="317">
        <f t="shared" si="8"/>
        <v>1995</v>
      </c>
      <c r="N44" s="332">
        <f t="shared" si="9"/>
        <v>17.100000000000001</v>
      </c>
      <c r="O44" s="332">
        <f t="shared" si="10"/>
        <v>345.3</v>
      </c>
      <c r="P44" s="332">
        <f t="shared" si="11"/>
        <v>10.199999999999999</v>
      </c>
      <c r="Q44" s="334">
        <f t="shared" si="6"/>
        <v>6.9</v>
      </c>
      <c r="U44" s="459"/>
    </row>
    <row r="45" spans="2:21">
      <c r="B45" s="80">
        <f t="shared" si="7"/>
        <v>1941</v>
      </c>
      <c r="C45" s="118">
        <v>293.39999999999998</v>
      </c>
      <c r="D45" s="80">
        <v>182.5</v>
      </c>
      <c r="E45" s="80">
        <v>10.3</v>
      </c>
      <c r="F45" s="80">
        <v>283.10000000000002</v>
      </c>
      <c r="H45" s="317">
        <f t="shared" si="1"/>
        <v>1941</v>
      </c>
      <c r="I45" s="332">
        <f t="shared" si="1"/>
        <v>293.39999999999998</v>
      </c>
      <c r="J45" s="332">
        <f t="shared" si="1"/>
        <v>182.5</v>
      </c>
      <c r="K45" s="332">
        <f t="shared" si="1"/>
        <v>10.3</v>
      </c>
      <c r="L45" s="333">
        <f t="shared" si="1"/>
        <v>283.10000000000002</v>
      </c>
      <c r="M45" s="317">
        <f t="shared" si="8"/>
        <v>1996</v>
      </c>
      <c r="N45" s="332">
        <f t="shared" si="9"/>
        <v>117.8</v>
      </c>
      <c r="O45" s="332">
        <f t="shared" si="10"/>
        <v>357.4</v>
      </c>
      <c r="P45" s="332">
        <f t="shared" si="11"/>
        <v>9.9</v>
      </c>
      <c r="Q45" s="334">
        <f t="shared" si="6"/>
        <v>107.9</v>
      </c>
      <c r="U45" s="459"/>
    </row>
    <row r="46" spans="2:21">
      <c r="B46" s="80">
        <f t="shared" si="7"/>
        <v>1942</v>
      </c>
      <c r="C46" s="118">
        <v>34.1</v>
      </c>
      <c r="D46" s="80">
        <v>194.5</v>
      </c>
      <c r="E46" s="80">
        <v>10</v>
      </c>
      <c r="F46" s="80">
        <v>24.1</v>
      </c>
      <c r="H46" s="317">
        <f t="shared" si="1"/>
        <v>1942</v>
      </c>
      <c r="I46" s="332">
        <f t="shared" si="1"/>
        <v>34.1</v>
      </c>
      <c r="J46" s="332">
        <f t="shared" si="1"/>
        <v>194.5</v>
      </c>
      <c r="K46" s="332">
        <f t="shared" si="1"/>
        <v>10</v>
      </c>
      <c r="L46" s="333">
        <f t="shared" si="1"/>
        <v>24.1</v>
      </c>
      <c r="M46" s="317">
        <f t="shared" si="8"/>
        <v>1997</v>
      </c>
      <c r="N46" s="332">
        <f t="shared" si="9"/>
        <v>190.8</v>
      </c>
      <c r="O46" s="332">
        <f t="shared" si="10"/>
        <v>331.9</v>
      </c>
      <c r="P46" s="332">
        <f t="shared" si="11"/>
        <v>10.7</v>
      </c>
      <c r="Q46" s="334">
        <f t="shared" si="6"/>
        <v>183.5</v>
      </c>
      <c r="U46" s="459"/>
    </row>
    <row r="47" spans="2:21">
      <c r="B47" s="80">
        <f t="shared" si="7"/>
        <v>1943</v>
      </c>
      <c r="C47" s="118">
        <v>134.9</v>
      </c>
      <c r="D47" s="80">
        <v>206.5</v>
      </c>
      <c r="E47" s="80">
        <v>9.8000000000000007</v>
      </c>
      <c r="F47" s="80">
        <v>125.1</v>
      </c>
      <c r="H47" s="317">
        <f t="shared" si="1"/>
        <v>1943</v>
      </c>
      <c r="I47" s="332">
        <f t="shared" si="1"/>
        <v>134.9</v>
      </c>
      <c r="J47" s="332">
        <f t="shared" si="1"/>
        <v>206.5</v>
      </c>
      <c r="K47" s="332">
        <f t="shared" si="1"/>
        <v>9.8000000000000007</v>
      </c>
      <c r="L47" s="333">
        <f t="shared" si="1"/>
        <v>125.1</v>
      </c>
      <c r="M47" s="317">
        <f t="shared" si="8"/>
        <v>1998</v>
      </c>
      <c r="N47" s="332">
        <f t="shared" si="9"/>
        <v>291.5</v>
      </c>
      <c r="O47" s="332">
        <f t="shared" si="10"/>
        <v>344</v>
      </c>
      <c r="P47" s="332">
        <f t="shared" si="11"/>
        <v>10.5</v>
      </c>
      <c r="Q47" s="334">
        <f t="shared" si="6"/>
        <v>284.5</v>
      </c>
      <c r="U47" s="459"/>
    </row>
    <row r="48" spans="2:21">
      <c r="B48" s="80">
        <f t="shared" si="7"/>
        <v>1944</v>
      </c>
      <c r="C48" s="118">
        <v>235.6</v>
      </c>
      <c r="D48" s="80">
        <v>218.6</v>
      </c>
      <c r="E48" s="80">
        <v>9.5</v>
      </c>
      <c r="F48" s="80">
        <v>226.1</v>
      </c>
      <c r="H48" s="317">
        <f t="shared" si="1"/>
        <v>1944</v>
      </c>
      <c r="I48" s="332">
        <f t="shared" si="1"/>
        <v>235.6</v>
      </c>
      <c r="J48" s="332">
        <f t="shared" si="1"/>
        <v>218.6</v>
      </c>
      <c r="K48" s="332">
        <f t="shared" si="1"/>
        <v>9.5</v>
      </c>
      <c r="L48" s="333">
        <f t="shared" si="1"/>
        <v>226.1</v>
      </c>
      <c r="M48" s="317">
        <f t="shared" si="8"/>
        <v>1999</v>
      </c>
      <c r="N48" s="332">
        <f t="shared" si="9"/>
        <v>7.9</v>
      </c>
      <c r="O48" s="332">
        <f t="shared" si="10"/>
        <v>356</v>
      </c>
      <c r="P48" s="332">
        <f t="shared" si="11"/>
        <v>10.199999999999999</v>
      </c>
      <c r="Q48" s="334">
        <f t="shared" si="6"/>
        <v>25.5</v>
      </c>
      <c r="U48" s="459"/>
    </row>
    <row r="49" spans="2:21">
      <c r="B49" s="80">
        <f t="shared" si="7"/>
        <v>1945</v>
      </c>
      <c r="C49" s="118">
        <v>312</v>
      </c>
      <c r="D49" s="80">
        <v>193.2</v>
      </c>
      <c r="E49" s="80">
        <v>10.3</v>
      </c>
      <c r="F49" s="80">
        <v>301.7</v>
      </c>
      <c r="H49" s="317">
        <f t="shared" si="1"/>
        <v>1945</v>
      </c>
      <c r="I49" s="332">
        <f t="shared" si="1"/>
        <v>312</v>
      </c>
      <c r="J49" s="332">
        <f t="shared" si="1"/>
        <v>193.2</v>
      </c>
      <c r="K49" s="332">
        <f t="shared" si="1"/>
        <v>10.3</v>
      </c>
      <c r="L49" s="333">
        <f t="shared" si="1"/>
        <v>301.7</v>
      </c>
      <c r="M49" s="317">
        <f t="shared" si="8"/>
        <v>2000</v>
      </c>
      <c r="N49" s="332">
        <f t="shared" si="9"/>
        <v>108.7</v>
      </c>
      <c r="O49" s="332">
        <f t="shared" si="10"/>
        <v>368</v>
      </c>
      <c r="P49" s="332">
        <f t="shared" si="11"/>
        <v>10</v>
      </c>
      <c r="Q49" s="334">
        <f t="shared" si="6"/>
        <v>126.5</v>
      </c>
      <c r="U49" s="459"/>
    </row>
    <row r="50" spans="2:21">
      <c r="B50" s="80">
        <f t="shared" si="7"/>
        <v>1946</v>
      </c>
      <c r="C50" s="118">
        <v>52.8</v>
      </c>
      <c r="D50" s="80">
        <v>205.2</v>
      </c>
      <c r="E50" s="80">
        <v>10.1</v>
      </c>
      <c r="F50" s="80">
        <v>42.7</v>
      </c>
      <c r="H50" s="317">
        <f t="shared" si="1"/>
        <v>1946</v>
      </c>
      <c r="I50" s="332">
        <f t="shared" si="1"/>
        <v>52.8</v>
      </c>
      <c r="J50" s="332">
        <f t="shared" si="1"/>
        <v>205.2</v>
      </c>
      <c r="K50" s="332">
        <f t="shared" si="1"/>
        <v>10.1</v>
      </c>
      <c r="L50" s="333">
        <f t="shared" si="1"/>
        <v>42.7</v>
      </c>
      <c r="M50" s="317">
        <f t="shared" si="8"/>
        <v>2001</v>
      </c>
      <c r="N50" s="332">
        <f t="shared" si="9"/>
        <v>209.4</v>
      </c>
      <c r="O50" s="332">
        <f t="shared" si="10"/>
        <v>342.6</v>
      </c>
      <c r="P50" s="332">
        <f t="shared" si="11"/>
        <v>10.8</v>
      </c>
      <c r="Q50" s="334">
        <f t="shared" si="6"/>
        <v>226.1</v>
      </c>
      <c r="U50" s="459"/>
    </row>
    <row r="51" spans="2:21">
      <c r="B51" s="80">
        <f t="shared" si="7"/>
        <v>1947</v>
      </c>
      <c r="C51" s="118">
        <v>153.5</v>
      </c>
      <c r="D51" s="80">
        <v>217.2</v>
      </c>
      <c r="E51" s="80">
        <v>9.8000000000000007</v>
      </c>
      <c r="F51" s="80">
        <v>143.69999999999999</v>
      </c>
      <c r="H51" s="317">
        <f t="shared" si="1"/>
        <v>1947</v>
      </c>
      <c r="I51" s="332">
        <f t="shared" si="1"/>
        <v>153.5</v>
      </c>
      <c r="J51" s="332">
        <f t="shared" si="1"/>
        <v>217.2</v>
      </c>
      <c r="K51" s="332">
        <f t="shared" si="1"/>
        <v>9.8000000000000007</v>
      </c>
      <c r="L51" s="333">
        <f t="shared" si="1"/>
        <v>143.69999999999999</v>
      </c>
      <c r="M51" s="317">
        <f t="shared" si="8"/>
        <v>2002</v>
      </c>
      <c r="N51" s="332">
        <f t="shared" si="9"/>
        <v>310.2</v>
      </c>
      <c r="O51" s="332">
        <f t="shared" si="10"/>
        <v>354.6</v>
      </c>
      <c r="P51" s="332">
        <f t="shared" si="11"/>
        <v>10.5</v>
      </c>
      <c r="Q51" s="334">
        <f t="shared" si="6"/>
        <v>301.7</v>
      </c>
      <c r="U51" s="459"/>
    </row>
    <row r="52" spans="2:21">
      <c r="B52" s="80">
        <f t="shared" si="7"/>
        <v>1948</v>
      </c>
      <c r="C52" s="118">
        <v>254.3</v>
      </c>
      <c r="D52" s="80">
        <v>229.2</v>
      </c>
      <c r="E52" s="80">
        <v>9.6</v>
      </c>
      <c r="F52" s="80">
        <v>244.7</v>
      </c>
      <c r="H52" s="317">
        <f t="shared" si="1"/>
        <v>1948</v>
      </c>
      <c r="I52" s="332">
        <f t="shared" si="1"/>
        <v>254.3</v>
      </c>
      <c r="J52" s="332">
        <f t="shared" si="1"/>
        <v>229.2</v>
      </c>
      <c r="K52" s="332">
        <f t="shared" si="1"/>
        <v>9.6</v>
      </c>
      <c r="L52" s="333">
        <f t="shared" si="1"/>
        <v>244.7</v>
      </c>
      <c r="M52" s="317">
        <f t="shared" si="8"/>
        <v>2003</v>
      </c>
      <c r="N52" s="332">
        <f t="shared" si="9"/>
        <v>26.5</v>
      </c>
      <c r="O52" s="332">
        <f t="shared" si="10"/>
        <v>366.6</v>
      </c>
      <c r="P52" s="332">
        <f t="shared" si="11"/>
        <v>10.3</v>
      </c>
      <c r="Q52" s="334">
        <f t="shared" si="6"/>
        <v>42.7</v>
      </c>
      <c r="U52" s="459"/>
    </row>
    <row r="53" spans="2:21">
      <c r="B53" s="80">
        <f t="shared" si="7"/>
        <v>1949</v>
      </c>
      <c r="C53" s="118">
        <v>330.6</v>
      </c>
      <c r="D53" s="80">
        <v>203.8</v>
      </c>
      <c r="E53" s="80">
        <v>10.3</v>
      </c>
      <c r="F53" s="80">
        <v>320.3</v>
      </c>
      <c r="H53" s="317">
        <f t="shared" si="1"/>
        <v>1949</v>
      </c>
      <c r="I53" s="332">
        <f t="shared" si="1"/>
        <v>330.6</v>
      </c>
      <c r="J53" s="332">
        <f t="shared" si="1"/>
        <v>203.8</v>
      </c>
      <c r="K53" s="332">
        <f t="shared" si="1"/>
        <v>10.3</v>
      </c>
      <c r="L53" s="333">
        <f t="shared" si="1"/>
        <v>320.3</v>
      </c>
      <c r="M53" s="317">
        <f t="shared" si="8"/>
        <v>2004</v>
      </c>
      <c r="N53" s="332">
        <f t="shared" si="9"/>
        <v>127.3</v>
      </c>
      <c r="O53" s="332">
        <f t="shared" si="10"/>
        <v>378.6</v>
      </c>
      <c r="P53" s="332">
        <f t="shared" si="11"/>
        <v>10.1</v>
      </c>
      <c r="Q53" s="334">
        <f t="shared" si="6"/>
        <v>145.1</v>
      </c>
      <c r="U53" s="459"/>
    </row>
    <row r="54" spans="2:21">
      <c r="B54" s="80">
        <f t="shared" si="7"/>
        <v>1950</v>
      </c>
      <c r="C54" s="118">
        <v>71.400000000000006</v>
      </c>
      <c r="D54" s="80">
        <v>215.9</v>
      </c>
      <c r="E54" s="80">
        <v>10.1</v>
      </c>
      <c r="F54" s="80">
        <v>61.3</v>
      </c>
      <c r="H54" s="317">
        <f t="shared" si="1"/>
        <v>1950</v>
      </c>
      <c r="I54" s="332">
        <f t="shared" si="1"/>
        <v>71.400000000000006</v>
      </c>
      <c r="J54" s="332">
        <f t="shared" si="1"/>
        <v>215.9</v>
      </c>
      <c r="K54" s="332">
        <f t="shared" si="1"/>
        <v>10.1</v>
      </c>
      <c r="L54" s="333">
        <f t="shared" si="1"/>
        <v>61.3</v>
      </c>
      <c r="M54" s="317">
        <f t="shared" si="8"/>
        <v>2005</v>
      </c>
      <c r="N54" s="332">
        <f t="shared" si="9"/>
        <v>228</v>
      </c>
      <c r="O54" s="332">
        <f t="shared" si="10"/>
        <v>353.2</v>
      </c>
      <c r="P54" s="332">
        <f t="shared" si="11"/>
        <v>10.8</v>
      </c>
      <c r="Q54" s="334">
        <f t="shared" si="6"/>
        <v>246.1</v>
      </c>
      <c r="U54" s="459"/>
    </row>
    <row r="55" spans="2:21">
      <c r="B55" s="80">
        <f t="shared" si="7"/>
        <v>1951</v>
      </c>
      <c r="C55" s="118">
        <v>172.2</v>
      </c>
      <c r="D55" s="80">
        <v>227.9</v>
      </c>
      <c r="E55" s="80">
        <v>9.8000000000000007</v>
      </c>
      <c r="F55" s="80">
        <v>162.30000000000001</v>
      </c>
      <c r="H55" s="317">
        <f t="shared" si="1"/>
        <v>1951</v>
      </c>
      <c r="I55" s="332">
        <f t="shared" si="1"/>
        <v>172.2</v>
      </c>
      <c r="J55" s="332">
        <f t="shared" si="1"/>
        <v>227.9</v>
      </c>
      <c r="K55" s="332">
        <f t="shared" si="1"/>
        <v>9.8000000000000007</v>
      </c>
      <c r="L55" s="333">
        <f t="shared" si="1"/>
        <v>162.30000000000001</v>
      </c>
      <c r="M55" s="317">
        <f t="shared" si="8"/>
        <v>2006</v>
      </c>
      <c r="N55" s="332">
        <f t="shared" si="9"/>
        <v>328.8</v>
      </c>
      <c r="O55" s="332">
        <f t="shared" si="10"/>
        <v>365.2</v>
      </c>
      <c r="P55" s="332">
        <f t="shared" si="11"/>
        <v>10.6</v>
      </c>
      <c r="Q55" s="334">
        <f t="shared" si="6"/>
        <v>321.7</v>
      </c>
      <c r="U55" s="459"/>
    </row>
    <row r="56" spans="2:21">
      <c r="B56" s="80">
        <f t="shared" si="7"/>
        <v>1952</v>
      </c>
      <c r="C56" s="118">
        <v>272.89999999999998</v>
      </c>
      <c r="D56" s="80">
        <v>239.9</v>
      </c>
      <c r="E56" s="80">
        <v>9.6</v>
      </c>
      <c r="F56" s="80">
        <v>263.3</v>
      </c>
      <c r="H56" s="317">
        <f t="shared" si="1"/>
        <v>1952</v>
      </c>
      <c r="I56" s="332">
        <f t="shared" si="1"/>
        <v>272.89999999999998</v>
      </c>
      <c r="J56" s="332">
        <f t="shared" si="1"/>
        <v>239.9</v>
      </c>
      <c r="K56" s="332">
        <f t="shared" si="1"/>
        <v>9.6</v>
      </c>
      <c r="L56" s="333">
        <f t="shared" si="1"/>
        <v>263.3</v>
      </c>
      <c r="M56" s="317">
        <f t="shared" si="8"/>
        <v>2007</v>
      </c>
      <c r="N56" s="332">
        <f t="shared" si="9"/>
        <v>45.2</v>
      </c>
      <c r="O56" s="332">
        <f t="shared" si="10"/>
        <v>377.2</v>
      </c>
      <c r="P56" s="332">
        <f t="shared" si="11"/>
        <v>10.3</v>
      </c>
      <c r="Q56" s="334">
        <f t="shared" si="6"/>
        <v>62.7</v>
      </c>
      <c r="U56" s="459"/>
    </row>
    <row r="57" spans="2:21">
      <c r="B57" s="80">
        <f t="shared" si="7"/>
        <v>1953</v>
      </c>
      <c r="C57" s="118">
        <v>349.3</v>
      </c>
      <c r="D57" s="80">
        <v>214.5</v>
      </c>
      <c r="E57" s="80">
        <v>10.4</v>
      </c>
      <c r="F57" s="80">
        <v>338.9</v>
      </c>
      <c r="H57" s="317">
        <f t="shared" si="1"/>
        <v>1953</v>
      </c>
      <c r="I57" s="332">
        <f t="shared" si="1"/>
        <v>349.3</v>
      </c>
      <c r="J57" s="332">
        <f t="shared" si="1"/>
        <v>214.5</v>
      </c>
      <c r="K57" s="332">
        <f t="shared" si="1"/>
        <v>10.4</v>
      </c>
      <c r="L57" s="333">
        <f t="shared" si="1"/>
        <v>338.9</v>
      </c>
      <c r="M57" s="317">
        <f t="shared" si="8"/>
        <v>2008</v>
      </c>
      <c r="N57" s="332">
        <f t="shared" si="9"/>
        <v>145.9</v>
      </c>
      <c r="O57" s="332">
        <f t="shared" si="10"/>
        <v>389.2</v>
      </c>
      <c r="P57" s="332">
        <f t="shared" si="11"/>
        <v>10.1</v>
      </c>
      <c r="Q57" s="334">
        <f t="shared" si="6"/>
        <v>163.69999999999999</v>
      </c>
      <c r="U57" s="459"/>
    </row>
    <row r="58" spans="2:21">
      <c r="B58" s="80">
        <f t="shared" si="7"/>
        <v>1954</v>
      </c>
      <c r="C58" s="118">
        <v>90</v>
      </c>
      <c r="D58" s="80">
        <v>226.5</v>
      </c>
      <c r="E58" s="80">
        <v>10.1</v>
      </c>
      <c r="F58" s="80">
        <v>79.900000000000006</v>
      </c>
      <c r="H58" s="321">
        <f t="shared" si="1"/>
        <v>1954</v>
      </c>
      <c r="I58" s="335">
        <f t="shared" si="1"/>
        <v>90</v>
      </c>
      <c r="J58" s="335">
        <f t="shared" si="1"/>
        <v>226.5</v>
      </c>
      <c r="K58" s="335">
        <f t="shared" si="1"/>
        <v>10.1</v>
      </c>
      <c r="L58" s="336">
        <f t="shared" si="1"/>
        <v>79.900000000000006</v>
      </c>
      <c r="M58" s="317">
        <f t="shared" si="8"/>
        <v>2009</v>
      </c>
      <c r="N58" s="332">
        <f t="shared" ref="N58:Q61" si="12">C113</f>
        <v>246.7</v>
      </c>
      <c r="O58" s="332">
        <f t="shared" si="12"/>
        <v>363.8</v>
      </c>
      <c r="P58" s="332">
        <f t="shared" si="12"/>
        <v>10.8</v>
      </c>
      <c r="Q58" s="334">
        <f t="shared" si="12"/>
        <v>264.7</v>
      </c>
      <c r="U58" s="459"/>
    </row>
    <row r="59" spans="2:21">
      <c r="B59" s="80">
        <f t="shared" si="7"/>
        <v>1955</v>
      </c>
      <c r="C59" s="118">
        <v>190.8</v>
      </c>
      <c r="D59" s="80">
        <v>238.6</v>
      </c>
      <c r="E59" s="80">
        <v>9.9</v>
      </c>
      <c r="F59" s="80">
        <v>180.9</v>
      </c>
      <c r="M59" s="317">
        <f t="shared" si="8"/>
        <v>2010</v>
      </c>
      <c r="N59" s="332">
        <f t="shared" si="12"/>
        <v>347.4</v>
      </c>
      <c r="O59" s="332">
        <f t="shared" si="12"/>
        <v>375.8</v>
      </c>
      <c r="P59" s="332">
        <f t="shared" si="12"/>
        <v>10.6</v>
      </c>
      <c r="Q59" s="334">
        <f t="shared" si="12"/>
        <v>340.3</v>
      </c>
      <c r="U59" s="459"/>
    </row>
    <row r="60" spans="2:21">
      <c r="B60" s="80">
        <f t="shared" si="7"/>
        <v>1956</v>
      </c>
      <c r="C60" s="118">
        <v>291.5</v>
      </c>
      <c r="D60" s="80">
        <v>250.6</v>
      </c>
      <c r="E60" s="80">
        <v>9.6</v>
      </c>
      <c r="F60" s="80">
        <v>281.89999999999998</v>
      </c>
      <c r="M60" s="317">
        <f t="shared" si="8"/>
        <v>2011</v>
      </c>
      <c r="N60" s="332">
        <f t="shared" si="12"/>
        <v>63.8</v>
      </c>
      <c r="O60" s="332">
        <f t="shared" si="12"/>
        <v>387.8</v>
      </c>
      <c r="P60" s="332">
        <f t="shared" si="12"/>
        <v>10.4</v>
      </c>
      <c r="Q60" s="334">
        <f t="shared" si="12"/>
        <v>81.300000000000068</v>
      </c>
      <c r="U60" s="459"/>
    </row>
    <row r="61" spans="2:21" ht="15" thickBot="1">
      <c r="B61" s="80">
        <f t="shared" si="7"/>
        <v>1957</v>
      </c>
      <c r="C61" s="118">
        <v>7.9</v>
      </c>
      <c r="D61" s="80">
        <v>225.2</v>
      </c>
      <c r="E61" s="80">
        <v>10.4</v>
      </c>
      <c r="F61" s="80">
        <v>357.5</v>
      </c>
      <c r="M61" s="321">
        <f t="shared" si="8"/>
        <v>2012</v>
      </c>
      <c r="N61" s="335">
        <f t="shared" si="12"/>
        <v>164.6</v>
      </c>
      <c r="O61" s="335">
        <f t="shared" si="12"/>
        <v>399.8</v>
      </c>
      <c r="P61" s="335">
        <f t="shared" si="12"/>
        <v>10.199999999999999</v>
      </c>
      <c r="Q61" s="461">
        <f t="shared" si="12"/>
        <v>182.3</v>
      </c>
      <c r="U61" s="459"/>
    </row>
    <row r="62" spans="2:21">
      <c r="B62" s="80">
        <f t="shared" si="7"/>
        <v>1958</v>
      </c>
      <c r="C62" s="118">
        <v>108.7</v>
      </c>
      <c r="D62" s="80">
        <v>237.2</v>
      </c>
      <c r="E62" s="80">
        <v>10.1</v>
      </c>
      <c r="F62" s="80">
        <v>98.5</v>
      </c>
      <c r="M62" s="460"/>
      <c r="U62" s="459"/>
    </row>
    <row r="63" spans="2:21">
      <c r="B63" s="80">
        <f t="shared" si="7"/>
        <v>1959</v>
      </c>
      <c r="C63" s="118">
        <v>209.4</v>
      </c>
      <c r="D63" s="80">
        <v>249.2</v>
      </c>
      <c r="E63" s="80">
        <v>9.9</v>
      </c>
      <c r="F63" s="80">
        <v>199.5</v>
      </c>
      <c r="M63" s="460"/>
      <c r="U63" s="459"/>
    </row>
    <row r="64" spans="2:21">
      <c r="B64" s="80">
        <f t="shared" si="7"/>
        <v>1960</v>
      </c>
      <c r="C64" s="118">
        <v>310.2</v>
      </c>
      <c r="D64" s="80">
        <v>261.3</v>
      </c>
      <c r="E64" s="80">
        <v>9.6999999999999993</v>
      </c>
      <c r="F64" s="80">
        <v>300.5</v>
      </c>
      <c r="U64" s="459"/>
    </row>
    <row r="65" spans="2:21">
      <c r="B65" s="80">
        <f t="shared" si="7"/>
        <v>1961</v>
      </c>
      <c r="C65" s="118">
        <v>26.5</v>
      </c>
      <c r="D65" s="80">
        <v>235.9</v>
      </c>
      <c r="E65" s="80">
        <v>10.4</v>
      </c>
      <c r="F65" s="80">
        <v>16.100000000000001</v>
      </c>
      <c r="U65" s="459"/>
    </row>
    <row r="66" spans="2:21">
      <c r="B66" s="80">
        <f t="shared" si="7"/>
        <v>1962</v>
      </c>
      <c r="C66" s="118">
        <v>127.3</v>
      </c>
      <c r="D66" s="80">
        <v>247.3</v>
      </c>
      <c r="E66" s="80">
        <v>10.199999999999999</v>
      </c>
      <c r="F66" s="80">
        <v>117.1</v>
      </c>
      <c r="U66" s="459"/>
    </row>
    <row r="67" spans="2:21">
      <c r="B67" s="80">
        <f t="shared" si="7"/>
        <v>1963</v>
      </c>
      <c r="C67" s="118">
        <v>228</v>
      </c>
      <c r="D67" s="80">
        <v>259.89999999999998</v>
      </c>
      <c r="E67" s="80">
        <v>9.9</v>
      </c>
      <c r="F67" s="80">
        <v>218.1</v>
      </c>
      <c r="U67" s="459"/>
    </row>
    <row r="68" spans="2:21">
      <c r="B68" s="80">
        <f t="shared" si="7"/>
        <v>1964</v>
      </c>
      <c r="C68" s="118">
        <v>328.8</v>
      </c>
      <c r="D68" s="80">
        <v>272</v>
      </c>
      <c r="E68" s="80">
        <v>9.6999999999999993</v>
      </c>
      <c r="F68" s="80">
        <v>319.10000000000002</v>
      </c>
      <c r="U68" s="459"/>
    </row>
    <row r="69" spans="2:21">
      <c r="B69" s="80">
        <f t="shared" si="7"/>
        <v>1965</v>
      </c>
      <c r="C69" s="118">
        <v>45.2</v>
      </c>
      <c r="D69" s="80">
        <v>246.5</v>
      </c>
      <c r="E69" s="80">
        <v>10.4</v>
      </c>
      <c r="F69" s="80">
        <v>34.700000000000003</v>
      </c>
      <c r="U69" s="459"/>
    </row>
    <row r="70" spans="2:21">
      <c r="B70" s="80">
        <f t="shared" ref="B70:B116" si="13">B69+1</f>
        <v>1966</v>
      </c>
      <c r="C70" s="118">
        <v>145.9</v>
      </c>
      <c r="D70" s="80">
        <v>258.60000000000002</v>
      </c>
      <c r="E70" s="80">
        <v>10.199999999999999</v>
      </c>
      <c r="F70" s="80">
        <v>135.69999999999999</v>
      </c>
      <c r="U70" s="459"/>
    </row>
    <row r="71" spans="2:21">
      <c r="B71" s="80">
        <f t="shared" si="13"/>
        <v>1967</v>
      </c>
      <c r="C71" s="118">
        <v>246.7</v>
      </c>
      <c r="D71" s="80">
        <v>270.60000000000002</v>
      </c>
      <c r="E71" s="80">
        <v>10</v>
      </c>
      <c r="F71" s="80">
        <v>236.7</v>
      </c>
      <c r="U71" s="459"/>
    </row>
    <row r="72" spans="2:21">
      <c r="B72" s="80">
        <f t="shared" si="13"/>
        <v>1968</v>
      </c>
      <c r="C72" s="118">
        <v>347.4</v>
      </c>
      <c r="D72" s="80">
        <v>282.60000000000002</v>
      </c>
      <c r="E72" s="80">
        <v>9.6999999999999993</v>
      </c>
      <c r="F72" s="80">
        <v>337.7</v>
      </c>
      <c r="U72" s="459"/>
    </row>
    <row r="73" spans="2:21">
      <c r="B73" s="80">
        <f t="shared" si="13"/>
        <v>1969</v>
      </c>
      <c r="C73" s="118">
        <v>63.8</v>
      </c>
      <c r="D73" s="80">
        <v>257.2</v>
      </c>
      <c r="E73" s="80">
        <v>10.5</v>
      </c>
      <c r="F73" s="80">
        <v>53.3</v>
      </c>
      <c r="U73" s="459"/>
    </row>
    <row r="74" spans="2:21">
      <c r="B74" s="80">
        <f t="shared" si="13"/>
        <v>1970</v>
      </c>
      <c r="C74" s="118">
        <v>164.6</v>
      </c>
      <c r="D74" s="80">
        <v>269.2</v>
      </c>
      <c r="E74" s="80">
        <v>10.199999999999999</v>
      </c>
      <c r="F74" s="80">
        <v>154.30000000000001</v>
      </c>
      <c r="U74" s="459"/>
    </row>
    <row r="75" spans="2:21">
      <c r="B75" s="80">
        <f t="shared" si="13"/>
        <v>1971</v>
      </c>
      <c r="C75" s="118">
        <v>265.3</v>
      </c>
      <c r="D75" s="80">
        <v>281.3</v>
      </c>
      <c r="E75" s="80">
        <v>10</v>
      </c>
      <c r="F75" s="80">
        <v>255.3</v>
      </c>
      <c r="U75" s="459"/>
    </row>
    <row r="76" spans="2:21">
      <c r="B76" s="80">
        <f t="shared" si="13"/>
        <v>1972</v>
      </c>
      <c r="C76" s="118">
        <v>6.1</v>
      </c>
      <c r="D76" s="80">
        <v>293.3</v>
      </c>
      <c r="E76" s="80">
        <v>9.8000000000000007</v>
      </c>
      <c r="F76" s="80">
        <v>356.3</v>
      </c>
      <c r="U76" s="459"/>
    </row>
    <row r="77" spans="2:21">
      <c r="B77" s="80">
        <f t="shared" si="13"/>
        <v>1973</v>
      </c>
      <c r="C77" s="118">
        <v>82.4</v>
      </c>
      <c r="D77" s="80">
        <v>267.89999999999998</v>
      </c>
      <c r="E77" s="80">
        <v>10.5</v>
      </c>
      <c r="F77" s="80">
        <v>71.900000000000006</v>
      </c>
      <c r="U77" s="459"/>
    </row>
    <row r="78" spans="2:21">
      <c r="B78" s="80">
        <f t="shared" si="13"/>
        <v>1974</v>
      </c>
      <c r="C78" s="118">
        <v>183.2</v>
      </c>
      <c r="D78" s="80">
        <v>279.89999999999998</v>
      </c>
      <c r="E78" s="80">
        <v>10.3</v>
      </c>
      <c r="F78" s="80">
        <v>172.9</v>
      </c>
      <c r="U78" s="459"/>
    </row>
    <row r="79" spans="2:21">
      <c r="B79" s="80">
        <f t="shared" si="13"/>
        <v>1975</v>
      </c>
      <c r="C79" s="118">
        <v>283.89999999999998</v>
      </c>
      <c r="D79" s="80">
        <v>291.89999999999998</v>
      </c>
      <c r="E79" s="80">
        <v>10</v>
      </c>
      <c r="F79" s="80">
        <v>273.89999999999998</v>
      </c>
      <c r="U79" s="459"/>
    </row>
    <row r="80" spans="2:21">
      <c r="B80" s="80">
        <f t="shared" si="13"/>
        <v>1976</v>
      </c>
      <c r="C80" s="118">
        <v>24.7</v>
      </c>
      <c r="D80" s="80">
        <v>304</v>
      </c>
      <c r="E80" s="80">
        <v>9.8000000000000007</v>
      </c>
      <c r="F80" s="80">
        <v>14.9</v>
      </c>
      <c r="U80" s="459"/>
    </row>
    <row r="81" spans="2:21">
      <c r="B81" s="80">
        <f t="shared" si="13"/>
        <v>1977</v>
      </c>
      <c r="C81" s="118">
        <v>101.1</v>
      </c>
      <c r="D81" s="80">
        <v>278.60000000000002</v>
      </c>
      <c r="E81" s="80">
        <v>10.5</v>
      </c>
      <c r="F81" s="80">
        <v>90.5</v>
      </c>
      <c r="U81" s="459"/>
    </row>
    <row r="82" spans="2:21">
      <c r="B82" s="80">
        <f t="shared" si="13"/>
        <v>1978</v>
      </c>
      <c r="C82" s="118">
        <v>201.8</v>
      </c>
      <c r="D82" s="80">
        <v>290.60000000000002</v>
      </c>
      <c r="E82" s="80">
        <v>10.3</v>
      </c>
      <c r="F82" s="80">
        <v>191.5</v>
      </c>
      <c r="U82" s="459"/>
    </row>
    <row r="83" spans="2:21">
      <c r="B83" s="80">
        <f t="shared" si="13"/>
        <v>1979</v>
      </c>
      <c r="C83" s="118">
        <v>302.60000000000002</v>
      </c>
      <c r="D83" s="80">
        <v>302.60000000000002</v>
      </c>
      <c r="E83" s="80">
        <v>10.1</v>
      </c>
      <c r="F83" s="80">
        <v>292.5</v>
      </c>
      <c r="U83" s="459"/>
    </row>
    <row r="84" spans="2:21">
      <c r="B84" s="80">
        <f t="shared" si="13"/>
        <v>1980</v>
      </c>
      <c r="C84" s="118">
        <v>43.3</v>
      </c>
      <c r="D84" s="80">
        <v>314.7</v>
      </c>
      <c r="E84" s="80">
        <v>9.8000000000000007</v>
      </c>
      <c r="F84" s="80">
        <v>33.5</v>
      </c>
      <c r="U84" s="459"/>
    </row>
    <row r="85" spans="2:21">
      <c r="B85" s="80">
        <f t="shared" si="13"/>
        <v>1981</v>
      </c>
      <c r="C85" s="118">
        <v>119.7</v>
      </c>
      <c r="D85" s="80">
        <v>289.2</v>
      </c>
      <c r="E85" s="80">
        <v>10.6</v>
      </c>
      <c r="F85" s="80">
        <v>109.1</v>
      </c>
      <c r="U85" s="459"/>
    </row>
    <row r="86" spans="2:21">
      <c r="B86" s="80">
        <f t="shared" si="13"/>
        <v>1982</v>
      </c>
      <c r="C86" s="118">
        <v>220.4</v>
      </c>
      <c r="D86" s="80">
        <v>301.3</v>
      </c>
      <c r="E86" s="80">
        <v>10.3</v>
      </c>
      <c r="F86" s="80">
        <v>210.1</v>
      </c>
      <c r="U86" s="459"/>
    </row>
    <row r="87" spans="2:21">
      <c r="B87" s="80">
        <f t="shared" si="13"/>
        <v>1983</v>
      </c>
      <c r="C87" s="118">
        <v>321.2</v>
      </c>
      <c r="D87" s="80">
        <v>313.3</v>
      </c>
      <c r="E87" s="80">
        <v>10.1</v>
      </c>
      <c r="F87" s="80">
        <v>311.10000000000002</v>
      </c>
      <c r="U87" s="459"/>
    </row>
    <row r="88" spans="2:21">
      <c r="B88" s="80">
        <f t="shared" si="13"/>
        <v>1984</v>
      </c>
      <c r="C88" s="118">
        <v>61.9</v>
      </c>
      <c r="D88" s="80">
        <v>325.3</v>
      </c>
      <c r="E88" s="80">
        <v>9.9</v>
      </c>
      <c r="F88" s="80">
        <v>52.1</v>
      </c>
      <c r="U88" s="459"/>
    </row>
    <row r="89" spans="2:21">
      <c r="B89" s="80">
        <f t="shared" si="13"/>
        <v>1985</v>
      </c>
      <c r="C89" s="118">
        <v>138.30000000000001</v>
      </c>
      <c r="D89" s="80">
        <v>299.89999999999998</v>
      </c>
      <c r="E89" s="80">
        <v>10.6</v>
      </c>
      <c r="F89" s="80">
        <v>127.7</v>
      </c>
      <c r="U89" s="459"/>
    </row>
    <row r="90" spans="2:21">
      <c r="B90" s="80">
        <f t="shared" si="13"/>
        <v>1986</v>
      </c>
      <c r="C90" s="118">
        <v>239.1</v>
      </c>
      <c r="D90" s="80">
        <v>311.89999999999998</v>
      </c>
      <c r="E90" s="80">
        <v>10.4</v>
      </c>
      <c r="F90" s="80">
        <v>228.7</v>
      </c>
      <c r="U90" s="459"/>
    </row>
    <row r="91" spans="2:21">
      <c r="B91" s="80">
        <f t="shared" si="13"/>
        <v>1987</v>
      </c>
      <c r="C91" s="118">
        <v>339.8</v>
      </c>
      <c r="D91" s="80">
        <v>324</v>
      </c>
      <c r="E91" s="80">
        <v>10.1</v>
      </c>
      <c r="F91" s="80">
        <v>329.7</v>
      </c>
      <c r="U91" s="459"/>
    </row>
    <row r="92" spans="2:21">
      <c r="B92" s="80">
        <f t="shared" si="13"/>
        <v>1988</v>
      </c>
      <c r="C92" s="118">
        <v>80.599999999999994</v>
      </c>
      <c r="D92" s="80">
        <v>336</v>
      </c>
      <c r="E92" s="80">
        <v>9.9</v>
      </c>
      <c r="F92" s="80">
        <v>70.7</v>
      </c>
      <c r="U92" s="459"/>
    </row>
    <row r="93" spans="2:21">
      <c r="B93" s="80">
        <f t="shared" si="13"/>
        <v>1989</v>
      </c>
      <c r="C93" s="118">
        <v>156.9</v>
      </c>
      <c r="D93" s="80">
        <v>310.60000000000002</v>
      </c>
      <c r="E93" s="80">
        <v>10.6</v>
      </c>
      <c r="F93" s="80">
        <v>146.30000000000001</v>
      </c>
      <c r="U93" s="459"/>
    </row>
    <row r="94" spans="2:21">
      <c r="B94" s="80">
        <f t="shared" si="13"/>
        <v>1990</v>
      </c>
      <c r="C94" s="118">
        <v>257.7</v>
      </c>
      <c r="D94" s="80">
        <v>322.60000000000002</v>
      </c>
      <c r="E94" s="80">
        <v>10.4</v>
      </c>
      <c r="F94" s="80">
        <v>247.8</v>
      </c>
      <c r="U94" s="459"/>
    </row>
    <row r="95" spans="2:21">
      <c r="B95" s="80">
        <f t="shared" si="13"/>
        <v>1991</v>
      </c>
      <c r="C95" s="118">
        <v>358.5</v>
      </c>
      <c r="D95" s="80">
        <v>334.5</v>
      </c>
      <c r="E95" s="80">
        <v>10.199999999999999</v>
      </c>
      <c r="F95" s="80">
        <v>348.3</v>
      </c>
      <c r="U95" s="459"/>
    </row>
    <row r="96" spans="2:21">
      <c r="B96" s="80">
        <f t="shared" si="13"/>
        <v>1992</v>
      </c>
      <c r="C96" s="118">
        <v>99.2</v>
      </c>
      <c r="D96" s="80">
        <v>346.7</v>
      </c>
      <c r="E96" s="80">
        <v>9.9</v>
      </c>
      <c r="F96" s="80">
        <v>89.3</v>
      </c>
      <c r="U96" s="459"/>
    </row>
    <row r="97" spans="2:21">
      <c r="B97" s="80">
        <f t="shared" si="13"/>
        <v>1993</v>
      </c>
      <c r="C97" s="118">
        <v>175.6</v>
      </c>
      <c r="D97" s="80">
        <v>321.3</v>
      </c>
      <c r="E97" s="80">
        <v>10.7</v>
      </c>
      <c r="F97" s="80">
        <v>164.9</v>
      </c>
      <c r="U97" s="459"/>
    </row>
    <row r="98" spans="2:21">
      <c r="B98" s="80">
        <f t="shared" si="13"/>
        <v>1994</v>
      </c>
      <c r="C98" s="118">
        <v>276.3</v>
      </c>
      <c r="D98" s="80">
        <v>333.3</v>
      </c>
      <c r="E98" s="80">
        <v>10.4</v>
      </c>
      <c r="F98" s="80">
        <v>265.89999999999998</v>
      </c>
      <c r="U98" s="459"/>
    </row>
    <row r="99" spans="2:21">
      <c r="B99" s="80">
        <f t="shared" si="13"/>
        <v>1995</v>
      </c>
      <c r="C99" s="118">
        <v>17.100000000000001</v>
      </c>
      <c r="D99" s="1">
        <v>345.3</v>
      </c>
      <c r="E99" s="80">
        <v>10.199999999999999</v>
      </c>
      <c r="F99" s="80">
        <v>6.9</v>
      </c>
      <c r="U99" s="459"/>
    </row>
    <row r="100" spans="2:21">
      <c r="B100" s="80">
        <f t="shared" si="13"/>
        <v>1996</v>
      </c>
      <c r="C100" s="118">
        <v>117.8</v>
      </c>
      <c r="D100" s="80">
        <v>357.4</v>
      </c>
      <c r="E100" s="80">
        <v>9.9</v>
      </c>
      <c r="F100" s="80">
        <v>107.9</v>
      </c>
      <c r="U100" s="459"/>
    </row>
    <row r="101" spans="2:21">
      <c r="B101" s="80">
        <f t="shared" si="13"/>
        <v>1997</v>
      </c>
      <c r="C101" s="118">
        <v>190.8</v>
      </c>
      <c r="D101" s="80">
        <v>331.9</v>
      </c>
      <c r="E101" s="80">
        <v>10.7</v>
      </c>
      <c r="F101" s="80">
        <v>183.5</v>
      </c>
      <c r="U101" s="459"/>
    </row>
    <row r="102" spans="2:21">
      <c r="B102" s="80">
        <f t="shared" si="13"/>
        <v>1998</v>
      </c>
      <c r="C102" s="118">
        <v>291.5</v>
      </c>
      <c r="D102" s="80">
        <v>344</v>
      </c>
      <c r="E102" s="80">
        <v>10.5</v>
      </c>
      <c r="F102" s="80">
        <v>284.5</v>
      </c>
      <c r="U102" s="459"/>
    </row>
    <row r="103" spans="2:21">
      <c r="B103" s="80">
        <f t="shared" si="13"/>
        <v>1999</v>
      </c>
      <c r="C103" s="118">
        <v>7.9</v>
      </c>
      <c r="D103" s="80">
        <v>356</v>
      </c>
      <c r="E103" s="80">
        <v>10.199999999999999</v>
      </c>
      <c r="F103" s="80">
        <v>25.5</v>
      </c>
      <c r="U103" s="459"/>
    </row>
    <row r="104" spans="2:21">
      <c r="B104" s="80">
        <f t="shared" si="13"/>
        <v>2000</v>
      </c>
      <c r="C104" s="80">
        <v>108.7</v>
      </c>
      <c r="D104" s="80">
        <v>368</v>
      </c>
      <c r="E104" s="121">
        <v>10</v>
      </c>
      <c r="F104" s="80">
        <v>126.5</v>
      </c>
      <c r="U104" s="459"/>
    </row>
    <row r="105" spans="2:21">
      <c r="B105" s="80">
        <f t="shared" si="13"/>
        <v>2001</v>
      </c>
      <c r="C105" s="80">
        <v>209.4</v>
      </c>
      <c r="D105" s="80">
        <v>342.6</v>
      </c>
      <c r="E105" s="80">
        <v>10.8</v>
      </c>
      <c r="F105" s="80">
        <v>226.1</v>
      </c>
      <c r="U105" s="459"/>
    </row>
    <row r="106" spans="2:21">
      <c r="B106" s="80">
        <f t="shared" si="13"/>
        <v>2002</v>
      </c>
      <c r="C106" s="80">
        <v>310.2</v>
      </c>
      <c r="D106" s="80">
        <v>354.6</v>
      </c>
      <c r="E106" s="80">
        <v>10.5</v>
      </c>
      <c r="F106" s="80">
        <v>301.7</v>
      </c>
      <c r="U106" s="459"/>
    </row>
    <row r="107" spans="2:21">
      <c r="B107" s="80">
        <f t="shared" si="13"/>
        <v>2003</v>
      </c>
      <c r="C107" s="80">
        <v>26.5</v>
      </c>
      <c r="D107" s="80">
        <v>366.6</v>
      </c>
      <c r="E107" s="80">
        <v>10.3</v>
      </c>
      <c r="F107" s="80">
        <v>42.7</v>
      </c>
      <c r="U107" s="459"/>
    </row>
    <row r="108" spans="2:21">
      <c r="B108" s="80">
        <f t="shared" si="13"/>
        <v>2004</v>
      </c>
      <c r="C108" s="80">
        <v>127.3</v>
      </c>
      <c r="D108" s="80">
        <v>378.6</v>
      </c>
      <c r="E108" s="80">
        <v>10.1</v>
      </c>
      <c r="F108" s="80">
        <v>145.1</v>
      </c>
      <c r="U108" s="459"/>
    </row>
    <row r="109" spans="2:21">
      <c r="B109" s="80">
        <f t="shared" si="13"/>
        <v>2005</v>
      </c>
      <c r="C109" s="80">
        <v>228</v>
      </c>
      <c r="D109" s="80">
        <v>353.2</v>
      </c>
      <c r="E109" s="80">
        <v>10.8</v>
      </c>
      <c r="F109" s="80">
        <v>246.1</v>
      </c>
      <c r="U109" s="459"/>
    </row>
    <row r="110" spans="2:21">
      <c r="B110" s="80">
        <f t="shared" si="13"/>
        <v>2006</v>
      </c>
      <c r="C110" s="80">
        <v>328.8</v>
      </c>
      <c r="D110" s="80">
        <v>365.2</v>
      </c>
      <c r="E110" s="80">
        <v>10.6</v>
      </c>
      <c r="F110" s="80">
        <v>321.7</v>
      </c>
      <c r="U110" s="459"/>
    </row>
    <row r="111" spans="2:21">
      <c r="B111" s="80">
        <f t="shared" si="13"/>
        <v>2007</v>
      </c>
      <c r="C111" s="80">
        <v>45.2</v>
      </c>
      <c r="D111" s="80">
        <v>377.2</v>
      </c>
      <c r="E111" s="80">
        <v>10.3</v>
      </c>
      <c r="F111" s="80">
        <v>62.7</v>
      </c>
      <c r="U111" s="459"/>
    </row>
    <row r="112" spans="2:21">
      <c r="B112" s="80">
        <f t="shared" si="13"/>
        <v>2008</v>
      </c>
      <c r="C112" s="80">
        <v>145.9</v>
      </c>
      <c r="D112" s="80">
        <v>389.2</v>
      </c>
      <c r="E112" s="80">
        <v>10.1</v>
      </c>
      <c r="F112" s="80">
        <v>163.69999999999999</v>
      </c>
      <c r="U112" s="459"/>
    </row>
    <row r="113" spans="2:21">
      <c r="B113" s="80">
        <f t="shared" si="13"/>
        <v>2009</v>
      </c>
      <c r="C113" s="80">
        <v>246.7</v>
      </c>
      <c r="D113" s="80">
        <v>363.8</v>
      </c>
      <c r="E113" s="80">
        <v>10.8</v>
      </c>
      <c r="F113" s="80">
        <v>264.7</v>
      </c>
      <c r="U113" s="459"/>
    </row>
    <row r="114" spans="2:21">
      <c r="B114" s="80">
        <f t="shared" si="13"/>
        <v>2010</v>
      </c>
      <c r="C114" s="80">
        <v>347.4</v>
      </c>
      <c r="D114" s="80">
        <v>375.8</v>
      </c>
      <c r="E114" s="80">
        <v>10.6</v>
      </c>
      <c r="F114" s="80">
        <v>340.3</v>
      </c>
      <c r="U114" s="459"/>
    </row>
    <row r="115" spans="2:21">
      <c r="B115" s="80">
        <f t="shared" si="13"/>
        <v>2011</v>
      </c>
      <c r="C115" s="80">
        <v>63.8</v>
      </c>
      <c r="D115" s="80">
        <v>387.8</v>
      </c>
      <c r="E115" s="80">
        <v>10.4</v>
      </c>
      <c r="F115" s="80">
        <v>81.300000000000068</v>
      </c>
      <c r="U115" s="459"/>
    </row>
    <row r="116" spans="2:21">
      <c r="B116" s="82">
        <f t="shared" si="13"/>
        <v>2012</v>
      </c>
      <c r="C116" s="82">
        <v>164.6</v>
      </c>
      <c r="D116" s="82">
        <v>399.8</v>
      </c>
      <c r="E116" s="82">
        <v>10.199999999999999</v>
      </c>
      <c r="F116" s="82">
        <v>182.3</v>
      </c>
      <c r="U116" s="459"/>
    </row>
    <row r="117" spans="2:21">
      <c r="B117" s="43"/>
    </row>
    <row r="118" spans="2:21">
      <c r="B118" s="43"/>
    </row>
    <row r="119" spans="2:21">
      <c r="B119" s="43"/>
    </row>
    <row r="120" spans="2:21">
      <c r="B120" s="43"/>
    </row>
    <row r="121" spans="2:21">
      <c r="B121" s="43"/>
    </row>
    <row r="122" spans="2:21">
      <c r="B122" s="43"/>
    </row>
    <row r="123" spans="2:21">
      <c r="B123" s="43"/>
    </row>
    <row r="124" spans="2:21">
      <c r="B124" s="43"/>
    </row>
    <row r="125" spans="2:21">
      <c r="B125" s="43"/>
    </row>
    <row r="126" spans="2:21">
      <c r="B126" s="43"/>
    </row>
    <row r="127" spans="2:21">
      <c r="B127" s="43"/>
    </row>
    <row r="128" spans="2:21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</sheetData>
  <sheetProtection selectLockedCells="1" selectUnlockedCells="1"/>
  <phoneticPr fontId="26" type="noConversion"/>
  <printOptions horizontalCentered="1"/>
  <pageMargins left="1" right="0.5" top="0.5" bottom="0.5" header="0.51180555555555551" footer="0.51180555555555551"/>
  <pageSetup paperSize="9" scale="90" firstPageNumber="0" orientation="portrait" horizontalDpi="300" verticalDpi="300"/>
  <headerFooter alignWithMargins="0"/>
  <rowBreaks count="1" manualBreakCount="1">
    <brk id="58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K15"/>
  <sheetViews>
    <sheetView workbookViewId="0">
      <selection activeCell="P8" sqref="P8"/>
    </sheetView>
  </sheetViews>
  <sheetFormatPr defaultColWidth="9.140625" defaultRowHeight="14.25"/>
  <cols>
    <col min="1" max="1" width="2.85546875" style="1" customWidth="1"/>
    <col min="2" max="2" width="12.85546875" style="326" customWidth="1"/>
    <col min="3" max="6" width="9.28515625" style="43" customWidth="1"/>
    <col min="7" max="7" width="12.85546875" style="43" customWidth="1"/>
    <col min="8" max="11" width="9.28515625" style="43" customWidth="1"/>
    <col min="12" max="16384" width="9.140625" style="1"/>
  </cols>
  <sheetData>
    <row r="1" spans="2:11" ht="17.25">
      <c r="B1" s="52" t="s">
        <v>383</v>
      </c>
    </row>
    <row r="2" spans="2:11" s="45" customFormat="1" ht="21" customHeight="1">
      <c r="B2" s="724" t="s">
        <v>384</v>
      </c>
      <c r="C2" s="724"/>
      <c r="D2" s="724"/>
      <c r="E2" s="724"/>
      <c r="F2" s="724"/>
      <c r="G2" s="724" t="s">
        <v>385</v>
      </c>
      <c r="H2" s="724"/>
      <c r="I2" s="724"/>
      <c r="J2" s="724"/>
      <c r="K2" s="724"/>
    </row>
    <row r="3" spans="2:11" s="45" customFormat="1" ht="21" customHeight="1">
      <c r="B3" s="337" t="s">
        <v>380</v>
      </c>
      <c r="C3" s="53" t="s">
        <v>146</v>
      </c>
      <c r="D3" s="53" t="s">
        <v>148</v>
      </c>
      <c r="E3" s="53" t="s">
        <v>149</v>
      </c>
      <c r="F3" s="338" t="s">
        <v>150</v>
      </c>
      <c r="G3" s="337" t="s">
        <v>380</v>
      </c>
      <c r="H3" s="53" t="s">
        <v>146</v>
      </c>
      <c r="I3" s="53" t="s">
        <v>148</v>
      </c>
      <c r="J3" s="53" t="s">
        <v>149</v>
      </c>
      <c r="K3" s="338" t="s">
        <v>150</v>
      </c>
    </row>
    <row r="4" spans="2:11" s="45" customFormat="1" ht="21" customHeight="1">
      <c r="B4" s="339" t="s">
        <v>386</v>
      </c>
      <c r="C4" s="73">
        <v>0</v>
      </c>
      <c r="D4" s="55">
        <v>0</v>
      </c>
      <c r="E4" s="55">
        <v>0</v>
      </c>
      <c r="F4" s="340">
        <v>0</v>
      </c>
      <c r="G4" s="339" t="s">
        <v>386</v>
      </c>
      <c r="H4" s="73">
        <v>0</v>
      </c>
      <c r="I4" s="55">
        <v>0</v>
      </c>
      <c r="J4" s="55">
        <v>0</v>
      </c>
      <c r="K4" s="340">
        <v>0</v>
      </c>
    </row>
    <row r="5" spans="2:11" s="45" customFormat="1" ht="21" customHeight="1">
      <c r="B5" s="341" t="s">
        <v>387</v>
      </c>
      <c r="C5" s="74">
        <v>324.2</v>
      </c>
      <c r="D5" s="57">
        <v>279.2</v>
      </c>
      <c r="E5" s="57">
        <v>30.6</v>
      </c>
      <c r="F5" s="342">
        <v>293.60000000000002</v>
      </c>
      <c r="G5" s="341" t="s">
        <v>387</v>
      </c>
      <c r="H5" s="74">
        <v>324.2</v>
      </c>
      <c r="I5" s="57">
        <v>279.2</v>
      </c>
      <c r="J5" s="57">
        <v>30.6</v>
      </c>
      <c r="K5" s="342">
        <v>293.60000000000002</v>
      </c>
    </row>
    <row r="6" spans="2:11" s="45" customFormat="1" ht="21" customHeight="1">
      <c r="B6" s="341" t="s">
        <v>388</v>
      </c>
      <c r="C6" s="74">
        <v>1.5</v>
      </c>
      <c r="D6" s="57">
        <v>310.7</v>
      </c>
      <c r="E6" s="57">
        <v>58.2</v>
      </c>
      <c r="F6" s="342">
        <v>303.3</v>
      </c>
      <c r="G6" s="341" t="s">
        <v>388</v>
      </c>
      <c r="H6" s="74">
        <v>337.1</v>
      </c>
      <c r="I6" s="57">
        <v>273.2</v>
      </c>
      <c r="J6" s="57">
        <v>59.1</v>
      </c>
      <c r="K6" s="342">
        <v>278</v>
      </c>
    </row>
    <row r="7" spans="2:11" s="45" customFormat="1" ht="21" customHeight="1">
      <c r="B7" s="341" t="s">
        <v>389</v>
      </c>
      <c r="C7" s="74">
        <v>325.7</v>
      </c>
      <c r="D7" s="57">
        <v>229.8</v>
      </c>
      <c r="E7" s="57">
        <v>88.7</v>
      </c>
      <c r="F7" s="342">
        <v>237</v>
      </c>
      <c r="G7" s="341" t="s">
        <v>389</v>
      </c>
      <c r="H7" s="74">
        <v>301.3</v>
      </c>
      <c r="I7" s="57">
        <v>192.4</v>
      </c>
      <c r="J7" s="57">
        <v>89.7</v>
      </c>
      <c r="K7" s="342">
        <v>211.6</v>
      </c>
    </row>
    <row r="8" spans="2:11" s="45" customFormat="1" ht="21" customHeight="1">
      <c r="B8" s="341" t="s">
        <v>390</v>
      </c>
      <c r="C8" s="74">
        <v>314.2</v>
      </c>
      <c r="D8" s="57">
        <v>186.4</v>
      </c>
      <c r="E8" s="57">
        <v>118.3</v>
      </c>
      <c r="F8" s="342">
        <v>195.9</v>
      </c>
      <c r="G8" s="341" t="s">
        <v>390</v>
      </c>
      <c r="H8" s="74">
        <v>289.8</v>
      </c>
      <c r="I8" s="57">
        <v>149</v>
      </c>
      <c r="J8" s="57">
        <v>119.3</v>
      </c>
      <c r="K8" s="342">
        <v>170.6</v>
      </c>
    </row>
    <row r="9" spans="2:11" s="45" customFormat="1" ht="21" customHeight="1">
      <c r="B9" s="341" t="s">
        <v>60</v>
      </c>
      <c r="C9" s="74">
        <v>278.39999999999998</v>
      </c>
      <c r="D9" s="57">
        <v>105.6</v>
      </c>
      <c r="E9" s="57">
        <v>148.80000000000001</v>
      </c>
      <c r="F9" s="342">
        <v>129.6</v>
      </c>
      <c r="G9" s="341" t="s">
        <v>60</v>
      </c>
      <c r="H9" s="74">
        <v>254</v>
      </c>
      <c r="I9" s="57">
        <v>68.099999999999994</v>
      </c>
      <c r="J9" s="57">
        <v>149.80000000000001</v>
      </c>
      <c r="K9" s="342">
        <v>104.2</v>
      </c>
    </row>
    <row r="10" spans="2:11" s="45" customFormat="1" ht="21" customHeight="1">
      <c r="B10" s="341" t="s">
        <v>391</v>
      </c>
      <c r="C10" s="74">
        <v>266.89999999999998</v>
      </c>
      <c r="D10" s="57">
        <v>62.2</v>
      </c>
      <c r="E10" s="57">
        <v>178.4</v>
      </c>
      <c r="F10" s="342">
        <v>88.6</v>
      </c>
      <c r="G10" s="341" t="s">
        <v>391</v>
      </c>
      <c r="H10" s="74">
        <v>242.6</v>
      </c>
      <c r="I10" s="57">
        <v>24.7</v>
      </c>
      <c r="J10" s="57">
        <v>179.4</v>
      </c>
      <c r="K10" s="342">
        <v>63.2</v>
      </c>
    </row>
    <row r="11" spans="2:11" s="45" customFormat="1" ht="21" customHeight="1">
      <c r="B11" s="341" t="s">
        <v>392</v>
      </c>
      <c r="C11" s="74">
        <v>231.1</v>
      </c>
      <c r="D11" s="57">
        <v>341.3</v>
      </c>
      <c r="E11" s="57">
        <v>209</v>
      </c>
      <c r="F11" s="342">
        <v>22.2</v>
      </c>
      <c r="G11" s="341" t="s">
        <v>392</v>
      </c>
      <c r="H11" s="74">
        <v>206.7</v>
      </c>
      <c r="I11" s="57">
        <v>303.89999999999998</v>
      </c>
      <c r="J11" s="57">
        <v>209.9</v>
      </c>
      <c r="K11" s="342">
        <v>356.8</v>
      </c>
    </row>
    <row r="12" spans="2:11" s="45" customFormat="1" ht="21" customHeight="1">
      <c r="B12" s="341" t="s">
        <v>393</v>
      </c>
      <c r="C12" s="74">
        <v>195.3</v>
      </c>
      <c r="D12" s="57">
        <v>260.5</v>
      </c>
      <c r="E12" s="57">
        <v>239.5</v>
      </c>
      <c r="F12" s="342">
        <v>315.8</v>
      </c>
      <c r="G12" s="341" t="s">
        <v>393</v>
      </c>
      <c r="H12" s="74">
        <v>170.9</v>
      </c>
      <c r="I12" s="57">
        <v>223.1</v>
      </c>
      <c r="J12" s="57">
        <v>240.5</v>
      </c>
      <c r="K12" s="342">
        <v>290.39999999999998</v>
      </c>
    </row>
    <row r="13" spans="2:11" s="45" customFormat="1" ht="21" customHeight="1">
      <c r="B13" s="341" t="s">
        <v>394</v>
      </c>
      <c r="C13" s="74">
        <v>183.9</v>
      </c>
      <c r="D13" s="57">
        <v>217.1</v>
      </c>
      <c r="E13" s="57">
        <v>269.10000000000002</v>
      </c>
      <c r="F13" s="342">
        <v>274.8</v>
      </c>
      <c r="G13" s="341" t="s">
        <v>394</v>
      </c>
      <c r="H13" s="74">
        <v>159.5</v>
      </c>
      <c r="I13" s="57">
        <v>179.7</v>
      </c>
      <c r="J13" s="57">
        <v>270.10000000000002</v>
      </c>
      <c r="K13" s="342">
        <v>249.4</v>
      </c>
    </row>
    <row r="14" spans="2:11" s="45" customFormat="1" ht="21" customHeight="1">
      <c r="B14" s="341" t="s">
        <v>395</v>
      </c>
      <c r="C14" s="74">
        <v>148</v>
      </c>
      <c r="D14" s="57">
        <v>136.30000000000001</v>
      </c>
      <c r="E14" s="57">
        <v>299.60000000000002</v>
      </c>
      <c r="F14" s="342">
        <v>208.4</v>
      </c>
      <c r="G14" s="341" t="s">
        <v>395</v>
      </c>
      <c r="H14" s="74">
        <v>123.6</v>
      </c>
      <c r="I14" s="57">
        <v>98.8</v>
      </c>
      <c r="J14" s="57">
        <v>300.60000000000002</v>
      </c>
      <c r="K14" s="342">
        <v>183</v>
      </c>
    </row>
    <row r="15" spans="2:11" s="45" customFormat="1" ht="21" customHeight="1">
      <c r="B15" s="343" t="s">
        <v>396</v>
      </c>
      <c r="C15" s="344">
        <v>136.6</v>
      </c>
      <c r="D15" s="345">
        <v>92.9</v>
      </c>
      <c r="E15" s="345">
        <v>329.2</v>
      </c>
      <c r="F15" s="346">
        <v>167.4</v>
      </c>
      <c r="G15" s="343" t="s">
        <v>396</v>
      </c>
      <c r="H15" s="344">
        <v>112.2</v>
      </c>
      <c r="I15" s="345">
        <v>55.4</v>
      </c>
      <c r="J15" s="345">
        <v>330.2</v>
      </c>
      <c r="K15" s="346">
        <v>142</v>
      </c>
    </row>
  </sheetData>
  <sheetProtection selectLockedCells="1" selectUnlockedCells="1"/>
  <mergeCells count="2">
    <mergeCell ref="B2:F2"/>
    <mergeCell ref="G2:K2"/>
  </mergeCells>
  <phoneticPr fontId="26" type="noConversion"/>
  <printOptions horizontalCentered="1"/>
  <pageMargins left="1" right="0.74791666666666667" top="1.25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Q34"/>
  <sheetViews>
    <sheetView zoomScaleSheetLayoutView="115" workbookViewId="0">
      <selection activeCell="H1" sqref="H1"/>
    </sheetView>
  </sheetViews>
  <sheetFormatPr defaultColWidth="9.140625" defaultRowHeight="12.75"/>
  <cols>
    <col min="1" max="1" width="2.85546875" style="347" customWidth="1"/>
    <col min="2" max="2" width="8" style="348" customWidth="1"/>
    <col min="3" max="6" width="9.28515625" style="349" customWidth="1"/>
    <col min="7" max="7" width="9.140625" style="347"/>
    <col min="8" max="8" width="5.7109375" style="349" customWidth="1"/>
    <col min="9" max="12" width="6.7109375" style="349" customWidth="1"/>
    <col min="13" max="13" width="5.7109375" style="350" customWidth="1"/>
    <col min="14" max="17" width="6.7109375" style="350" customWidth="1"/>
    <col min="18" max="16384" width="9.140625" style="347"/>
  </cols>
  <sheetData>
    <row r="1" spans="2:17">
      <c r="B1" s="351" t="s">
        <v>397</v>
      </c>
      <c r="H1" s="352" t="str">
        <f>B1</f>
        <v xml:space="preserve">Tabel 42. Daftar nilai V''', pertambahan V' </v>
      </c>
      <c r="I1" s="350"/>
      <c r="J1" s="350"/>
      <c r="K1" s="350"/>
      <c r="L1" s="350"/>
    </row>
    <row r="2" spans="2:17">
      <c r="B2" s="351" t="s">
        <v>398</v>
      </c>
      <c r="H2" s="352" t="str">
        <f>B2</f>
        <v>hingga Oh GMT hari-hari pertama tiap-tiap bulan.</v>
      </c>
      <c r="I2" s="350"/>
      <c r="J2" s="350"/>
      <c r="K2" s="350"/>
      <c r="L2" s="350"/>
    </row>
    <row r="3" spans="2:17" s="353" customFormat="1" ht="17.100000000000001" customHeight="1">
      <c r="B3" s="354" t="s">
        <v>87</v>
      </c>
      <c r="C3" s="355" t="s">
        <v>399</v>
      </c>
      <c r="D3" s="355" t="s">
        <v>400</v>
      </c>
      <c r="E3" s="355" t="s">
        <v>401</v>
      </c>
      <c r="F3" s="355" t="s">
        <v>402</v>
      </c>
      <c r="H3" s="356" t="str">
        <f>B3</f>
        <v>Tgl</v>
      </c>
      <c r="I3" s="357" t="str">
        <f t="shared" ref="I3:L4" si="0">C3</f>
        <v>M2</v>
      </c>
      <c r="J3" s="357" t="str">
        <f t="shared" si="0"/>
        <v>N2</v>
      </c>
      <c r="K3" s="357" t="str">
        <f t="shared" si="0"/>
        <v>K1</v>
      </c>
      <c r="L3" s="358" t="str">
        <f t="shared" si="0"/>
        <v>O1</v>
      </c>
      <c r="M3" s="356" t="str">
        <f>H3</f>
        <v>Tgl</v>
      </c>
      <c r="N3" s="357" t="str">
        <f>I3</f>
        <v>M2</v>
      </c>
      <c r="O3" s="357" t="str">
        <f>J3</f>
        <v>N2</v>
      </c>
      <c r="P3" s="357" t="str">
        <f>K3</f>
        <v>K1</v>
      </c>
      <c r="Q3" s="358" t="str">
        <f>L3</f>
        <v>O1</v>
      </c>
    </row>
    <row r="4" spans="2:17" s="353" customFormat="1" ht="17.100000000000001" customHeight="1">
      <c r="B4" s="359">
        <v>1</v>
      </c>
      <c r="C4" s="359">
        <v>0</v>
      </c>
      <c r="D4" s="359">
        <v>0</v>
      </c>
      <c r="E4" s="359">
        <v>0</v>
      </c>
      <c r="F4" s="359">
        <v>0</v>
      </c>
      <c r="H4" s="360">
        <f>B4</f>
        <v>1</v>
      </c>
      <c r="I4" s="361">
        <f t="shared" si="0"/>
        <v>0</v>
      </c>
      <c r="J4" s="361">
        <f t="shared" si="0"/>
        <v>0</v>
      </c>
      <c r="K4" s="361">
        <f t="shared" ref="K4:K18" si="1">E4</f>
        <v>0</v>
      </c>
      <c r="L4" s="362">
        <f t="shared" ref="L4:L18" si="2">F4</f>
        <v>0</v>
      </c>
      <c r="M4" s="360">
        <f>B19</f>
        <v>16</v>
      </c>
      <c r="N4" s="361">
        <f>C19</f>
        <v>354.3</v>
      </c>
      <c r="O4" s="361">
        <f>D19</f>
        <v>158.30000000000001</v>
      </c>
      <c r="P4" s="361">
        <f>E19</f>
        <v>14.8</v>
      </c>
      <c r="Q4" s="362">
        <f>F19</f>
        <v>339.5</v>
      </c>
    </row>
    <row r="5" spans="2:17" s="353" customFormat="1" ht="17.100000000000001" customHeight="1">
      <c r="B5" s="363">
        <v>2</v>
      </c>
      <c r="C5" s="363">
        <v>335.6</v>
      </c>
      <c r="D5" s="363">
        <v>322.60000000000002</v>
      </c>
      <c r="E5" s="363">
        <v>1</v>
      </c>
      <c r="F5" s="363">
        <v>334.6</v>
      </c>
      <c r="H5" s="364">
        <f t="shared" ref="H5:H14" si="3">B5</f>
        <v>2</v>
      </c>
      <c r="I5" s="363">
        <f t="shared" ref="I5:I15" si="4">C5</f>
        <v>335.6</v>
      </c>
      <c r="J5" s="363">
        <f t="shared" ref="J5:J15" si="5">D5</f>
        <v>322.60000000000002</v>
      </c>
      <c r="K5" s="363">
        <f t="shared" si="1"/>
        <v>1</v>
      </c>
      <c r="L5" s="365">
        <f t="shared" si="2"/>
        <v>334.6</v>
      </c>
      <c r="M5" s="364">
        <f t="shared" ref="M5:M19" si="6">B20</f>
        <v>17</v>
      </c>
      <c r="N5" s="363">
        <f t="shared" ref="N5:N19" si="7">C20</f>
        <v>329.9</v>
      </c>
      <c r="O5" s="363">
        <f t="shared" ref="O5:O19" si="8">D20</f>
        <v>120.9</v>
      </c>
      <c r="P5" s="363">
        <f t="shared" ref="P5:P19" si="9">E20</f>
        <v>15.8</v>
      </c>
      <c r="Q5" s="365">
        <f t="shared" ref="Q5:Q19" si="10">F20</f>
        <v>314.10000000000002</v>
      </c>
    </row>
    <row r="6" spans="2:17" s="353" customFormat="1" ht="17.100000000000001" customHeight="1">
      <c r="B6" s="363">
        <v>3</v>
      </c>
      <c r="C6" s="363">
        <v>311.2</v>
      </c>
      <c r="D6" s="363">
        <v>285.10000000000002</v>
      </c>
      <c r="E6" s="363">
        <v>2</v>
      </c>
      <c r="F6" s="363">
        <v>309.3</v>
      </c>
      <c r="H6" s="364">
        <f t="shared" si="3"/>
        <v>3</v>
      </c>
      <c r="I6" s="363">
        <f t="shared" si="4"/>
        <v>311.2</v>
      </c>
      <c r="J6" s="363">
        <f t="shared" si="5"/>
        <v>285.10000000000002</v>
      </c>
      <c r="K6" s="363">
        <f t="shared" si="1"/>
        <v>2</v>
      </c>
      <c r="L6" s="365">
        <f t="shared" si="2"/>
        <v>309.3</v>
      </c>
      <c r="M6" s="364">
        <f t="shared" si="6"/>
        <v>18</v>
      </c>
      <c r="N6" s="363">
        <f t="shared" si="7"/>
        <v>305.5</v>
      </c>
      <c r="O6" s="363">
        <f t="shared" si="8"/>
        <v>83.4</v>
      </c>
      <c r="P6" s="363">
        <f t="shared" si="9"/>
        <v>16.8</v>
      </c>
      <c r="Q6" s="365">
        <f t="shared" si="10"/>
        <v>288.8</v>
      </c>
    </row>
    <row r="7" spans="2:17" s="353" customFormat="1" ht="17.100000000000001" customHeight="1">
      <c r="B7" s="363">
        <v>4</v>
      </c>
      <c r="C7" s="363">
        <v>286.89999999999998</v>
      </c>
      <c r="D7" s="363">
        <v>247.7</v>
      </c>
      <c r="E7" s="363">
        <v>3</v>
      </c>
      <c r="F7" s="363">
        <v>283.89999999999998</v>
      </c>
      <c r="H7" s="364">
        <f t="shared" si="3"/>
        <v>4</v>
      </c>
      <c r="I7" s="363">
        <f t="shared" si="4"/>
        <v>286.89999999999998</v>
      </c>
      <c r="J7" s="363">
        <f t="shared" si="5"/>
        <v>247.7</v>
      </c>
      <c r="K7" s="363">
        <f t="shared" si="1"/>
        <v>3</v>
      </c>
      <c r="L7" s="365">
        <f t="shared" si="2"/>
        <v>283.89999999999998</v>
      </c>
      <c r="M7" s="364">
        <f t="shared" si="6"/>
        <v>19</v>
      </c>
      <c r="N7" s="363">
        <f t="shared" si="7"/>
        <v>281.10000000000002</v>
      </c>
      <c r="O7" s="363">
        <f t="shared" si="8"/>
        <v>46</v>
      </c>
      <c r="P7" s="363">
        <f t="shared" si="9"/>
        <v>17.7</v>
      </c>
      <c r="Q7" s="365">
        <f t="shared" si="10"/>
        <v>263.39999999999998</v>
      </c>
    </row>
    <row r="8" spans="2:17" s="353" customFormat="1" ht="17.100000000000001" customHeight="1">
      <c r="B8" s="363">
        <v>5</v>
      </c>
      <c r="C8" s="363">
        <v>262.5</v>
      </c>
      <c r="D8" s="363">
        <v>210.2</v>
      </c>
      <c r="E8" s="363">
        <v>3.9</v>
      </c>
      <c r="F8" s="363">
        <v>258.5</v>
      </c>
      <c r="H8" s="364">
        <f t="shared" si="3"/>
        <v>5</v>
      </c>
      <c r="I8" s="363">
        <f t="shared" si="4"/>
        <v>262.5</v>
      </c>
      <c r="J8" s="363">
        <f t="shared" si="5"/>
        <v>210.2</v>
      </c>
      <c r="K8" s="363">
        <f t="shared" si="1"/>
        <v>3.9</v>
      </c>
      <c r="L8" s="365">
        <f t="shared" si="2"/>
        <v>258.5</v>
      </c>
      <c r="M8" s="364">
        <f t="shared" si="6"/>
        <v>20</v>
      </c>
      <c r="N8" s="363">
        <f t="shared" si="7"/>
        <v>256.8</v>
      </c>
      <c r="O8" s="363">
        <f t="shared" si="8"/>
        <v>8.5</v>
      </c>
      <c r="P8" s="363">
        <f t="shared" si="9"/>
        <v>18.7</v>
      </c>
      <c r="Q8" s="365">
        <f t="shared" si="10"/>
        <v>238.5</v>
      </c>
    </row>
    <row r="9" spans="2:17" s="353" customFormat="1" ht="17.100000000000001" customHeight="1">
      <c r="B9" s="363">
        <v>6</v>
      </c>
      <c r="C9" s="363">
        <v>238.1</v>
      </c>
      <c r="D9" s="363">
        <v>172.8</v>
      </c>
      <c r="E9" s="363">
        <v>4.9000000000000004</v>
      </c>
      <c r="F9" s="363">
        <v>233.2</v>
      </c>
      <c r="H9" s="364">
        <f t="shared" si="3"/>
        <v>6</v>
      </c>
      <c r="I9" s="363">
        <f t="shared" si="4"/>
        <v>238.1</v>
      </c>
      <c r="J9" s="363">
        <f t="shared" si="5"/>
        <v>172.8</v>
      </c>
      <c r="K9" s="363">
        <f t="shared" si="1"/>
        <v>4.9000000000000004</v>
      </c>
      <c r="L9" s="365">
        <f t="shared" si="2"/>
        <v>233.2</v>
      </c>
      <c r="M9" s="364">
        <f t="shared" si="6"/>
        <v>21</v>
      </c>
      <c r="N9" s="363">
        <f t="shared" si="7"/>
        <v>232.4</v>
      </c>
      <c r="O9" s="363">
        <f t="shared" si="8"/>
        <v>331.1</v>
      </c>
      <c r="P9" s="363">
        <f t="shared" si="9"/>
        <v>19.7</v>
      </c>
      <c r="Q9" s="365">
        <f t="shared" si="10"/>
        <v>212.7</v>
      </c>
    </row>
    <row r="10" spans="2:17" s="353" customFormat="1" ht="17.100000000000001" customHeight="1">
      <c r="B10" s="363">
        <v>7</v>
      </c>
      <c r="C10" s="363">
        <v>213.7</v>
      </c>
      <c r="D10" s="363">
        <v>135.30000000000001</v>
      </c>
      <c r="E10" s="363">
        <v>5.9</v>
      </c>
      <c r="F10" s="363">
        <v>207.8</v>
      </c>
      <c r="H10" s="364">
        <f t="shared" si="3"/>
        <v>7</v>
      </c>
      <c r="I10" s="363">
        <f t="shared" si="4"/>
        <v>213.7</v>
      </c>
      <c r="J10" s="363">
        <f t="shared" si="5"/>
        <v>135.30000000000001</v>
      </c>
      <c r="K10" s="363">
        <f t="shared" si="1"/>
        <v>5.9</v>
      </c>
      <c r="L10" s="365">
        <f t="shared" si="2"/>
        <v>207.8</v>
      </c>
      <c r="M10" s="364">
        <f t="shared" si="6"/>
        <v>22</v>
      </c>
      <c r="N10" s="363">
        <f t="shared" si="7"/>
        <v>208</v>
      </c>
      <c r="O10" s="363">
        <f t="shared" si="8"/>
        <v>293.60000000000002</v>
      </c>
      <c r="P10" s="363">
        <f t="shared" si="9"/>
        <v>20.7</v>
      </c>
      <c r="Q10" s="365">
        <f t="shared" si="10"/>
        <v>187.3</v>
      </c>
    </row>
    <row r="11" spans="2:17" s="353" customFormat="1" ht="17.100000000000001" customHeight="1">
      <c r="B11" s="363">
        <v>8</v>
      </c>
      <c r="C11" s="363">
        <v>189.3</v>
      </c>
      <c r="D11" s="363">
        <v>97.9</v>
      </c>
      <c r="E11" s="363">
        <v>6.9</v>
      </c>
      <c r="F11" s="363">
        <v>182.4</v>
      </c>
      <c r="H11" s="364">
        <f t="shared" si="3"/>
        <v>8</v>
      </c>
      <c r="I11" s="363">
        <f t="shared" si="4"/>
        <v>189.3</v>
      </c>
      <c r="J11" s="363">
        <f t="shared" si="5"/>
        <v>97.9</v>
      </c>
      <c r="K11" s="363">
        <f t="shared" si="1"/>
        <v>6.9</v>
      </c>
      <c r="L11" s="365">
        <f t="shared" si="2"/>
        <v>182.4</v>
      </c>
      <c r="M11" s="364">
        <f t="shared" si="6"/>
        <v>23</v>
      </c>
      <c r="N11" s="363">
        <f t="shared" si="7"/>
        <v>183.6</v>
      </c>
      <c r="O11" s="363">
        <f t="shared" si="8"/>
        <v>256.2</v>
      </c>
      <c r="P11" s="363">
        <f t="shared" si="9"/>
        <v>21.7</v>
      </c>
      <c r="Q11" s="365">
        <f t="shared" si="10"/>
        <v>161.9</v>
      </c>
    </row>
    <row r="12" spans="2:17" s="353" customFormat="1" ht="17.100000000000001" customHeight="1">
      <c r="B12" s="363">
        <v>9</v>
      </c>
      <c r="C12" s="363">
        <v>164.9</v>
      </c>
      <c r="D12" s="363">
        <v>60.4</v>
      </c>
      <c r="E12" s="363">
        <v>7.9</v>
      </c>
      <c r="F12" s="363">
        <v>157.1</v>
      </c>
      <c r="H12" s="364">
        <f t="shared" si="3"/>
        <v>9</v>
      </c>
      <c r="I12" s="363">
        <f t="shared" si="4"/>
        <v>164.9</v>
      </c>
      <c r="J12" s="363">
        <f t="shared" si="5"/>
        <v>60.4</v>
      </c>
      <c r="K12" s="363">
        <f t="shared" si="1"/>
        <v>7.9</v>
      </c>
      <c r="L12" s="365">
        <f t="shared" si="2"/>
        <v>157.1</v>
      </c>
      <c r="M12" s="364">
        <f t="shared" si="6"/>
        <v>24</v>
      </c>
      <c r="N12" s="363">
        <f t="shared" si="7"/>
        <v>159.19999999999999</v>
      </c>
      <c r="O12" s="363">
        <f t="shared" si="8"/>
        <v>218.7</v>
      </c>
      <c r="P12" s="363">
        <f t="shared" si="9"/>
        <v>22.7</v>
      </c>
      <c r="Q12" s="365">
        <f t="shared" si="10"/>
        <v>136.6</v>
      </c>
    </row>
    <row r="13" spans="2:17" s="353" customFormat="1" ht="17.100000000000001" customHeight="1">
      <c r="B13" s="363">
        <v>10</v>
      </c>
      <c r="C13" s="363">
        <v>140.6</v>
      </c>
      <c r="D13" s="363">
        <v>23</v>
      </c>
      <c r="E13" s="363">
        <v>8.9</v>
      </c>
      <c r="F13" s="363">
        <v>131.69999999999999</v>
      </c>
      <c r="H13" s="364">
        <f t="shared" si="3"/>
        <v>10</v>
      </c>
      <c r="I13" s="363">
        <f t="shared" si="4"/>
        <v>140.6</v>
      </c>
      <c r="J13" s="363">
        <f t="shared" si="5"/>
        <v>23</v>
      </c>
      <c r="K13" s="363">
        <f t="shared" si="1"/>
        <v>8.9</v>
      </c>
      <c r="L13" s="365">
        <f t="shared" si="2"/>
        <v>131.69999999999999</v>
      </c>
      <c r="M13" s="364">
        <f t="shared" si="6"/>
        <v>25</v>
      </c>
      <c r="N13" s="363">
        <f t="shared" si="7"/>
        <v>134.80000000000001</v>
      </c>
      <c r="O13" s="363">
        <f t="shared" si="8"/>
        <v>181.3</v>
      </c>
      <c r="P13" s="363">
        <f t="shared" si="9"/>
        <v>23.7</v>
      </c>
      <c r="Q13" s="365">
        <f t="shared" si="10"/>
        <v>111.2</v>
      </c>
    </row>
    <row r="14" spans="2:17" s="353" customFormat="1" ht="17.100000000000001" customHeight="1">
      <c r="B14" s="363">
        <v>11</v>
      </c>
      <c r="C14" s="363">
        <v>116.2</v>
      </c>
      <c r="D14" s="363">
        <v>345.5</v>
      </c>
      <c r="E14" s="363">
        <v>9.9</v>
      </c>
      <c r="F14" s="363">
        <v>106.3</v>
      </c>
      <c r="H14" s="364">
        <f t="shared" si="3"/>
        <v>11</v>
      </c>
      <c r="I14" s="363">
        <f t="shared" si="4"/>
        <v>116.2</v>
      </c>
      <c r="J14" s="363">
        <f t="shared" si="5"/>
        <v>345.5</v>
      </c>
      <c r="K14" s="363">
        <f t="shared" si="1"/>
        <v>9.9</v>
      </c>
      <c r="L14" s="365">
        <f t="shared" si="2"/>
        <v>106.3</v>
      </c>
      <c r="M14" s="364">
        <f t="shared" si="6"/>
        <v>26</v>
      </c>
      <c r="N14" s="363">
        <f t="shared" si="7"/>
        <v>110.5</v>
      </c>
      <c r="O14" s="363">
        <f t="shared" si="8"/>
        <v>143.80000000000001</v>
      </c>
      <c r="P14" s="363">
        <f t="shared" si="9"/>
        <v>24.6</v>
      </c>
      <c r="Q14" s="365">
        <f t="shared" si="10"/>
        <v>85.8</v>
      </c>
    </row>
    <row r="15" spans="2:17" s="353" customFormat="1" ht="17.100000000000001" customHeight="1">
      <c r="B15" s="363">
        <v>12</v>
      </c>
      <c r="C15" s="363">
        <v>91.8</v>
      </c>
      <c r="D15" s="363">
        <v>308.10000000000002</v>
      </c>
      <c r="E15" s="363">
        <v>10.8</v>
      </c>
      <c r="F15" s="363">
        <v>81</v>
      </c>
      <c r="H15" s="364">
        <f>B15</f>
        <v>12</v>
      </c>
      <c r="I15" s="363">
        <f t="shared" si="4"/>
        <v>91.8</v>
      </c>
      <c r="J15" s="363">
        <f t="shared" si="5"/>
        <v>308.10000000000002</v>
      </c>
      <c r="K15" s="363">
        <f t="shared" si="1"/>
        <v>10.8</v>
      </c>
      <c r="L15" s="365">
        <f t="shared" si="2"/>
        <v>81</v>
      </c>
      <c r="M15" s="364">
        <f t="shared" si="6"/>
        <v>27</v>
      </c>
      <c r="N15" s="363">
        <f t="shared" si="7"/>
        <v>86.1</v>
      </c>
      <c r="O15" s="363">
        <f t="shared" si="8"/>
        <v>106.4</v>
      </c>
      <c r="P15" s="363">
        <f t="shared" si="9"/>
        <v>25.6</v>
      </c>
      <c r="Q15" s="365">
        <f t="shared" si="10"/>
        <v>60.5</v>
      </c>
    </row>
    <row r="16" spans="2:17" s="353" customFormat="1" ht="17.100000000000001" customHeight="1">
      <c r="B16" s="363">
        <v>13</v>
      </c>
      <c r="C16" s="363">
        <v>67.400000000000006</v>
      </c>
      <c r="D16" s="363">
        <v>270.60000000000002</v>
      </c>
      <c r="E16" s="363">
        <v>11.8</v>
      </c>
      <c r="F16" s="363">
        <v>55.6</v>
      </c>
      <c r="H16" s="364">
        <f>B16</f>
        <v>13</v>
      </c>
      <c r="I16" s="363">
        <f t="shared" ref="I16:J18" si="11">C16</f>
        <v>67.400000000000006</v>
      </c>
      <c r="J16" s="363">
        <f t="shared" si="11"/>
        <v>270.60000000000002</v>
      </c>
      <c r="K16" s="363">
        <f t="shared" si="1"/>
        <v>11.8</v>
      </c>
      <c r="L16" s="365">
        <f t="shared" si="2"/>
        <v>55.6</v>
      </c>
      <c r="M16" s="364">
        <f t="shared" si="6"/>
        <v>28</v>
      </c>
      <c r="N16" s="363">
        <f t="shared" si="7"/>
        <v>61.7</v>
      </c>
      <c r="O16" s="363">
        <f t="shared" si="8"/>
        <v>68.900000000000006</v>
      </c>
      <c r="P16" s="363">
        <f t="shared" si="9"/>
        <v>26.6</v>
      </c>
      <c r="Q16" s="365">
        <f t="shared" si="10"/>
        <v>35.1</v>
      </c>
    </row>
    <row r="17" spans="2:17" s="353" customFormat="1" ht="17.100000000000001" customHeight="1">
      <c r="B17" s="363">
        <v>14</v>
      </c>
      <c r="C17" s="363">
        <v>43</v>
      </c>
      <c r="D17" s="363">
        <v>233.2</v>
      </c>
      <c r="E17" s="363">
        <v>12.8</v>
      </c>
      <c r="F17" s="363">
        <v>30.2</v>
      </c>
      <c r="H17" s="364">
        <f>B17</f>
        <v>14</v>
      </c>
      <c r="I17" s="363">
        <f t="shared" si="11"/>
        <v>43</v>
      </c>
      <c r="J17" s="363">
        <f t="shared" si="11"/>
        <v>233.2</v>
      </c>
      <c r="K17" s="363">
        <f t="shared" si="1"/>
        <v>12.8</v>
      </c>
      <c r="L17" s="365">
        <f t="shared" si="2"/>
        <v>30.2</v>
      </c>
      <c r="M17" s="364">
        <f t="shared" si="6"/>
        <v>29</v>
      </c>
      <c r="N17" s="363">
        <f t="shared" si="7"/>
        <v>37.299999999999997</v>
      </c>
      <c r="O17" s="363">
        <f t="shared" si="8"/>
        <v>31.5</v>
      </c>
      <c r="P17" s="363">
        <f t="shared" si="9"/>
        <v>27.6</v>
      </c>
      <c r="Q17" s="365">
        <f t="shared" si="10"/>
        <v>9.6999999999999993</v>
      </c>
    </row>
    <row r="18" spans="2:17" s="353" customFormat="1" ht="17.100000000000001" customHeight="1">
      <c r="B18" s="363">
        <v>15</v>
      </c>
      <c r="C18" s="363">
        <v>18.7</v>
      </c>
      <c r="D18" s="363">
        <v>195.7</v>
      </c>
      <c r="E18" s="363">
        <v>13.8</v>
      </c>
      <c r="F18" s="363">
        <v>4.9000000000000004</v>
      </c>
      <c r="H18" s="364">
        <f>B18</f>
        <v>15</v>
      </c>
      <c r="I18" s="363">
        <f t="shared" si="11"/>
        <v>18.7</v>
      </c>
      <c r="J18" s="363">
        <f t="shared" si="11"/>
        <v>195.7</v>
      </c>
      <c r="K18" s="363">
        <f t="shared" si="1"/>
        <v>13.8</v>
      </c>
      <c r="L18" s="365">
        <f t="shared" si="2"/>
        <v>4.9000000000000004</v>
      </c>
      <c r="M18" s="364">
        <f t="shared" si="6"/>
        <v>30</v>
      </c>
      <c r="N18" s="363">
        <f t="shared" si="7"/>
        <v>12.9</v>
      </c>
      <c r="O18" s="363">
        <f t="shared" si="8"/>
        <v>354</v>
      </c>
      <c r="P18" s="363">
        <f t="shared" si="9"/>
        <v>28.6</v>
      </c>
      <c r="Q18" s="365">
        <f t="shared" si="10"/>
        <v>344.4</v>
      </c>
    </row>
    <row r="19" spans="2:17" s="353" customFormat="1" ht="17.100000000000001" customHeight="1">
      <c r="B19" s="363">
        <v>16</v>
      </c>
      <c r="C19" s="363">
        <v>354.3</v>
      </c>
      <c r="D19" s="363">
        <v>158.30000000000001</v>
      </c>
      <c r="E19" s="363">
        <v>14.8</v>
      </c>
      <c r="F19" s="363">
        <v>339.5</v>
      </c>
      <c r="H19" s="366"/>
      <c r="I19" s="367"/>
      <c r="J19" s="367"/>
      <c r="K19" s="367"/>
      <c r="L19" s="368"/>
      <c r="M19" s="366">
        <f t="shared" si="6"/>
        <v>31</v>
      </c>
      <c r="N19" s="367">
        <f t="shared" si="7"/>
        <v>348.6</v>
      </c>
      <c r="O19" s="367">
        <f t="shared" si="8"/>
        <v>316.60000000000002</v>
      </c>
      <c r="P19" s="367">
        <f t="shared" si="9"/>
        <v>29.6</v>
      </c>
      <c r="Q19" s="368">
        <f t="shared" si="10"/>
        <v>319</v>
      </c>
    </row>
    <row r="20" spans="2:17" s="353" customFormat="1" ht="17.100000000000001" customHeight="1">
      <c r="B20" s="363">
        <v>17</v>
      </c>
      <c r="C20" s="363">
        <v>329.9</v>
      </c>
      <c r="D20" s="363">
        <v>120.9</v>
      </c>
      <c r="E20" s="363">
        <v>15.8</v>
      </c>
      <c r="F20" s="363">
        <v>314.10000000000002</v>
      </c>
      <c r="H20" s="350"/>
      <c r="I20" s="350"/>
      <c r="J20" s="350"/>
      <c r="K20" s="350"/>
      <c r="L20" s="350"/>
      <c r="M20" s="350"/>
      <c r="N20" s="350"/>
      <c r="O20" s="350"/>
      <c r="P20" s="350"/>
      <c r="Q20" s="350"/>
    </row>
    <row r="21" spans="2:17" s="353" customFormat="1" ht="17.100000000000001" customHeight="1">
      <c r="B21" s="363">
        <v>18</v>
      </c>
      <c r="C21" s="363">
        <v>305.5</v>
      </c>
      <c r="D21" s="363">
        <v>83.4</v>
      </c>
      <c r="E21" s="363">
        <v>16.8</v>
      </c>
      <c r="F21" s="363">
        <v>288.8</v>
      </c>
      <c r="H21" s="350"/>
      <c r="I21" s="350"/>
      <c r="J21" s="350"/>
      <c r="K21" s="350"/>
      <c r="L21" s="350"/>
      <c r="M21" s="350"/>
      <c r="N21" s="350"/>
      <c r="O21" s="350"/>
      <c r="P21" s="350"/>
      <c r="Q21" s="350"/>
    </row>
    <row r="22" spans="2:17" s="353" customFormat="1" ht="17.100000000000001" customHeight="1">
      <c r="B22" s="363">
        <v>19</v>
      </c>
      <c r="C22" s="363">
        <v>281.10000000000002</v>
      </c>
      <c r="D22" s="363">
        <v>46</v>
      </c>
      <c r="E22" s="363">
        <v>17.7</v>
      </c>
      <c r="F22" s="363">
        <v>263.39999999999998</v>
      </c>
      <c r="H22" s="350"/>
      <c r="I22" s="350"/>
      <c r="J22" s="350"/>
      <c r="K22" s="350"/>
      <c r="L22" s="350"/>
      <c r="M22" s="350"/>
      <c r="N22" s="350"/>
      <c r="O22" s="350"/>
      <c r="P22" s="350"/>
      <c r="Q22" s="350"/>
    </row>
    <row r="23" spans="2:17" s="353" customFormat="1" ht="17.100000000000001" customHeight="1">
      <c r="B23" s="363">
        <v>20</v>
      </c>
      <c r="C23" s="363">
        <v>256.8</v>
      </c>
      <c r="D23" s="363">
        <v>8.5</v>
      </c>
      <c r="E23" s="363">
        <v>18.7</v>
      </c>
      <c r="F23" s="363">
        <v>238.5</v>
      </c>
      <c r="H23" s="350"/>
      <c r="I23" s="350"/>
      <c r="J23" s="350"/>
      <c r="K23" s="350"/>
      <c r="L23" s="350"/>
      <c r="M23" s="350"/>
      <c r="N23" s="350"/>
      <c r="O23" s="350"/>
      <c r="P23" s="350"/>
      <c r="Q23" s="350"/>
    </row>
    <row r="24" spans="2:17" s="353" customFormat="1" ht="17.100000000000001" customHeight="1">
      <c r="B24" s="363">
        <v>21</v>
      </c>
      <c r="C24" s="363">
        <v>232.4</v>
      </c>
      <c r="D24" s="363">
        <v>331.1</v>
      </c>
      <c r="E24" s="363">
        <v>19.7</v>
      </c>
      <c r="F24" s="363">
        <v>212.7</v>
      </c>
      <c r="H24" s="350"/>
      <c r="I24" s="350"/>
      <c r="J24" s="350"/>
      <c r="K24" s="350"/>
      <c r="L24" s="350"/>
      <c r="M24" s="350"/>
      <c r="N24" s="350"/>
      <c r="O24" s="350"/>
      <c r="P24" s="350"/>
      <c r="Q24" s="350"/>
    </row>
    <row r="25" spans="2:17" s="353" customFormat="1" ht="17.100000000000001" customHeight="1">
      <c r="B25" s="363">
        <v>22</v>
      </c>
      <c r="C25" s="363">
        <v>208</v>
      </c>
      <c r="D25" s="363">
        <v>293.60000000000002</v>
      </c>
      <c r="E25" s="363">
        <v>20.7</v>
      </c>
      <c r="F25" s="363">
        <v>187.3</v>
      </c>
      <c r="H25" s="350"/>
      <c r="I25" s="350"/>
      <c r="J25" s="350"/>
      <c r="K25" s="350"/>
      <c r="L25" s="350"/>
      <c r="M25" s="350"/>
      <c r="N25" s="350"/>
      <c r="O25" s="350"/>
      <c r="P25" s="350"/>
      <c r="Q25" s="350"/>
    </row>
    <row r="26" spans="2:17" s="353" customFormat="1" ht="17.100000000000001" customHeight="1">
      <c r="B26" s="363">
        <v>23</v>
      </c>
      <c r="C26" s="363">
        <v>183.6</v>
      </c>
      <c r="D26" s="363">
        <v>256.2</v>
      </c>
      <c r="E26" s="363">
        <v>21.7</v>
      </c>
      <c r="F26" s="363">
        <v>161.9</v>
      </c>
      <c r="H26" s="350"/>
      <c r="I26" s="350"/>
      <c r="J26" s="350"/>
      <c r="K26" s="350"/>
      <c r="L26" s="350"/>
      <c r="M26" s="350"/>
      <c r="N26" s="350"/>
      <c r="O26" s="350"/>
      <c r="P26" s="350"/>
      <c r="Q26" s="350"/>
    </row>
    <row r="27" spans="2:17" s="353" customFormat="1" ht="17.100000000000001" customHeight="1">
      <c r="B27" s="363">
        <v>24</v>
      </c>
      <c r="C27" s="363">
        <v>159.19999999999999</v>
      </c>
      <c r="D27" s="363">
        <v>218.7</v>
      </c>
      <c r="E27" s="363">
        <v>22.7</v>
      </c>
      <c r="F27" s="363">
        <v>136.6</v>
      </c>
      <c r="H27" s="350"/>
      <c r="I27" s="350"/>
      <c r="J27" s="350"/>
      <c r="K27" s="350"/>
      <c r="L27" s="350"/>
      <c r="M27" s="350"/>
      <c r="N27" s="350"/>
      <c r="O27" s="350"/>
      <c r="P27" s="350"/>
      <c r="Q27" s="350"/>
    </row>
    <row r="28" spans="2:17" s="353" customFormat="1" ht="17.100000000000001" customHeight="1">
      <c r="B28" s="363">
        <v>25</v>
      </c>
      <c r="C28" s="363">
        <v>134.80000000000001</v>
      </c>
      <c r="D28" s="363">
        <v>181.3</v>
      </c>
      <c r="E28" s="363">
        <v>23.7</v>
      </c>
      <c r="F28" s="363">
        <v>111.2</v>
      </c>
      <c r="H28" s="350"/>
      <c r="I28" s="350"/>
      <c r="J28" s="350"/>
      <c r="K28" s="350"/>
      <c r="L28" s="350"/>
      <c r="M28" s="350"/>
      <c r="N28" s="350"/>
      <c r="O28" s="350"/>
      <c r="P28" s="350"/>
      <c r="Q28" s="350"/>
    </row>
    <row r="29" spans="2:17" s="353" customFormat="1" ht="17.100000000000001" customHeight="1">
      <c r="B29" s="363">
        <v>26</v>
      </c>
      <c r="C29" s="363">
        <v>110.5</v>
      </c>
      <c r="D29" s="363">
        <v>143.80000000000001</v>
      </c>
      <c r="E29" s="363">
        <v>24.6</v>
      </c>
      <c r="F29" s="363">
        <v>85.8</v>
      </c>
      <c r="H29" s="350"/>
      <c r="I29" s="350"/>
      <c r="J29" s="350"/>
      <c r="K29" s="350"/>
      <c r="L29" s="350"/>
      <c r="M29" s="350"/>
      <c r="N29" s="350"/>
      <c r="O29" s="350"/>
      <c r="P29" s="350"/>
      <c r="Q29" s="350"/>
    </row>
    <row r="30" spans="2:17" s="353" customFormat="1" ht="17.100000000000001" customHeight="1">
      <c r="B30" s="363">
        <v>27</v>
      </c>
      <c r="C30" s="363">
        <v>86.1</v>
      </c>
      <c r="D30" s="363">
        <v>106.4</v>
      </c>
      <c r="E30" s="363">
        <v>25.6</v>
      </c>
      <c r="F30" s="363">
        <v>60.5</v>
      </c>
      <c r="H30" s="350"/>
      <c r="I30" s="350"/>
      <c r="J30" s="350"/>
      <c r="K30" s="350"/>
      <c r="L30" s="350"/>
      <c r="M30" s="350"/>
      <c r="N30" s="350"/>
      <c r="O30" s="350"/>
      <c r="P30" s="350"/>
      <c r="Q30" s="350"/>
    </row>
    <row r="31" spans="2:17" s="353" customFormat="1" ht="17.100000000000001" customHeight="1">
      <c r="B31" s="363">
        <v>28</v>
      </c>
      <c r="C31" s="363">
        <v>61.7</v>
      </c>
      <c r="D31" s="363">
        <v>68.900000000000006</v>
      </c>
      <c r="E31" s="363">
        <v>26.6</v>
      </c>
      <c r="F31" s="363">
        <v>35.1</v>
      </c>
      <c r="H31" s="350"/>
      <c r="I31" s="350"/>
      <c r="J31" s="350"/>
      <c r="K31" s="350"/>
      <c r="L31" s="350"/>
      <c r="M31" s="350"/>
      <c r="N31" s="350"/>
      <c r="O31" s="350"/>
      <c r="P31" s="350"/>
      <c r="Q31" s="350"/>
    </row>
    <row r="32" spans="2:17" s="353" customFormat="1" ht="17.100000000000001" customHeight="1">
      <c r="B32" s="363">
        <v>29</v>
      </c>
      <c r="C32" s="363">
        <v>37.299999999999997</v>
      </c>
      <c r="D32" s="363">
        <v>31.5</v>
      </c>
      <c r="E32" s="363">
        <v>27.6</v>
      </c>
      <c r="F32" s="363">
        <v>9.6999999999999993</v>
      </c>
      <c r="H32" s="350"/>
      <c r="I32" s="350"/>
      <c r="J32" s="350"/>
      <c r="K32" s="350"/>
      <c r="L32" s="350"/>
      <c r="M32" s="350"/>
      <c r="N32" s="350"/>
      <c r="O32" s="350"/>
      <c r="P32" s="350"/>
      <c r="Q32" s="350"/>
    </row>
    <row r="33" spans="2:17" s="353" customFormat="1" ht="17.100000000000001" customHeight="1">
      <c r="B33" s="363">
        <v>30</v>
      </c>
      <c r="C33" s="363">
        <v>12.9</v>
      </c>
      <c r="D33" s="363">
        <v>354</v>
      </c>
      <c r="E33" s="363">
        <v>28.6</v>
      </c>
      <c r="F33" s="363">
        <v>344.4</v>
      </c>
      <c r="H33" s="350"/>
      <c r="I33" s="350"/>
      <c r="J33" s="350"/>
      <c r="K33" s="350"/>
      <c r="L33" s="350"/>
      <c r="M33" s="350"/>
      <c r="N33" s="350"/>
      <c r="O33" s="350"/>
      <c r="P33" s="350"/>
      <c r="Q33" s="350"/>
    </row>
    <row r="34" spans="2:17" s="353" customFormat="1" ht="17.100000000000001" customHeight="1">
      <c r="B34" s="369">
        <v>31</v>
      </c>
      <c r="C34" s="369">
        <v>348.6</v>
      </c>
      <c r="D34" s="369">
        <v>316.60000000000002</v>
      </c>
      <c r="E34" s="369">
        <v>29.6</v>
      </c>
      <c r="F34" s="369">
        <v>319</v>
      </c>
      <c r="H34" s="350"/>
      <c r="I34" s="350"/>
      <c r="J34" s="350"/>
      <c r="K34" s="350"/>
      <c r="L34" s="350"/>
      <c r="M34" s="350"/>
      <c r="N34" s="350"/>
      <c r="O34" s="350"/>
      <c r="P34" s="350"/>
      <c r="Q34" s="350"/>
    </row>
  </sheetData>
  <sheetProtection selectLockedCells="1" selectUnlockedCells="1"/>
  <phoneticPr fontId="26" type="noConversion"/>
  <printOptions horizontalCentered="1"/>
  <pageMargins left="1.2298611111111111" right="0.74791666666666667" top="1.2902777777777779" bottom="0.98402777777777772" header="0.51180555555555551" footer="0.51180555555555551"/>
  <pageSetup paperSize="9" scale="66" firstPageNumber="0"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O122"/>
  <sheetViews>
    <sheetView topLeftCell="A61" zoomScaleSheetLayoutView="70" workbookViewId="0">
      <selection activeCell="F11" sqref="F11"/>
    </sheetView>
  </sheetViews>
  <sheetFormatPr defaultColWidth="9.140625" defaultRowHeight="14.25"/>
  <cols>
    <col min="1" max="1" width="2.85546875" style="1" customWidth="1"/>
    <col min="2" max="16384" width="9.140625" style="1"/>
  </cols>
  <sheetData>
    <row r="1" spans="2:15" ht="15">
      <c r="B1" s="52" t="s">
        <v>403</v>
      </c>
      <c r="C1" s="24"/>
      <c r="D1" s="24"/>
      <c r="E1" s="24"/>
      <c r="H1" s="114" t="str">
        <f>B1</f>
        <v>Tabel 43. Daftar nilai u pada jam 00</v>
      </c>
      <c r="I1" s="24"/>
      <c r="J1" s="43"/>
      <c r="K1" s="43"/>
      <c r="L1" s="305"/>
      <c r="M1" s="43"/>
      <c r="N1" s="43"/>
      <c r="O1" s="43"/>
    </row>
    <row r="2" spans="2:15" ht="15">
      <c r="B2" s="52" t="s">
        <v>404</v>
      </c>
      <c r="C2" s="24"/>
      <c r="D2" s="24"/>
      <c r="E2" s="24"/>
      <c r="H2" s="114" t="str">
        <f>B2</f>
        <v xml:space="preserve"> tanggal 1 Januari 1900 hingga 2008</v>
      </c>
      <c r="J2" s="43"/>
      <c r="K2" s="43"/>
      <c r="L2" s="305"/>
      <c r="M2" s="43"/>
      <c r="N2" s="43"/>
      <c r="O2" s="43"/>
    </row>
    <row r="3" spans="2:15" ht="16.5">
      <c r="B3" s="78" t="s">
        <v>380</v>
      </c>
      <c r="C3" s="78" t="s">
        <v>146</v>
      </c>
      <c r="D3" s="78" t="s">
        <v>149</v>
      </c>
      <c r="E3" s="78" t="s">
        <v>150</v>
      </c>
      <c r="H3" s="307" t="str">
        <f>B3</f>
        <v>Tahun</v>
      </c>
      <c r="I3" s="308" t="str">
        <f t="shared" ref="I3:K18" si="0">C3</f>
        <v>M2</v>
      </c>
      <c r="J3" s="308" t="str">
        <f t="shared" si="0"/>
        <v>K1</v>
      </c>
      <c r="K3" s="308" t="str">
        <f t="shared" si="0"/>
        <v>O1</v>
      </c>
      <c r="L3" s="307" t="str">
        <f>H3</f>
        <v>Tahun</v>
      </c>
      <c r="M3" s="308" t="str">
        <f>I3</f>
        <v>M2</v>
      </c>
      <c r="N3" s="308" t="str">
        <f>J3</f>
        <v>K1</v>
      </c>
      <c r="O3" s="308" t="str">
        <f>K3</f>
        <v>O1</v>
      </c>
    </row>
    <row r="4" spans="2:15">
      <c r="B4" s="79">
        <v>1900</v>
      </c>
      <c r="C4" s="79">
        <v>2.1</v>
      </c>
      <c r="D4" s="79">
        <v>8.9</v>
      </c>
      <c r="E4" s="79">
        <v>-10.9</v>
      </c>
      <c r="H4" s="312">
        <f>B4</f>
        <v>1900</v>
      </c>
      <c r="I4" s="329">
        <f t="shared" si="0"/>
        <v>2.1</v>
      </c>
      <c r="J4" s="329">
        <f t="shared" si="0"/>
        <v>8.9</v>
      </c>
      <c r="K4" s="329">
        <f t="shared" si="0"/>
        <v>-10.9</v>
      </c>
      <c r="L4" s="312">
        <f t="shared" ref="L4:L35" si="1">B59</f>
        <v>1955</v>
      </c>
      <c r="M4" s="329">
        <f t="shared" ref="M4:M35" si="2">C59</f>
        <v>2.1</v>
      </c>
      <c r="N4" s="329">
        <f t="shared" ref="N4:N35" si="3">D59</f>
        <v>8.6</v>
      </c>
      <c r="O4" s="329">
        <f t="shared" ref="O4:O35" si="4">E59</f>
        <v>-10.3</v>
      </c>
    </row>
    <row r="5" spans="2:15">
      <c r="B5" s="80">
        <f>B4+1</f>
        <v>1901</v>
      </c>
      <c r="C5" s="80">
        <v>1.8</v>
      </c>
      <c r="D5" s="80">
        <v>8.1999999999999993</v>
      </c>
      <c r="E5" s="80">
        <v>-10.5</v>
      </c>
      <c r="H5" s="317">
        <f t="shared" ref="H5:K58" si="5">B5</f>
        <v>1901</v>
      </c>
      <c r="I5" s="332">
        <f t="shared" si="0"/>
        <v>1.8</v>
      </c>
      <c r="J5" s="332">
        <f t="shared" si="0"/>
        <v>8.1999999999999993</v>
      </c>
      <c r="K5" s="332">
        <f t="shared" si="0"/>
        <v>-10.5</v>
      </c>
      <c r="L5" s="317">
        <f t="shared" si="1"/>
        <v>1956</v>
      </c>
      <c r="M5" s="332">
        <f t="shared" si="2"/>
        <v>2.1</v>
      </c>
      <c r="N5" s="332">
        <f t="shared" si="3"/>
        <v>8.9</v>
      </c>
      <c r="O5" s="332">
        <f t="shared" si="4"/>
        <v>-11</v>
      </c>
    </row>
    <row r="6" spans="2:15">
      <c r="B6" s="80">
        <f t="shared" ref="B6:B69" si="6">B5+1</f>
        <v>1902</v>
      </c>
      <c r="C6" s="80">
        <v>1.4</v>
      </c>
      <c r="D6" s="80">
        <v>6.5</v>
      </c>
      <c r="E6" s="80">
        <v>-8.5</v>
      </c>
      <c r="H6" s="317">
        <f t="shared" si="5"/>
        <v>1902</v>
      </c>
      <c r="I6" s="332">
        <f t="shared" si="0"/>
        <v>1.4</v>
      </c>
      <c r="J6" s="332">
        <f t="shared" si="0"/>
        <v>6.5</v>
      </c>
      <c r="K6" s="332">
        <f t="shared" si="0"/>
        <v>-8.5</v>
      </c>
      <c r="L6" s="317">
        <f t="shared" si="1"/>
        <v>1957</v>
      </c>
      <c r="M6" s="332">
        <f t="shared" si="2"/>
        <v>1.8</v>
      </c>
      <c r="N6" s="332">
        <f t="shared" si="3"/>
        <v>8</v>
      </c>
      <c r="O6" s="332">
        <f t="shared" si="4"/>
        <v>-10.3</v>
      </c>
    </row>
    <row r="7" spans="2:15">
      <c r="B7" s="80">
        <f t="shared" si="6"/>
        <v>1903</v>
      </c>
      <c r="C7" s="80">
        <v>0.8</v>
      </c>
      <c r="D7" s="80">
        <v>3.7</v>
      </c>
      <c r="E7" s="80">
        <v>-5</v>
      </c>
      <c r="H7" s="317">
        <f t="shared" si="5"/>
        <v>1903</v>
      </c>
      <c r="I7" s="332">
        <f t="shared" si="0"/>
        <v>0.8</v>
      </c>
      <c r="J7" s="332">
        <f t="shared" si="0"/>
        <v>3.7</v>
      </c>
      <c r="K7" s="332">
        <f t="shared" si="0"/>
        <v>-5</v>
      </c>
      <c r="L7" s="317">
        <f t="shared" si="1"/>
        <v>1958</v>
      </c>
      <c r="M7" s="332">
        <f t="shared" si="2"/>
        <v>1.3</v>
      </c>
      <c r="N7" s="332">
        <f t="shared" si="3"/>
        <v>6.1</v>
      </c>
      <c r="O7" s="332">
        <f t="shared" si="4"/>
        <v>-8.1</v>
      </c>
    </row>
    <row r="8" spans="2:15">
      <c r="B8" s="80">
        <f t="shared" si="6"/>
        <v>1904</v>
      </c>
      <c r="C8" s="80">
        <v>0.1</v>
      </c>
      <c r="D8" s="80">
        <v>0.3</v>
      </c>
      <c r="E8" s="80">
        <v>-0.5</v>
      </c>
      <c r="H8" s="317">
        <f t="shared" si="5"/>
        <v>1904</v>
      </c>
      <c r="I8" s="332">
        <f t="shared" si="0"/>
        <v>0.1</v>
      </c>
      <c r="J8" s="332">
        <f t="shared" si="0"/>
        <v>0.3</v>
      </c>
      <c r="K8" s="332">
        <f t="shared" si="0"/>
        <v>-0.5</v>
      </c>
      <c r="L8" s="317">
        <f t="shared" si="1"/>
        <v>1959</v>
      </c>
      <c r="M8" s="332">
        <f t="shared" si="2"/>
        <v>0.7</v>
      </c>
      <c r="N8" s="332">
        <f t="shared" si="3"/>
        <v>3.2</v>
      </c>
      <c r="O8" s="332">
        <f t="shared" si="4"/>
        <v>-4.3</v>
      </c>
    </row>
    <row r="9" spans="2:15">
      <c r="B9" s="80">
        <f t="shared" si="6"/>
        <v>1905</v>
      </c>
      <c r="C9" s="80">
        <v>-0.6</v>
      </c>
      <c r="D9" s="80">
        <v>-3.1</v>
      </c>
      <c r="E9" s="80">
        <v>4.2</v>
      </c>
      <c r="H9" s="317">
        <f t="shared" si="5"/>
        <v>1905</v>
      </c>
      <c r="I9" s="332">
        <f t="shared" si="0"/>
        <v>-0.6</v>
      </c>
      <c r="J9" s="332">
        <f t="shared" si="0"/>
        <v>-3.1</v>
      </c>
      <c r="K9" s="332">
        <f t="shared" si="0"/>
        <v>4.2</v>
      </c>
      <c r="L9" s="317">
        <f t="shared" si="1"/>
        <v>1960</v>
      </c>
      <c r="M9" s="332">
        <f t="shared" si="2"/>
        <v>-0.1</v>
      </c>
      <c r="N9" s="332">
        <f t="shared" si="3"/>
        <v>-0.2</v>
      </c>
      <c r="O9" s="332">
        <f t="shared" si="4"/>
        <v>0.3</v>
      </c>
    </row>
    <row r="10" spans="2:15">
      <c r="B10" s="80">
        <f t="shared" si="6"/>
        <v>1906</v>
      </c>
      <c r="C10" s="80">
        <v>-1.3</v>
      </c>
      <c r="D10" s="80">
        <v>-6</v>
      </c>
      <c r="E10" s="80">
        <v>8</v>
      </c>
      <c r="H10" s="317">
        <f t="shared" si="5"/>
        <v>1906</v>
      </c>
      <c r="I10" s="332">
        <f t="shared" si="0"/>
        <v>-1.3</v>
      </c>
      <c r="J10" s="332">
        <f t="shared" si="0"/>
        <v>-6</v>
      </c>
      <c r="K10" s="332">
        <f t="shared" si="0"/>
        <v>8</v>
      </c>
      <c r="L10" s="317">
        <f t="shared" si="1"/>
        <v>1961</v>
      </c>
      <c r="M10" s="332">
        <f t="shared" si="2"/>
        <v>-0.8</v>
      </c>
      <c r="N10" s="332">
        <f t="shared" si="3"/>
        <v>-3.7</v>
      </c>
      <c r="O10" s="332">
        <f t="shared" si="4"/>
        <v>4.9000000000000004</v>
      </c>
    </row>
    <row r="11" spans="2:15">
      <c r="B11" s="80">
        <f t="shared" si="6"/>
        <v>1907</v>
      </c>
      <c r="C11" s="80">
        <v>-1.8</v>
      </c>
      <c r="D11" s="80">
        <v>-8</v>
      </c>
      <c r="E11" s="80">
        <v>10.199999999999999</v>
      </c>
      <c r="H11" s="317">
        <f t="shared" si="5"/>
        <v>1907</v>
      </c>
      <c r="I11" s="332">
        <f t="shared" si="0"/>
        <v>-1.8</v>
      </c>
      <c r="J11" s="332">
        <f t="shared" si="0"/>
        <v>-8</v>
      </c>
      <c r="K11" s="332">
        <f t="shared" si="0"/>
        <v>10.199999999999999</v>
      </c>
      <c r="L11" s="317">
        <f t="shared" si="1"/>
        <v>1962</v>
      </c>
      <c r="M11" s="332">
        <f t="shared" si="2"/>
        <v>-1.4</v>
      </c>
      <c r="N11" s="332">
        <f t="shared" si="3"/>
        <v>-6.4</v>
      </c>
      <c r="O11" s="332">
        <f t="shared" si="4"/>
        <v>8.5</v>
      </c>
    </row>
    <row r="12" spans="2:15">
      <c r="B12" s="80">
        <f t="shared" si="6"/>
        <v>1908</v>
      </c>
      <c r="C12" s="80">
        <v>-2.1</v>
      </c>
      <c r="D12" s="80">
        <v>-8.9</v>
      </c>
      <c r="E12" s="80">
        <v>11</v>
      </c>
      <c r="H12" s="317">
        <f t="shared" si="5"/>
        <v>1908</v>
      </c>
      <c r="I12" s="332">
        <f t="shared" si="0"/>
        <v>-2.1</v>
      </c>
      <c r="J12" s="332">
        <f t="shared" si="0"/>
        <v>-8.9</v>
      </c>
      <c r="K12" s="332">
        <f t="shared" si="0"/>
        <v>11</v>
      </c>
      <c r="L12" s="317">
        <f t="shared" si="1"/>
        <v>1963</v>
      </c>
      <c r="M12" s="332">
        <f t="shared" si="2"/>
        <v>-1.8</v>
      </c>
      <c r="N12" s="332">
        <f t="shared" si="3"/>
        <v>-8.1999999999999993</v>
      </c>
      <c r="O12" s="332">
        <f t="shared" si="4"/>
        <v>10.5</v>
      </c>
    </row>
    <row r="13" spans="2:15">
      <c r="B13" s="80">
        <f t="shared" si="6"/>
        <v>1909</v>
      </c>
      <c r="C13" s="80">
        <v>-2.1</v>
      </c>
      <c r="D13" s="80">
        <v>-8.6</v>
      </c>
      <c r="E13" s="80">
        <v>10.4</v>
      </c>
      <c r="H13" s="317">
        <f t="shared" si="5"/>
        <v>1909</v>
      </c>
      <c r="I13" s="332">
        <f t="shared" si="0"/>
        <v>-2.1</v>
      </c>
      <c r="J13" s="332">
        <f t="shared" si="0"/>
        <v>-8.6</v>
      </c>
      <c r="K13" s="332">
        <f t="shared" si="0"/>
        <v>10.4</v>
      </c>
      <c r="L13" s="317">
        <f t="shared" si="1"/>
        <v>1964</v>
      </c>
      <c r="M13" s="332">
        <f t="shared" si="2"/>
        <v>-2.1</v>
      </c>
      <c r="N13" s="332">
        <f t="shared" si="3"/>
        <v>-8.9</v>
      </c>
      <c r="O13" s="332">
        <f t="shared" si="4"/>
        <v>10.9</v>
      </c>
    </row>
    <row r="14" spans="2:15">
      <c r="B14" s="80">
        <f t="shared" si="6"/>
        <v>1910</v>
      </c>
      <c r="C14" s="80">
        <v>-2</v>
      </c>
      <c r="D14" s="80">
        <v>-7.6</v>
      </c>
      <c r="E14" s="80">
        <v>8.8000000000000007</v>
      </c>
      <c r="H14" s="317">
        <f t="shared" si="5"/>
        <v>1910</v>
      </c>
      <c r="I14" s="332">
        <f t="shared" si="0"/>
        <v>-2</v>
      </c>
      <c r="J14" s="332">
        <f t="shared" si="0"/>
        <v>-7.6</v>
      </c>
      <c r="K14" s="332">
        <f t="shared" si="0"/>
        <v>8.8000000000000007</v>
      </c>
      <c r="L14" s="317">
        <f t="shared" si="1"/>
        <v>1965</v>
      </c>
      <c r="M14" s="332">
        <f t="shared" si="2"/>
        <v>-2.1</v>
      </c>
      <c r="N14" s="332">
        <f t="shared" si="3"/>
        <v>-8.5</v>
      </c>
      <c r="O14" s="332">
        <f t="shared" si="4"/>
        <v>10.199999999999999</v>
      </c>
    </row>
    <row r="15" spans="2:15">
      <c r="B15" s="80">
        <f t="shared" si="6"/>
        <v>1911</v>
      </c>
      <c r="C15" s="80">
        <v>-1.6</v>
      </c>
      <c r="D15" s="80">
        <v>-5.8</v>
      </c>
      <c r="E15" s="80">
        <v>6.6</v>
      </c>
      <c r="H15" s="317">
        <f t="shared" si="5"/>
        <v>1911</v>
      </c>
      <c r="I15" s="332">
        <f t="shared" si="0"/>
        <v>-1.6</v>
      </c>
      <c r="J15" s="332">
        <f t="shared" si="0"/>
        <v>-5.8</v>
      </c>
      <c r="K15" s="332">
        <f t="shared" si="0"/>
        <v>6.6</v>
      </c>
      <c r="L15" s="317">
        <f t="shared" si="1"/>
        <v>1966</v>
      </c>
      <c r="M15" s="332">
        <f t="shared" si="2"/>
        <v>-1.9</v>
      </c>
      <c r="N15" s="332">
        <f t="shared" si="3"/>
        <v>-7.3</v>
      </c>
      <c r="O15" s="332">
        <f t="shared" si="4"/>
        <v>8.5</v>
      </c>
    </row>
    <row r="16" spans="2:15">
      <c r="B16" s="80">
        <f t="shared" si="6"/>
        <v>1912</v>
      </c>
      <c r="C16" s="80">
        <v>-1</v>
      </c>
      <c r="D16" s="80">
        <v>-3.5</v>
      </c>
      <c r="E16" s="80">
        <v>4</v>
      </c>
      <c r="H16" s="317">
        <f t="shared" si="5"/>
        <v>1912</v>
      </c>
      <c r="I16" s="332">
        <f t="shared" si="0"/>
        <v>-1</v>
      </c>
      <c r="J16" s="332">
        <f t="shared" si="0"/>
        <v>-3.5</v>
      </c>
      <c r="K16" s="332">
        <f t="shared" si="0"/>
        <v>4</v>
      </c>
      <c r="L16" s="317">
        <f t="shared" si="1"/>
        <v>1967</v>
      </c>
      <c r="M16" s="332">
        <f t="shared" si="2"/>
        <v>-1.5</v>
      </c>
      <c r="N16" s="332">
        <f t="shared" si="3"/>
        <v>-5.5</v>
      </c>
      <c r="O16" s="332">
        <f t="shared" si="4"/>
        <v>6.2</v>
      </c>
    </row>
    <row r="17" spans="2:15">
      <c r="B17" s="80">
        <f t="shared" si="6"/>
        <v>1913</v>
      </c>
      <c r="C17" s="80">
        <v>-0.3</v>
      </c>
      <c r="D17" s="80">
        <v>-1</v>
      </c>
      <c r="E17" s="80">
        <v>1.2</v>
      </c>
      <c r="H17" s="317">
        <f t="shared" si="5"/>
        <v>1913</v>
      </c>
      <c r="I17" s="332">
        <f t="shared" si="0"/>
        <v>-0.3</v>
      </c>
      <c r="J17" s="332">
        <f t="shared" si="0"/>
        <v>-1</v>
      </c>
      <c r="K17" s="332">
        <f t="shared" si="0"/>
        <v>1.2</v>
      </c>
      <c r="L17" s="317">
        <f t="shared" si="1"/>
        <v>1968</v>
      </c>
      <c r="M17" s="332">
        <f t="shared" si="2"/>
        <v>-0.9</v>
      </c>
      <c r="N17" s="332">
        <f t="shared" si="3"/>
        <v>-3.2</v>
      </c>
      <c r="O17" s="332">
        <f t="shared" si="4"/>
        <v>3.6</v>
      </c>
    </row>
    <row r="18" spans="2:15">
      <c r="B18" s="80">
        <f t="shared" si="6"/>
        <v>1914</v>
      </c>
      <c r="C18" s="80">
        <v>0.4</v>
      </c>
      <c r="D18" s="80">
        <v>1.6</v>
      </c>
      <c r="E18" s="80">
        <v>-1.7</v>
      </c>
      <c r="H18" s="317">
        <f t="shared" si="5"/>
        <v>1914</v>
      </c>
      <c r="I18" s="332">
        <f t="shared" si="0"/>
        <v>0.4</v>
      </c>
      <c r="J18" s="332">
        <f t="shared" si="0"/>
        <v>1.6</v>
      </c>
      <c r="K18" s="332">
        <f t="shared" si="0"/>
        <v>-1.7</v>
      </c>
      <c r="L18" s="317">
        <f t="shared" si="1"/>
        <v>1969</v>
      </c>
      <c r="M18" s="332">
        <f t="shared" si="2"/>
        <v>-0.2</v>
      </c>
      <c r="N18" s="332">
        <f t="shared" si="3"/>
        <v>-0.6</v>
      </c>
      <c r="O18" s="332">
        <f t="shared" si="4"/>
        <v>0.7</v>
      </c>
    </row>
    <row r="19" spans="2:15">
      <c r="B19" s="80">
        <f t="shared" si="6"/>
        <v>1915</v>
      </c>
      <c r="C19" s="80">
        <v>1.1000000000000001</v>
      </c>
      <c r="D19" s="80">
        <v>4</v>
      </c>
      <c r="E19" s="80">
        <v>-4.5</v>
      </c>
      <c r="H19" s="317">
        <f t="shared" si="5"/>
        <v>1915</v>
      </c>
      <c r="I19" s="332">
        <f t="shared" si="5"/>
        <v>1.1000000000000001</v>
      </c>
      <c r="J19" s="332">
        <f t="shared" si="5"/>
        <v>4</v>
      </c>
      <c r="K19" s="332">
        <f t="shared" si="5"/>
        <v>-4.5</v>
      </c>
      <c r="L19" s="317">
        <f t="shared" si="1"/>
        <v>1970</v>
      </c>
      <c r="M19" s="332">
        <f t="shared" si="2"/>
        <v>0.6</v>
      </c>
      <c r="N19" s="332">
        <f t="shared" si="3"/>
        <v>2</v>
      </c>
      <c r="O19" s="332">
        <f t="shared" si="4"/>
        <v>-2.2000000000000002</v>
      </c>
    </row>
    <row r="20" spans="2:15">
      <c r="B20" s="80">
        <f t="shared" si="6"/>
        <v>1916</v>
      </c>
      <c r="C20" s="80">
        <v>1.7</v>
      </c>
      <c r="D20" s="80">
        <v>6.2</v>
      </c>
      <c r="E20" s="80">
        <v>-7.1</v>
      </c>
      <c r="H20" s="317">
        <f t="shared" si="5"/>
        <v>1916</v>
      </c>
      <c r="I20" s="332">
        <f t="shared" si="5"/>
        <v>1.7</v>
      </c>
      <c r="J20" s="332">
        <f t="shared" si="5"/>
        <v>6.2</v>
      </c>
      <c r="K20" s="332">
        <f t="shared" si="5"/>
        <v>-7.1</v>
      </c>
      <c r="L20" s="317">
        <f t="shared" si="1"/>
        <v>1971</v>
      </c>
      <c r="M20" s="332">
        <f t="shared" si="2"/>
        <v>1.2</v>
      </c>
      <c r="N20" s="332">
        <f t="shared" si="3"/>
        <v>4.4000000000000004</v>
      </c>
      <c r="O20" s="332">
        <f t="shared" si="4"/>
        <v>-5</v>
      </c>
    </row>
    <row r="21" spans="2:15">
      <c r="B21" s="80">
        <f t="shared" si="6"/>
        <v>1917</v>
      </c>
      <c r="C21" s="80">
        <v>2</v>
      </c>
      <c r="D21" s="80">
        <v>7.8</v>
      </c>
      <c r="E21" s="80">
        <v>-9.1999999999999993</v>
      </c>
      <c r="H21" s="317">
        <f t="shared" si="5"/>
        <v>1917</v>
      </c>
      <c r="I21" s="332">
        <f t="shared" si="5"/>
        <v>2</v>
      </c>
      <c r="J21" s="332">
        <f t="shared" si="5"/>
        <v>7.8</v>
      </c>
      <c r="K21" s="332">
        <f t="shared" si="5"/>
        <v>-9.1999999999999993</v>
      </c>
      <c r="L21" s="317">
        <f t="shared" si="1"/>
        <v>1972</v>
      </c>
      <c r="M21" s="332">
        <f t="shared" si="2"/>
        <v>1.7</v>
      </c>
      <c r="N21" s="332">
        <f t="shared" si="3"/>
        <v>6.5</v>
      </c>
      <c r="O21" s="332">
        <f t="shared" si="4"/>
        <v>-7.5</v>
      </c>
    </row>
    <row r="22" spans="2:15">
      <c r="B22" s="80">
        <f t="shared" si="6"/>
        <v>1918</v>
      </c>
      <c r="C22" s="80">
        <v>2.1</v>
      </c>
      <c r="D22" s="80">
        <v>8.8000000000000007</v>
      </c>
      <c r="E22" s="80">
        <v>-10.6</v>
      </c>
      <c r="H22" s="317">
        <f t="shared" si="5"/>
        <v>1918</v>
      </c>
      <c r="I22" s="332">
        <f t="shared" si="5"/>
        <v>2.1</v>
      </c>
      <c r="J22" s="332">
        <f t="shared" si="5"/>
        <v>8.8000000000000007</v>
      </c>
      <c r="K22" s="332">
        <f t="shared" si="5"/>
        <v>-10.6</v>
      </c>
      <c r="L22" s="317">
        <f t="shared" si="1"/>
        <v>1973</v>
      </c>
      <c r="M22" s="332">
        <f t="shared" si="2"/>
        <v>2.1</v>
      </c>
      <c r="N22" s="332">
        <f t="shared" si="3"/>
        <v>8</v>
      </c>
      <c r="O22" s="332">
        <f t="shared" si="4"/>
        <v>-9.5</v>
      </c>
    </row>
    <row r="23" spans="2:15">
      <c r="B23" s="80">
        <f t="shared" si="6"/>
        <v>1919</v>
      </c>
      <c r="C23" s="80">
        <v>2</v>
      </c>
      <c r="D23" s="80">
        <v>8.8000000000000007</v>
      </c>
      <c r="E23" s="80">
        <v>-10.9</v>
      </c>
      <c r="H23" s="317">
        <f t="shared" si="5"/>
        <v>1919</v>
      </c>
      <c r="I23" s="332">
        <f t="shared" si="5"/>
        <v>2</v>
      </c>
      <c r="J23" s="332">
        <f t="shared" si="5"/>
        <v>8.8000000000000007</v>
      </c>
      <c r="K23" s="332">
        <f t="shared" si="5"/>
        <v>-10.9</v>
      </c>
      <c r="L23" s="317">
        <f t="shared" si="1"/>
        <v>1974</v>
      </c>
      <c r="M23" s="332">
        <f t="shared" si="2"/>
        <v>2.1</v>
      </c>
      <c r="N23" s="332">
        <f t="shared" si="3"/>
        <v>8.8000000000000007</v>
      </c>
      <c r="O23" s="332">
        <f t="shared" si="4"/>
        <v>-10.7</v>
      </c>
    </row>
    <row r="24" spans="2:15">
      <c r="B24" s="80">
        <f t="shared" si="6"/>
        <v>1920</v>
      </c>
      <c r="C24" s="80">
        <v>1.7</v>
      </c>
      <c r="D24" s="80">
        <v>7.7</v>
      </c>
      <c r="E24" s="80">
        <v>-9.9</v>
      </c>
      <c r="H24" s="317">
        <f t="shared" si="5"/>
        <v>1920</v>
      </c>
      <c r="I24" s="332">
        <f t="shared" si="5"/>
        <v>1.7</v>
      </c>
      <c r="J24" s="332">
        <f t="shared" si="5"/>
        <v>7.7</v>
      </c>
      <c r="K24" s="332">
        <f t="shared" si="5"/>
        <v>-9.9</v>
      </c>
      <c r="L24" s="317">
        <f t="shared" si="1"/>
        <v>1975</v>
      </c>
      <c r="M24" s="332">
        <f t="shared" si="2"/>
        <v>2</v>
      </c>
      <c r="N24" s="332">
        <f t="shared" si="3"/>
        <v>8.6999999999999993</v>
      </c>
      <c r="O24" s="332">
        <f t="shared" si="4"/>
        <v>-10.9</v>
      </c>
    </row>
    <row r="25" spans="2:15">
      <c r="B25" s="80">
        <f t="shared" si="6"/>
        <v>1921</v>
      </c>
      <c r="C25" s="80">
        <v>1.2</v>
      </c>
      <c r="D25" s="80">
        <v>5.5</v>
      </c>
      <c r="E25" s="80">
        <v>-7.3</v>
      </c>
      <c r="H25" s="317">
        <f t="shared" si="5"/>
        <v>1921</v>
      </c>
      <c r="I25" s="332">
        <f t="shared" si="5"/>
        <v>1.2</v>
      </c>
      <c r="J25" s="332">
        <f t="shared" si="5"/>
        <v>5.5</v>
      </c>
      <c r="K25" s="332">
        <f t="shared" si="5"/>
        <v>-7.3</v>
      </c>
      <c r="L25" s="317">
        <f t="shared" si="1"/>
        <v>1976</v>
      </c>
      <c r="M25" s="332">
        <f t="shared" si="2"/>
        <v>1.6</v>
      </c>
      <c r="N25" s="332">
        <f t="shared" si="3"/>
        <v>7.4</v>
      </c>
      <c r="O25" s="332">
        <f t="shared" si="4"/>
        <v>-9.6</v>
      </c>
    </row>
    <row r="26" spans="2:15">
      <c r="B26" s="80">
        <f t="shared" si="6"/>
        <v>1922</v>
      </c>
      <c r="C26" s="80">
        <v>0.5</v>
      </c>
      <c r="D26" s="80">
        <v>2.5</v>
      </c>
      <c r="E26" s="80">
        <v>-3.3</v>
      </c>
      <c r="H26" s="317">
        <f t="shared" si="5"/>
        <v>1922</v>
      </c>
      <c r="I26" s="332">
        <f t="shared" si="5"/>
        <v>0.5</v>
      </c>
      <c r="J26" s="332">
        <f t="shared" si="5"/>
        <v>2.5</v>
      </c>
      <c r="K26" s="332">
        <f t="shared" si="5"/>
        <v>-3.3</v>
      </c>
      <c r="L26" s="317">
        <f t="shared" si="1"/>
        <v>1977</v>
      </c>
      <c r="M26" s="332">
        <f t="shared" si="2"/>
        <v>1.1000000000000001</v>
      </c>
      <c r="N26" s="332">
        <f t="shared" si="3"/>
        <v>5</v>
      </c>
      <c r="O26" s="332">
        <f t="shared" si="4"/>
        <v>-6.8</v>
      </c>
    </row>
    <row r="27" spans="2:15">
      <c r="B27" s="80">
        <f t="shared" si="6"/>
        <v>1923</v>
      </c>
      <c r="C27" s="80">
        <v>-0.2</v>
      </c>
      <c r="D27" s="80">
        <v>-1</v>
      </c>
      <c r="E27" s="80">
        <v>1.4</v>
      </c>
      <c r="H27" s="317">
        <f t="shared" si="5"/>
        <v>1923</v>
      </c>
      <c r="I27" s="332">
        <f t="shared" si="5"/>
        <v>-0.2</v>
      </c>
      <c r="J27" s="332">
        <f t="shared" si="5"/>
        <v>-1</v>
      </c>
      <c r="K27" s="332">
        <f t="shared" si="5"/>
        <v>1.4</v>
      </c>
      <c r="L27" s="317">
        <f t="shared" si="1"/>
        <v>1978</v>
      </c>
      <c r="M27" s="332">
        <f t="shared" si="2"/>
        <v>0.4</v>
      </c>
      <c r="N27" s="332">
        <f t="shared" si="3"/>
        <v>1.9</v>
      </c>
      <c r="O27" s="332">
        <f t="shared" si="4"/>
        <v>-2.6</v>
      </c>
    </row>
    <row r="28" spans="2:15">
      <c r="B28" s="80">
        <f t="shared" si="6"/>
        <v>1924</v>
      </c>
      <c r="C28" s="80">
        <v>-0.9</v>
      </c>
      <c r="D28" s="80">
        <v>-4.3</v>
      </c>
      <c r="E28" s="80">
        <v>5.8</v>
      </c>
      <c r="H28" s="317">
        <f t="shared" si="5"/>
        <v>1924</v>
      </c>
      <c r="I28" s="332">
        <f t="shared" si="5"/>
        <v>-0.9</v>
      </c>
      <c r="J28" s="332">
        <f t="shared" si="5"/>
        <v>-4.3</v>
      </c>
      <c r="K28" s="332">
        <f t="shared" si="5"/>
        <v>5.8</v>
      </c>
      <c r="L28" s="317">
        <f t="shared" si="1"/>
        <v>1979</v>
      </c>
      <c r="M28" s="332">
        <f t="shared" si="2"/>
        <v>-0.3</v>
      </c>
      <c r="N28" s="332">
        <f t="shared" si="3"/>
        <v>-1.6</v>
      </c>
      <c r="O28" s="332">
        <f t="shared" si="4"/>
        <v>2.2000000000000002</v>
      </c>
    </row>
    <row r="29" spans="2:15">
      <c r="B29" s="80">
        <f t="shared" si="6"/>
        <v>1925</v>
      </c>
      <c r="C29" s="80">
        <v>-1.5</v>
      </c>
      <c r="D29" s="80">
        <v>-6.9</v>
      </c>
      <c r="E29" s="80">
        <v>9</v>
      </c>
      <c r="H29" s="317">
        <f t="shared" si="5"/>
        <v>1925</v>
      </c>
      <c r="I29" s="332">
        <f t="shared" si="5"/>
        <v>-1.5</v>
      </c>
      <c r="J29" s="332">
        <f t="shared" si="5"/>
        <v>-6.9</v>
      </c>
      <c r="K29" s="332">
        <f t="shared" si="5"/>
        <v>9</v>
      </c>
      <c r="L29" s="317">
        <f t="shared" si="1"/>
        <v>1980</v>
      </c>
      <c r="M29" s="332">
        <f t="shared" si="2"/>
        <v>-1</v>
      </c>
      <c r="N29" s="332">
        <f t="shared" si="3"/>
        <v>-4.8</v>
      </c>
      <c r="O29" s="332">
        <f t="shared" si="4"/>
        <v>6.4</v>
      </c>
    </row>
    <row r="30" spans="2:15">
      <c r="B30" s="80">
        <f t="shared" si="6"/>
        <v>1926</v>
      </c>
      <c r="C30" s="80">
        <v>-1.9</v>
      </c>
      <c r="D30" s="80">
        <v>-8.5</v>
      </c>
      <c r="E30" s="80">
        <v>10.7</v>
      </c>
      <c r="H30" s="317">
        <f t="shared" si="5"/>
        <v>1926</v>
      </c>
      <c r="I30" s="332">
        <f t="shared" si="5"/>
        <v>-1.9</v>
      </c>
      <c r="J30" s="332">
        <f t="shared" si="5"/>
        <v>-8.5</v>
      </c>
      <c r="K30" s="332">
        <f t="shared" si="5"/>
        <v>10.7</v>
      </c>
      <c r="L30" s="317">
        <f t="shared" si="1"/>
        <v>1981</v>
      </c>
      <c r="M30" s="332">
        <f t="shared" si="2"/>
        <v>-1.6</v>
      </c>
      <c r="N30" s="332">
        <f t="shared" si="3"/>
        <v>-7.3</v>
      </c>
      <c r="O30" s="332">
        <f t="shared" si="4"/>
        <v>9.4</v>
      </c>
    </row>
    <row r="31" spans="2:15">
      <c r="B31" s="80">
        <f t="shared" si="6"/>
        <v>1927</v>
      </c>
      <c r="C31" s="80">
        <v>-2.1</v>
      </c>
      <c r="D31" s="80">
        <v>-8.9</v>
      </c>
      <c r="E31" s="80">
        <v>10.9</v>
      </c>
      <c r="H31" s="317">
        <f t="shared" si="5"/>
        <v>1927</v>
      </c>
      <c r="I31" s="332">
        <f t="shared" si="5"/>
        <v>-2.1</v>
      </c>
      <c r="J31" s="332">
        <f t="shared" si="5"/>
        <v>-8.9</v>
      </c>
      <c r="K31" s="332">
        <f t="shared" si="5"/>
        <v>10.9</v>
      </c>
      <c r="L31" s="317">
        <f t="shared" si="1"/>
        <v>1982</v>
      </c>
      <c r="M31" s="332">
        <f t="shared" si="2"/>
        <v>-2</v>
      </c>
      <c r="N31" s="332">
        <f t="shared" si="3"/>
        <v>-8.6</v>
      </c>
      <c r="O31" s="332">
        <f t="shared" si="4"/>
        <v>10.8</v>
      </c>
    </row>
    <row r="32" spans="2:15">
      <c r="B32" s="80">
        <f t="shared" si="6"/>
        <v>1928</v>
      </c>
      <c r="C32" s="80">
        <v>-2.1</v>
      </c>
      <c r="D32" s="80">
        <v>-8.3000000000000007</v>
      </c>
      <c r="E32" s="80">
        <v>9.9</v>
      </c>
      <c r="H32" s="317">
        <f t="shared" si="5"/>
        <v>1928</v>
      </c>
      <c r="I32" s="332">
        <f t="shared" si="5"/>
        <v>-2.1</v>
      </c>
      <c r="J32" s="332">
        <f t="shared" si="5"/>
        <v>-8.3000000000000007</v>
      </c>
      <c r="K32" s="332">
        <f t="shared" si="5"/>
        <v>9.9</v>
      </c>
      <c r="L32" s="317">
        <f t="shared" si="1"/>
        <v>1983</v>
      </c>
      <c r="M32" s="332">
        <f t="shared" si="2"/>
        <v>-2.1</v>
      </c>
      <c r="N32" s="332">
        <f t="shared" si="3"/>
        <v>-8.9</v>
      </c>
      <c r="O32" s="332">
        <f t="shared" si="4"/>
        <v>10.8</v>
      </c>
    </row>
    <row r="33" spans="2:15">
      <c r="B33" s="80">
        <f t="shared" si="6"/>
        <v>1929</v>
      </c>
      <c r="C33" s="80">
        <v>-1.8</v>
      </c>
      <c r="D33" s="80">
        <v>-6.9</v>
      </c>
      <c r="E33" s="80">
        <v>8</v>
      </c>
      <c r="H33" s="317">
        <f t="shared" si="5"/>
        <v>1929</v>
      </c>
      <c r="I33" s="332">
        <f t="shared" si="5"/>
        <v>-1.8</v>
      </c>
      <c r="J33" s="332">
        <f t="shared" si="5"/>
        <v>-6.9</v>
      </c>
      <c r="K33" s="332">
        <f t="shared" si="5"/>
        <v>8</v>
      </c>
      <c r="L33" s="317">
        <f t="shared" si="1"/>
        <v>1984</v>
      </c>
      <c r="M33" s="332">
        <f t="shared" si="2"/>
        <v>-2.1</v>
      </c>
      <c r="N33" s="332">
        <f t="shared" si="3"/>
        <v>-8.1</v>
      </c>
      <c r="O33" s="332">
        <f t="shared" si="4"/>
        <v>9.5</v>
      </c>
    </row>
    <row r="34" spans="2:15">
      <c r="B34" s="80">
        <f t="shared" si="6"/>
        <v>1930</v>
      </c>
      <c r="C34" s="80">
        <v>-1.4</v>
      </c>
      <c r="D34" s="80">
        <v>-5</v>
      </c>
      <c r="E34" s="80">
        <v>5.6</v>
      </c>
      <c r="H34" s="317">
        <f t="shared" si="5"/>
        <v>1930</v>
      </c>
      <c r="I34" s="332">
        <f t="shared" si="5"/>
        <v>-1.4</v>
      </c>
      <c r="J34" s="332">
        <f t="shared" si="5"/>
        <v>-5</v>
      </c>
      <c r="K34" s="332">
        <f t="shared" si="5"/>
        <v>5.6</v>
      </c>
      <c r="L34" s="317">
        <f t="shared" si="1"/>
        <v>1985</v>
      </c>
      <c r="M34" s="332">
        <f t="shared" si="2"/>
        <v>-1.8</v>
      </c>
      <c r="N34" s="332">
        <f t="shared" si="3"/>
        <v>-6.7</v>
      </c>
      <c r="O34" s="332">
        <f t="shared" si="4"/>
        <v>7.7</v>
      </c>
    </row>
    <row r="35" spans="2:15">
      <c r="B35" s="80">
        <f t="shared" si="6"/>
        <v>1931</v>
      </c>
      <c r="C35" s="80">
        <v>-0.7</v>
      </c>
      <c r="D35" s="80">
        <v>-2.6</v>
      </c>
      <c r="E35" s="80">
        <v>2.9</v>
      </c>
      <c r="H35" s="317">
        <f t="shared" si="5"/>
        <v>1931</v>
      </c>
      <c r="I35" s="332">
        <f t="shared" si="5"/>
        <v>-0.7</v>
      </c>
      <c r="J35" s="332">
        <f t="shared" si="5"/>
        <v>-2.6</v>
      </c>
      <c r="K35" s="332">
        <f t="shared" si="5"/>
        <v>2.9</v>
      </c>
      <c r="L35" s="317">
        <f t="shared" si="1"/>
        <v>1986</v>
      </c>
      <c r="M35" s="332">
        <f t="shared" si="2"/>
        <v>-1.3</v>
      </c>
      <c r="N35" s="332">
        <f t="shared" si="3"/>
        <v>-4.5999999999999996</v>
      </c>
      <c r="O35" s="332">
        <f t="shared" si="4"/>
        <v>5.2</v>
      </c>
    </row>
    <row r="36" spans="2:15">
      <c r="B36" s="80">
        <f t="shared" si="6"/>
        <v>1932</v>
      </c>
      <c r="C36" s="80">
        <v>0</v>
      </c>
      <c r="D36" s="80">
        <v>0</v>
      </c>
      <c r="E36" s="80">
        <v>0</v>
      </c>
      <c r="H36" s="317">
        <f t="shared" si="5"/>
        <v>1932</v>
      </c>
      <c r="I36" s="332">
        <f t="shared" si="5"/>
        <v>0</v>
      </c>
      <c r="J36" s="332">
        <f t="shared" si="5"/>
        <v>0</v>
      </c>
      <c r="K36" s="332">
        <f t="shared" si="5"/>
        <v>0</v>
      </c>
      <c r="L36" s="317">
        <f t="shared" ref="L36:L57" si="7">B91</f>
        <v>1987</v>
      </c>
      <c r="M36" s="332">
        <f t="shared" ref="M36:M57" si="8">C91</f>
        <v>-0.6</v>
      </c>
      <c r="N36" s="332">
        <f t="shared" ref="N36:N57" si="9">D91</f>
        <v>-2.2000000000000002</v>
      </c>
      <c r="O36" s="332">
        <f t="shared" ref="O36:O57" si="10">E91</f>
        <v>2.5</v>
      </c>
    </row>
    <row r="37" spans="2:15">
      <c r="B37" s="80">
        <f t="shared" si="6"/>
        <v>1933</v>
      </c>
      <c r="C37" s="80">
        <v>0.7</v>
      </c>
      <c r="D37" s="80">
        <v>2.5</v>
      </c>
      <c r="E37" s="80">
        <v>-2.8</v>
      </c>
      <c r="H37" s="317">
        <f t="shared" si="5"/>
        <v>1933</v>
      </c>
      <c r="I37" s="332">
        <f t="shared" si="5"/>
        <v>0.7</v>
      </c>
      <c r="J37" s="332">
        <f t="shared" si="5"/>
        <v>2.5</v>
      </c>
      <c r="K37" s="332">
        <f t="shared" si="5"/>
        <v>-2.8</v>
      </c>
      <c r="L37" s="317">
        <f t="shared" si="7"/>
        <v>1988</v>
      </c>
      <c r="M37" s="332">
        <f t="shared" si="8"/>
        <v>0.1</v>
      </c>
      <c r="N37" s="332">
        <f t="shared" si="9"/>
        <v>0.4</v>
      </c>
      <c r="O37" s="332">
        <f t="shared" si="10"/>
        <v>-0.4</v>
      </c>
    </row>
    <row r="38" spans="2:15">
      <c r="B38" s="80">
        <f t="shared" si="6"/>
        <v>1934</v>
      </c>
      <c r="C38" s="80">
        <v>1.3</v>
      </c>
      <c r="D38" s="80">
        <v>4.9000000000000004</v>
      </c>
      <c r="E38" s="80">
        <v>-5.6</v>
      </c>
      <c r="H38" s="317">
        <f t="shared" si="5"/>
        <v>1934</v>
      </c>
      <c r="I38" s="332">
        <f t="shared" si="5"/>
        <v>1.3</v>
      </c>
      <c r="J38" s="332">
        <f t="shared" si="5"/>
        <v>4.9000000000000004</v>
      </c>
      <c r="K38" s="332">
        <f t="shared" si="5"/>
        <v>-5.6</v>
      </c>
      <c r="L38" s="317">
        <f t="shared" si="7"/>
        <v>1989</v>
      </c>
      <c r="M38" s="332">
        <f t="shared" si="8"/>
        <v>0.8</v>
      </c>
      <c r="N38" s="332">
        <f t="shared" si="9"/>
        <v>2.9</v>
      </c>
      <c r="O38" s="332">
        <f t="shared" si="10"/>
        <v>-3.3</v>
      </c>
    </row>
    <row r="39" spans="2:15">
      <c r="B39" s="80">
        <f t="shared" si="6"/>
        <v>1935</v>
      </c>
      <c r="C39" s="80">
        <v>1.8</v>
      </c>
      <c r="D39" s="80">
        <v>6.9</v>
      </c>
      <c r="E39" s="80">
        <v>-8</v>
      </c>
      <c r="H39" s="317">
        <f t="shared" si="5"/>
        <v>1935</v>
      </c>
      <c r="I39" s="332">
        <f t="shared" si="5"/>
        <v>1.8</v>
      </c>
      <c r="J39" s="332">
        <f t="shared" si="5"/>
        <v>6.9</v>
      </c>
      <c r="K39" s="332">
        <f t="shared" si="5"/>
        <v>-8</v>
      </c>
      <c r="L39" s="317">
        <f t="shared" si="7"/>
        <v>1990</v>
      </c>
      <c r="M39" s="332">
        <f t="shared" si="8"/>
        <v>1.4</v>
      </c>
      <c r="N39" s="332">
        <f t="shared" si="9"/>
        <v>5.3</v>
      </c>
      <c r="O39" s="332">
        <f t="shared" si="10"/>
        <v>-6</v>
      </c>
    </row>
    <row r="40" spans="2:15">
      <c r="B40" s="80">
        <f t="shared" si="6"/>
        <v>1936</v>
      </c>
      <c r="C40" s="80">
        <v>2.1</v>
      </c>
      <c r="D40" s="80">
        <v>8.3000000000000007</v>
      </c>
      <c r="E40" s="80">
        <v>-9.8000000000000007</v>
      </c>
      <c r="H40" s="317">
        <f t="shared" si="5"/>
        <v>1936</v>
      </c>
      <c r="I40" s="332">
        <f t="shared" si="5"/>
        <v>2.1</v>
      </c>
      <c r="J40" s="332">
        <f t="shared" si="5"/>
        <v>8.3000000000000007</v>
      </c>
      <c r="K40" s="332">
        <f t="shared" si="5"/>
        <v>-9.8000000000000007</v>
      </c>
      <c r="L40" s="317">
        <f t="shared" si="7"/>
        <v>1991</v>
      </c>
      <c r="M40" s="332">
        <f t="shared" si="8"/>
        <v>1.9</v>
      </c>
      <c r="N40" s="332">
        <f t="shared" si="9"/>
        <v>7.2</v>
      </c>
      <c r="O40" s="332">
        <f t="shared" si="10"/>
        <v>-8.3000000000000007</v>
      </c>
    </row>
    <row r="41" spans="2:15">
      <c r="B41" s="80">
        <f t="shared" si="6"/>
        <v>1937</v>
      </c>
      <c r="C41" s="80">
        <v>2.1</v>
      </c>
      <c r="D41" s="80">
        <v>8.9</v>
      </c>
      <c r="E41" s="80">
        <v>-10.8</v>
      </c>
      <c r="H41" s="317">
        <f t="shared" si="5"/>
        <v>1937</v>
      </c>
      <c r="I41" s="332">
        <f t="shared" si="5"/>
        <v>2.1</v>
      </c>
      <c r="J41" s="332">
        <f t="shared" si="5"/>
        <v>8.9</v>
      </c>
      <c r="K41" s="332">
        <f t="shared" si="5"/>
        <v>-10.8</v>
      </c>
      <c r="L41" s="317">
        <f t="shared" si="7"/>
        <v>1992</v>
      </c>
      <c r="M41" s="332">
        <f t="shared" si="8"/>
        <v>2.1</v>
      </c>
      <c r="N41" s="332">
        <f t="shared" si="9"/>
        <v>8.5</v>
      </c>
      <c r="O41" s="332">
        <f t="shared" si="10"/>
        <v>-10</v>
      </c>
    </row>
    <row r="42" spans="2:15">
      <c r="B42" s="80">
        <f t="shared" si="6"/>
        <v>1938</v>
      </c>
      <c r="C42" s="80">
        <v>1.9</v>
      </c>
      <c r="D42" s="80">
        <v>8.5</v>
      </c>
      <c r="E42" s="80">
        <v>-10.7</v>
      </c>
      <c r="H42" s="317">
        <f t="shared" si="5"/>
        <v>1938</v>
      </c>
      <c r="I42" s="332">
        <f t="shared" si="5"/>
        <v>1.9</v>
      </c>
      <c r="J42" s="332">
        <f t="shared" si="5"/>
        <v>8.5</v>
      </c>
      <c r="K42" s="332">
        <f t="shared" si="5"/>
        <v>-10.7</v>
      </c>
      <c r="L42" s="317">
        <f t="shared" si="7"/>
        <v>1993</v>
      </c>
      <c r="M42" s="332">
        <f t="shared" si="8"/>
        <v>2.1</v>
      </c>
      <c r="N42" s="332">
        <f t="shared" si="9"/>
        <v>8.9</v>
      </c>
      <c r="O42" s="332">
        <f t="shared" si="10"/>
        <v>-10.9</v>
      </c>
    </row>
    <row r="43" spans="2:15">
      <c r="B43" s="80">
        <f t="shared" si="6"/>
        <v>1939</v>
      </c>
      <c r="C43" s="80">
        <v>1.5</v>
      </c>
      <c r="D43" s="80">
        <v>7</v>
      </c>
      <c r="E43" s="80">
        <v>-9.1</v>
      </c>
      <c r="H43" s="317">
        <f t="shared" si="5"/>
        <v>1939</v>
      </c>
      <c r="I43" s="332">
        <f t="shared" si="5"/>
        <v>1.5</v>
      </c>
      <c r="J43" s="332">
        <f t="shared" si="5"/>
        <v>7</v>
      </c>
      <c r="K43" s="332">
        <f t="shared" si="5"/>
        <v>-9.1</v>
      </c>
      <c r="L43" s="317">
        <f t="shared" si="7"/>
        <v>1994</v>
      </c>
      <c r="M43" s="332">
        <f t="shared" si="8"/>
        <v>1.9</v>
      </c>
      <c r="N43" s="332">
        <f t="shared" si="9"/>
        <v>8.3000000000000007</v>
      </c>
      <c r="O43" s="332">
        <f t="shared" si="10"/>
        <v>-10.6</v>
      </c>
    </row>
    <row r="44" spans="2:15">
      <c r="B44" s="80">
        <f t="shared" si="6"/>
        <v>1940</v>
      </c>
      <c r="C44" s="80">
        <v>0.9</v>
      </c>
      <c r="D44" s="80">
        <v>4.4000000000000004</v>
      </c>
      <c r="E44" s="80">
        <v>-5.9</v>
      </c>
      <c r="H44" s="317">
        <f t="shared" si="5"/>
        <v>1940</v>
      </c>
      <c r="I44" s="332">
        <f t="shared" si="5"/>
        <v>0.9</v>
      </c>
      <c r="J44" s="332">
        <f t="shared" si="5"/>
        <v>4.4000000000000004</v>
      </c>
      <c r="K44" s="332">
        <f t="shared" si="5"/>
        <v>-5.9</v>
      </c>
      <c r="L44" s="317">
        <f t="shared" si="7"/>
        <v>1995</v>
      </c>
      <c r="M44" s="332">
        <f t="shared" si="8"/>
        <v>1.4</v>
      </c>
      <c r="N44" s="332">
        <f t="shared" si="9"/>
        <v>6.6</v>
      </c>
      <c r="O44" s="332">
        <f t="shared" si="10"/>
        <v>-8.6999999999999993</v>
      </c>
    </row>
    <row r="45" spans="2:15">
      <c r="B45" s="80">
        <f t="shared" si="6"/>
        <v>1941</v>
      </c>
      <c r="C45" s="80">
        <v>0.2</v>
      </c>
      <c r="D45" s="80">
        <v>1.1000000000000001</v>
      </c>
      <c r="E45" s="80">
        <v>-1.5</v>
      </c>
      <c r="H45" s="317">
        <f t="shared" si="5"/>
        <v>1941</v>
      </c>
      <c r="I45" s="332">
        <f t="shared" si="5"/>
        <v>0.2</v>
      </c>
      <c r="J45" s="332">
        <f t="shared" si="5"/>
        <v>1.1000000000000001</v>
      </c>
      <c r="K45" s="332">
        <f t="shared" si="5"/>
        <v>-1.5</v>
      </c>
      <c r="L45" s="317">
        <f t="shared" si="7"/>
        <v>1996</v>
      </c>
      <c r="M45" s="332">
        <f t="shared" si="8"/>
        <v>0.8</v>
      </c>
      <c r="N45" s="332">
        <f t="shared" si="9"/>
        <v>3.9</v>
      </c>
      <c r="O45" s="332">
        <f t="shared" si="10"/>
        <v>-5.3</v>
      </c>
    </row>
    <row r="46" spans="2:15">
      <c r="B46" s="80">
        <f t="shared" si="6"/>
        <v>1942</v>
      </c>
      <c r="C46" s="80">
        <v>-0.5</v>
      </c>
      <c r="D46" s="80">
        <v>-2.4</v>
      </c>
      <c r="E46" s="80">
        <v>3.2</v>
      </c>
      <c r="H46" s="317">
        <f t="shared" si="5"/>
        <v>1942</v>
      </c>
      <c r="I46" s="332">
        <f t="shared" si="5"/>
        <v>-0.5</v>
      </c>
      <c r="J46" s="332">
        <f t="shared" si="5"/>
        <v>-2.4</v>
      </c>
      <c r="K46" s="332">
        <f t="shared" si="5"/>
        <v>3.2</v>
      </c>
      <c r="L46" s="317">
        <f t="shared" si="7"/>
        <v>1997</v>
      </c>
      <c r="M46" s="332">
        <f t="shared" si="8"/>
        <v>0.1</v>
      </c>
      <c r="N46" s="332">
        <f t="shared" si="9"/>
        <v>0.6</v>
      </c>
      <c r="O46" s="332">
        <f t="shared" si="10"/>
        <v>-0.8</v>
      </c>
    </row>
    <row r="47" spans="2:15">
      <c r="B47" s="80">
        <f t="shared" si="6"/>
        <v>1943</v>
      </c>
      <c r="C47" s="80">
        <v>-1.1000000000000001</v>
      </c>
      <c r="D47" s="80">
        <v>-5.5</v>
      </c>
      <c r="E47" s="80">
        <v>7.2</v>
      </c>
      <c r="H47" s="317">
        <f t="shared" si="5"/>
        <v>1943</v>
      </c>
      <c r="I47" s="332">
        <f t="shared" si="5"/>
        <v>-1.1000000000000001</v>
      </c>
      <c r="J47" s="332">
        <f t="shared" si="5"/>
        <v>-5.5</v>
      </c>
      <c r="K47" s="332">
        <f t="shared" si="5"/>
        <v>7.2</v>
      </c>
      <c r="L47" s="317">
        <f t="shared" si="7"/>
        <v>1998</v>
      </c>
      <c r="M47" s="332">
        <f t="shared" si="8"/>
        <v>-0.6</v>
      </c>
      <c r="N47" s="332">
        <f t="shared" si="9"/>
        <v>-2.9</v>
      </c>
      <c r="O47" s="332">
        <f t="shared" si="10"/>
        <v>3.9</v>
      </c>
    </row>
    <row r="48" spans="2:15">
      <c r="B48" s="80">
        <f t="shared" si="6"/>
        <v>1944</v>
      </c>
      <c r="C48" s="80">
        <v>-1.7</v>
      </c>
      <c r="D48" s="80">
        <v>-7.7</v>
      </c>
      <c r="E48" s="80">
        <v>9.9</v>
      </c>
      <c r="H48" s="317">
        <f t="shared" si="5"/>
        <v>1944</v>
      </c>
      <c r="I48" s="332">
        <f t="shared" si="5"/>
        <v>-1.7</v>
      </c>
      <c r="J48" s="332">
        <f t="shared" si="5"/>
        <v>-7.7</v>
      </c>
      <c r="K48" s="332">
        <f t="shared" si="5"/>
        <v>9.9</v>
      </c>
      <c r="L48" s="317">
        <f t="shared" si="7"/>
        <v>1999</v>
      </c>
      <c r="M48" s="332">
        <f t="shared" si="8"/>
        <v>-1.2</v>
      </c>
      <c r="N48" s="332">
        <f t="shared" si="9"/>
        <v>-5.9</v>
      </c>
      <c r="O48" s="332">
        <f t="shared" si="10"/>
        <v>7.8</v>
      </c>
    </row>
    <row r="49" spans="2:15">
      <c r="B49" s="80">
        <f t="shared" si="6"/>
        <v>1945</v>
      </c>
      <c r="C49" s="80">
        <v>-2</v>
      </c>
      <c r="D49" s="80">
        <v>-8.8000000000000007</v>
      </c>
      <c r="E49" s="80">
        <v>10.9</v>
      </c>
      <c r="H49" s="317">
        <f t="shared" si="5"/>
        <v>1945</v>
      </c>
      <c r="I49" s="332">
        <f t="shared" si="5"/>
        <v>-2</v>
      </c>
      <c r="J49" s="332">
        <f t="shared" si="5"/>
        <v>-8.8000000000000007</v>
      </c>
      <c r="K49" s="332">
        <f t="shared" si="5"/>
        <v>10.9</v>
      </c>
      <c r="L49" s="317">
        <f t="shared" si="7"/>
        <v>2000</v>
      </c>
      <c r="M49" s="332">
        <f t="shared" si="8"/>
        <v>-1.7</v>
      </c>
      <c r="N49" s="332">
        <f t="shared" si="9"/>
        <v>-7.9</v>
      </c>
      <c r="O49" s="332">
        <f t="shared" si="10"/>
        <v>10.1</v>
      </c>
    </row>
    <row r="50" spans="2:15">
      <c r="B50" s="80">
        <f t="shared" si="6"/>
        <v>1946</v>
      </c>
      <c r="C50" s="80">
        <v>-2.1</v>
      </c>
      <c r="D50" s="80">
        <v>-8.8000000000000007</v>
      </c>
      <c r="E50" s="80">
        <v>10.6</v>
      </c>
      <c r="H50" s="317">
        <f t="shared" si="5"/>
        <v>1946</v>
      </c>
      <c r="I50" s="332">
        <f t="shared" si="5"/>
        <v>-2.1</v>
      </c>
      <c r="J50" s="332">
        <f t="shared" si="5"/>
        <v>-8.8000000000000007</v>
      </c>
      <c r="K50" s="332">
        <f t="shared" si="5"/>
        <v>10.6</v>
      </c>
      <c r="L50" s="317">
        <f t="shared" si="7"/>
        <v>2001</v>
      </c>
      <c r="M50" s="332">
        <f t="shared" si="8"/>
        <v>-2.1</v>
      </c>
      <c r="N50" s="332">
        <f t="shared" si="9"/>
        <v>-8.9</v>
      </c>
      <c r="O50" s="332">
        <f t="shared" si="10"/>
        <v>10.9</v>
      </c>
    </row>
    <row r="51" spans="2:15">
      <c r="B51" s="80">
        <f t="shared" si="6"/>
        <v>1947</v>
      </c>
      <c r="C51" s="80">
        <v>-2</v>
      </c>
      <c r="D51" s="80">
        <v>-7.9</v>
      </c>
      <c r="E51" s="80">
        <v>9.1999999999999993</v>
      </c>
      <c r="H51" s="317">
        <f t="shared" si="5"/>
        <v>1947</v>
      </c>
      <c r="I51" s="332">
        <f t="shared" si="5"/>
        <v>-2</v>
      </c>
      <c r="J51" s="332">
        <f t="shared" si="5"/>
        <v>-7.9</v>
      </c>
      <c r="K51" s="332">
        <f t="shared" si="5"/>
        <v>9.1999999999999993</v>
      </c>
      <c r="L51" s="317">
        <f t="shared" si="7"/>
        <v>2002</v>
      </c>
      <c r="M51" s="332">
        <f t="shared" si="8"/>
        <v>-2.1</v>
      </c>
      <c r="N51" s="332">
        <f t="shared" si="9"/>
        <v>-8.5</v>
      </c>
      <c r="O51" s="332">
        <f t="shared" si="10"/>
        <v>10.199999999999999</v>
      </c>
    </row>
    <row r="52" spans="2:15">
      <c r="B52" s="80">
        <f t="shared" si="6"/>
        <v>1948</v>
      </c>
      <c r="C52" s="80">
        <v>-1.7</v>
      </c>
      <c r="D52" s="80">
        <v>-6.2</v>
      </c>
      <c r="E52" s="80">
        <v>7.2</v>
      </c>
      <c r="H52" s="317">
        <f t="shared" si="5"/>
        <v>1948</v>
      </c>
      <c r="I52" s="332">
        <f t="shared" si="5"/>
        <v>-1.7</v>
      </c>
      <c r="J52" s="332">
        <f t="shared" si="5"/>
        <v>-6.2</v>
      </c>
      <c r="K52" s="332">
        <f t="shared" si="5"/>
        <v>7.2</v>
      </c>
      <c r="L52" s="317">
        <f t="shared" si="7"/>
        <v>2003</v>
      </c>
      <c r="M52" s="332">
        <f t="shared" si="8"/>
        <v>-1.9</v>
      </c>
      <c r="N52" s="332">
        <f t="shared" si="9"/>
        <v>-7.3</v>
      </c>
      <c r="O52" s="332">
        <f t="shared" si="10"/>
        <v>8.5</v>
      </c>
    </row>
    <row r="53" spans="2:15">
      <c r="B53" s="80">
        <f t="shared" si="6"/>
        <v>1949</v>
      </c>
      <c r="C53" s="80">
        <v>-1.1000000000000001</v>
      </c>
      <c r="D53" s="80">
        <v>-4.0999999999999996</v>
      </c>
      <c r="E53" s="80">
        <v>4.8</v>
      </c>
      <c r="H53" s="317">
        <f t="shared" si="5"/>
        <v>1949</v>
      </c>
      <c r="I53" s="332">
        <f t="shared" si="5"/>
        <v>-1.1000000000000001</v>
      </c>
      <c r="J53" s="332">
        <f t="shared" si="5"/>
        <v>-4.0999999999999996</v>
      </c>
      <c r="K53" s="332">
        <f t="shared" si="5"/>
        <v>4.8</v>
      </c>
      <c r="L53" s="317">
        <f t="shared" si="7"/>
        <v>2004</v>
      </c>
      <c r="M53" s="332">
        <f t="shared" si="8"/>
        <v>-1.5</v>
      </c>
      <c r="N53" s="332">
        <f t="shared" si="9"/>
        <v>-5.5</v>
      </c>
      <c r="O53" s="332">
        <f t="shared" si="10"/>
        <v>6.2</v>
      </c>
    </row>
    <row r="54" spans="2:15">
      <c r="B54" s="80">
        <f t="shared" si="6"/>
        <v>1950</v>
      </c>
      <c r="C54" s="80">
        <v>-0.5</v>
      </c>
      <c r="D54" s="80">
        <v>-1.6</v>
      </c>
      <c r="E54" s="80">
        <v>1.8</v>
      </c>
      <c r="H54" s="317">
        <f t="shared" si="5"/>
        <v>1950</v>
      </c>
      <c r="I54" s="332">
        <f t="shared" si="5"/>
        <v>-0.5</v>
      </c>
      <c r="J54" s="332">
        <f t="shared" si="5"/>
        <v>-1.6</v>
      </c>
      <c r="K54" s="332">
        <f t="shared" si="5"/>
        <v>1.8</v>
      </c>
      <c r="L54" s="317">
        <f t="shared" si="7"/>
        <v>2005</v>
      </c>
      <c r="M54" s="332">
        <f t="shared" si="8"/>
        <v>-0.9</v>
      </c>
      <c r="N54" s="332">
        <f t="shared" si="9"/>
        <v>-3.2</v>
      </c>
      <c r="O54" s="332">
        <f t="shared" si="10"/>
        <v>3.6</v>
      </c>
    </row>
    <row r="55" spans="2:15">
      <c r="B55" s="80">
        <f t="shared" si="6"/>
        <v>1951</v>
      </c>
      <c r="C55" s="80">
        <v>0.3</v>
      </c>
      <c r="D55" s="80">
        <v>1</v>
      </c>
      <c r="E55" s="80">
        <v>-1.1000000000000001</v>
      </c>
      <c r="H55" s="317">
        <f t="shared" si="5"/>
        <v>1951</v>
      </c>
      <c r="I55" s="332">
        <f t="shared" si="5"/>
        <v>0.3</v>
      </c>
      <c r="J55" s="332">
        <f t="shared" si="5"/>
        <v>1</v>
      </c>
      <c r="K55" s="332">
        <f t="shared" si="5"/>
        <v>-1.1000000000000001</v>
      </c>
      <c r="L55" s="317">
        <f t="shared" si="7"/>
        <v>2006</v>
      </c>
      <c r="M55" s="332">
        <f t="shared" si="8"/>
        <v>-0.2</v>
      </c>
      <c r="N55" s="332">
        <f t="shared" si="9"/>
        <v>-0.6</v>
      </c>
      <c r="O55" s="332">
        <f t="shared" si="10"/>
        <v>0.7</v>
      </c>
    </row>
    <row r="56" spans="2:15">
      <c r="B56" s="80">
        <f t="shared" si="6"/>
        <v>1952</v>
      </c>
      <c r="C56" s="80">
        <v>1</v>
      </c>
      <c r="D56" s="80">
        <v>3.5</v>
      </c>
      <c r="E56" s="80">
        <v>-3.9</v>
      </c>
      <c r="H56" s="317">
        <f t="shared" si="5"/>
        <v>1952</v>
      </c>
      <c r="I56" s="332">
        <f t="shared" si="5"/>
        <v>1</v>
      </c>
      <c r="J56" s="332">
        <f t="shared" si="5"/>
        <v>3.5</v>
      </c>
      <c r="K56" s="332">
        <f t="shared" si="5"/>
        <v>-3.9</v>
      </c>
      <c r="L56" s="317">
        <f t="shared" si="7"/>
        <v>2007</v>
      </c>
      <c r="M56" s="332">
        <f t="shared" si="8"/>
        <v>0.58610899999999999</v>
      </c>
      <c r="N56" s="332">
        <f t="shared" si="9"/>
        <v>2.0021499999999999</v>
      </c>
      <c r="O56" s="332">
        <f t="shared" si="10"/>
        <v>-2.31162</v>
      </c>
    </row>
    <row r="57" spans="2:15">
      <c r="B57" s="80">
        <f t="shared" si="6"/>
        <v>1953</v>
      </c>
      <c r="C57" s="80">
        <v>1.5</v>
      </c>
      <c r="D57" s="80">
        <v>5.7</v>
      </c>
      <c r="E57" s="80">
        <v>-6.5</v>
      </c>
      <c r="H57" s="317">
        <f t="shared" si="5"/>
        <v>1953</v>
      </c>
      <c r="I57" s="332">
        <f t="shared" si="5"/>
        <v>1.5</v>
      </c>
      <c r="J57" s="332">
        <f t="shared" si="5"/>
        <v>5.7</v>
      </c>
      <c r="K57" s="332">
        <f t="shared" si="5"/>
        <v>-6.5</v>
      </c>
      <c r="L57" s="317">
        <f t="shared" si="7"/>
        <v>2008</v>
      </c>
      <c r="M57" s="332">
        <f t="shared" si="8"/>
        <v>1.3</v>
      </c>
      <c r="N57" s="332">
        <f t="shared" si="9"/>
        <v>5.2</v>
      </c>
      <c r="O57" s="332">
        <f t="shared" si="10"/>
        <v>-5</v>
      </c>
    </row>
    <row r="58" spans="2:15" ht="15" thickBot="1">
      <c r="B58" s="80">
        <f t="shared" si="6"/>
        <v>1954</v>
      </c>
      <c r="C58" s="80">
        <v>1.9</v>
      </c>
      <c r="D58" s="80">
        <v>7.5</v>
      </c>
      <c r="E58" s="80">
        <v>-8.8000000000000007</v>
      </c>
      <c r="H58" s="321">
        <f t="shared" si="5"/>
        <v>1954</v>
      </c>
      <c r="I58" s="335">
        <f t="shared" si="5"/>
        <v>1.9</v>
      </c>
      <c r="J58" s="335">
        <f t="shared" si="5"/>
        <v>7.5</v>
      </c>
      <c r="K58" s="335">
        <f t="shared" si="5"/>
        <v>-8.8000000000000007</v>
      </c>
      <c r="L58" s="317">
        <f t="shared" ref="L58:O61" si="11">B113</f>
        <v>2009</v>
      </c>
      <c r="M58" s="332">
        <f t="shared" si="11"/>
        <v>1.7</v>
      </c>
      <c r="N58" s="332">
        <f t="shared" si="11"/>
        <v>7</v>
      </c>
      <c r="O58" s="332">
        <f t="shared" si="11"/>
        <v>-7.5116199999999989</v>
      </c>
    </row>
    <row r="59" spans="2:15">
      <c r="B59" s="80">
        <f t="shared" si="6"/>
        <v>1955</v>
      </c>
      <c r="C59" s="80">
        <v>2.1</v>
      </c>
      <c r="D59" s="80">
        <v>8.6</v>
      </c>
      <c r="E59" s="80">
        <v>-10.3</v>
      </c>
      <c r="L59" s="317">
        <f t="shared" si="11"/>
        <v>2010</v>
      </c>
      <c r="M59" s="332">
        <f t="shared" si="11"/>
        <v>2</v>
      </c>
      <c r="N59" s="332">
        <f t="shared" si="11"/>
        <v>8.1</v>
      </c>
      <c r="O59" s="332">
        <f t="shared" si="11"/>
        <v>-9.3116199999999996</v>
      </c>
    </row>
    <row r="60" spans="2:15">
      <c r="B60" s="80">
        <f t="shared" si="6"/>
        <v>1956</v>
      </c>
      <c r="C60" s="80">
        <v>2.1</v>
      </c>
      <c r="D60" s="80">
        <v>8.9</v>
      </c>
      <c r="E60" s="80">
        <v>-11</v>
      </c>
      <c r="L60" s="317">
        <f t="shared" si="11"/>
        <v>2011</v>
      </c>
      <c r="M60" s="332">
        <f t="shared" si="11"/>
        <v>2</v>
      </c>
      <c r="N60" s="332">
        <f t="shared" si="11"/>
        <v>8.4</v>
      </c>
      <c r="O60" s="332">
        <f t="shared" si="11"/>
        <v>-10.31162</v>
      </c>
    </row>
    <row r="61" spans="2:15" ht="15" thickBot="1">
      <c r="B61" s="80">
        <f t="shared" si="6"/>
        <v>1957</v>
      </c>
      <c r="C61" s="80">
        <v>1.8</v>
      </c>
      <c r="D61" s="80">
        <v>8</v>
      </c>
      <c r="E61" s="80">
        <v>-10.3</v>
      </c>
      <c r="L61" s="321">
        <f t="shared" si="11"/>
        <v>2012</v>
      </c>
      <c r="M61" s="335">
        <f t="shared" si="11"/>
        <v>1.8</v>
      </c>
      <c r="N61" s="335">
        <f t="shared" si="11"/>
        <v>7.5</v>
      </c>
      <c r="O61" s="335">
        <f t="shared" si="11"/>
        <v>-10.211619999999998</v>
      </c>
    </row>
    <row r="62" spans="2:15">
      <c r="B62" s="80">
        <f t="shared" si="6"/>
        <v>1958</v>
      </c>
      <c r="C62" s="80">
        <v>1.3</v>
      </c>
      <c r="D62" s="80">
        <v>6.1</v>
      </c>
      <c r="E62" s="80">
        <v>-8.1</v>
      </c>
      <c r="L62" s="460"/>
      <c r="M62" s="463"/>
      <c r="N62" s="463"/>
      <c r="O62" s="463"/>
    </row>
    <row r="63" spans="2:15">
      <c r="B63" s="80">
        <f t="shared" si="6"/>
        <v>1959</v>
      </c>
      <c r="C63" s="80">
        <v>0.7</v>
      </c>
      <c r="D63" s="80">
        <v>3.2</v>
      </c>
      <c r="E63" s="80">
        <v>-4.3</v>
      </c>
      <c r="L63" s="460"/>
      <c r="M63" s="463"/>
      <c r="N63" s="463"/>
      <c r="O63" s="463"/>
    </row>
    <row r="64" spans="2:15">
      <c r="B64" s="80">
        <f t="shared" si="6"/>
        <v>1960</v>
      </c>
      <c r="C64" s="80">
        <v>-0.1</v>
      </c>
      <c r="D64" s="80">
        <v>-0.2</v>
      </c>
      <c r="E64" s="80">
        <v>0.3</v>
      </c>
    </row>
    <row r="65" spans="2:5">
      <c r="B65" s="80">
        <f t="shared" si="6"/>
        <v>1961</v>
      </c>
      <c r="C65" s="80">
        <v>-0.8</v>
      </c>
      <c r="D65" s="80">
        <v>-3.7</v>
      </c>
      <c r="E65" s="80">
        <v>4.9000000000000004</v>
      </c>
    </row>
    <row r="66" spans="2:5">
      <c r="B66" s="80">
        <f t="shared" si="6"/>
        <v>1962</v>
      </c>
      <c r="C66" s="80">
        <v>-1.4</v>
      </c>
      <c r="D66" s="80">
        <v>-6.4</v>
      </c>
      <c r="E66" s="80">
        <v>8.5</v>
      </c>
    </row>
    <row r="67" spans="2:5">
      <c r="B67" s="80">
        <f t="shared" si="6"/>
        <v>1963</v>
      </c>
      <c r="C67" s="80">
        <v>-1.8</v>
      </c>
      <c r="D67" s="80">
        <v>-8.1999999999999993</v>
      </c>
      <c r="E67" s="80">
        <v>10.5</v>
      </c>
    </row>
    <row r="68" spans="2:5">
      <c r="B68" s="80">
        <f t="shared" si="6"/>
        <v>1964</v>
      </c>
      <c r="C68" s="80">
        <v>-2.1</v>
      </c>
      <c r="D68" s="80">
        <v>-8.9</v>
      </c>
      <c r="E68" s="80">
        <v>10.9</v>
      </c>
    </row>
    <row r="69" spans="2:5">
      <c r="B69" s="80">
        <f t="shared" si="6"/>
        <v>1965</v>
      </c>
      <c r="C69" s="80">
        <v>-2.1</v>
      </c>
      <c r="D69" s="80">
        <v>-8.5</v>
      </c>
      <c r="E69" s="80">
        <v>10.199999999999999</v>
      </c>
    </row>
    <row r="70" spans="2:5">
      <c r="B70" s="80">
        <f t="shared" ref="B70:B116" si="12">B69+1</f>
        <v>1966</v>
      </c>
      <c r="C70" s="80">
        <v>-1.9</v>
      </c>
      <c r="D70" s="80">
        <v>-7.3</v>
      </c>
      <c r="E70" s="80">
        <v>8.5</v>
      </c>
    </row>
    <row r="71" spans="2:5">
      <c r="B71" s="80">
        <f t="shared" si="12"/>
        <v>1967</v>
      </c>
      <c r="C71" s="80">
        <v>-1.5</v>
      </c>
      <c r="D71" s="80">
        <v>-5.5</v>
      </c>
      <c r="E71" s="80">
        <v>6.2</v>
      </c>
    </row>
    <row r="72" spans="2:5">
      <c r="B72" s="80">
        <f t="shared" si="12"/>
        <v>1968</v>
      </c>
      <c r="C72" s="80">
        <v>-0.9</v>
      </c>
      <c r="D72" s="80">
        <v>-3.2</v>
      </c>
      <c r="E72" s="80">
        <v>3.6</v>
      </c>
    </row>
    <row r="73" spans="2:5">
      <c r="B73" s="80">
        <f t="shared" si="12"/>
        <v>1969</v>
      </c>
      <c r="C73" s="80">
        <v>-0.2</v>
      </c>
      <c r="D73" s="80">
        <v>-0.6</v>
      </c>
      <c r="E73" s="80">
        <v>0.7</v>
      </c>
    </row>
    <row r="74" spans="2:5">
      <c r="B74" s="80">
        <f t="shared" si="12"/>
        <v>1970</v>
      </c>
      <c r="C74" s="80">
        <v>0.6</v>
      </c>
      <c r="D74" s="80">
        <v>2</v>
      </c>
      <c r="E74" s="80">
        <v>-2.2000000000000002</v>
      </c>
    </row>
    <row r="75" spans="2:5">
      <c r="B75" s="80">
        <f t="shared" si="12"/>
        <v>1971</v>
      </c>
      <c r="C75" s="80">
        <v>1.2</v>
      </c>
      <c r="D75" s="80">
        <v>4.4000000000000004</v>
      </c>
      <c r="E75" s="80">
        <v>-5</v>
      </c>
    </row>
    <row r="76" spans="2:5">
      <c r="B76" s="80">
        <f t="shared" si="12"/>
        <v>1972</v>
      </c>
      <c r="C76" s="80">
        <v>1.7</v>
      </c>
      <c r="D76" s="80">
        <v>6.5</v>
      </c>
      <c r="E76" s="80">
        <v>-7.5</v>
      </c>
    </row>
    <row r="77" spans="2:5">
      <c r="B77" s="80">
        <f t="shared" si="12"/>
        <v>1973</v>
      </c>
      <c r="C77" s="80">
        <v>2.1</v>
      </c>
      <c r="D77" s="80">
        <v>8</v>
      </c>
      <c r="E77" s="80">
        <v>-9.5</v>
      </c>
    </row>
    <row r="78" spans="2:5">
      <c r="B78" s="80">
        <f t="shared" si="12"/>
        <v>1974</v>
      </c>
      <c r="C78" s="80">
        <v>2.1</v>
      </c>
      <c r="D78" s="80">
        <v>8.8000000000000007</v>
      </c>
      <c r="E78" s="80">
        <v>-10.7</v>
      </c>
    </row>
    <row r="79" spans="2:5">
      <c r="B79" s="80">
        <f t="shared" si="12"/>
        <v>1975</v>
      </c>
      <c r="C79" s="80">
        <v>2</v>
      </c>
      <c r="D79" s="80">
        <v>8.6999999999999993</v>
      </c>
      <c r="E79" s="80">
        <v>-10.9</v>
      </c>
    </row>
    <row r="80" spans="2:5">
      <c r="B80" s="80">
        <f t="shared" si="12"/>
        <v>1976</v>
      </c>
      <c r="C80" s="80">
        <v>1.6</v>
      </c>
      <c r="D80" s="80">
        <v>7.4</v>
      </c>
      <c r="E80" s="80">
        <v>-9.6</v>
      </c>
    </row>
    <row r="81" spans="2:5">
      <c r="B81" s="80">
        <f t="shared" si="12"/>
        <v>1977</v>
      </c>
      <c r="C81" s="80">
        <v>1.1000000000000001</v>
      </c>
      <c r="D81" s="121">
        <v>5</v>
      </c>
      <c r="E81" s="80">
        <v>-6.8</v>
      </c>
    </row>
    <row r="82" spans="2:5">
      <c r="B82" s="80">
        <f t="shared" si="12"/>
        <v>1978</v>
      </c>
      <c r="C82" s="80">
        <v>0.4</v>
      </c>
      <c r="D82" s="80">
        <v>1.9</v>
      </c>
      <c r="E82" s="80">
        <v>-2.6</v>
      </c>
    </row>
    <row r="83" spans="2:5">
      <c r="B83" s="80">
        <f t="shared" si="12"/>
        <v>1979</v>
      </c>
      <c r="C83" s="80">
        <v>-0.3</v>
      </c>
      <c r="D83" s="80">
        <v>-1.6</v>
      </c>
      <c r="E83" s="80">
        <v>2.2000000000000002</v>
      </c>
    </row>
    <row r="84" spans="2:5">
      <c r="B84" s="80">
        <f t="shared" si="12"/>
        <v>1980</v>
      </c>
      <c r="C84" s="80">
        <v>-1</v>
      </c>
      <c r="D84" s="80">
        <v>-4.8</v>
      </c>
      <c r="E84" s="80">
        <v>6.4</v>
      </c>
    </row>
    <row r="85" spans="2:5">
      <c r="B85" s="80">
        <f t="shared" si="12"/>
        <v>1981</v>
      </c>
      <c r="C85" s="80">
        <v>-1.6</v>
      </c>
      <c r="D85" s="80">
        <v>-7.3</v>
      </c>
      <c r="E85" s="80">
        <v>9.4</v>
      </c>
    </row>
    <row r="86" spans="2:5">
      <c r="B86" s="80">
        <f t="shared" si="12"/>
        <v>1982</v>
      </c>
      <c r="C86" s="80">
        <v>-2</v>
      </c>
      <c r="D86" s="80">
        <v>-8.6</v>
      </c>
      <c r="E86" s="80">
        <v>10.8</v>
      </c>
    </row>
    <row r="87" spans="2:5">
      <c r="B87" s="80">
        <f t="shared" si="12"/>
        <v>1983</v>
      </c>
      <c r="C87" s="80">
        <v>-2.1</v>
      </c>
      <c r="D87" s="80">
        <v>-8.9</v>
      </c>
      <c r="E87" s="80">
        <v>10.8</v>
      </c>
    </row>
    <row r="88" spans="2:5">
      <c r="B88" s="80">
        <f t="shared" si="12"/>
        <v>1984</v>
      </c>
      <c r="C88" s="80">
        <v>-2.1</v>
      </c>
      <c r="D88" s="80">
        <v>-8.1</v>
      </c>
      <c r="E88" s="80">
        <v>9.5</v>
      </c>
    </row>
    <row r="89" spans="2:5">
      <c r="B89" s="80">
        <f t="shared" si="12"/>
        <v>1985</v>
      </c>
      <c r="C89" s="80">
        <v>-1.8</v>
      </c>
      <c r="D89" s="80">
        <v>-6.7</v>
      </c>
      <c r="E89" s="80">
        <v>7.7</v>
      </c>
    </row>
    <row r="90" spans="2:5">
      <c r="B90" s="80">
        <f t="shared" si="12"/>
        <v>1986</v>
      </c>
      <c r="C90" s="80">
        <v>-1.3</v>
      </c>
      <c r="D90" s="80">
        <v>-4.5999999999999996</v>
      </c>
      <c r="E90" s="80">
        <v>5.2</v>
      </c>
    </row>
    <row r="91" spans="2:5">
      <c r="B91" s="80">
        <f t="shared" si="12"/>
        <v>1987</v>
      </c>
      <c r="C91" s="80">
        <v>-0.6</v>
      </c>
      <c r="D91" s="80">
        <v>-2.2000000000000002</v>
      </c>
      <c r="E91" s="80">
        <v>2.5</v>
      </c>
    </row>
    <row r="92" spans="2:5">
      <c r="B92" s="80">
        <f t="shared" si="12"/>
        <v>1988</v>
      </c>
      <c r="C92" s="80">
        <v>0.1</v>
      </c>
      <c r="D92" s="80">
        <v>0.4</v>
      </c>
      <c r="E92" s="80">
        <v>-0.4</v>
      </c>
    </row>
    <row r="93" spans="2:5">
      <c r="B93" s="80">
        <f t="shared" si="12"/>
        <v>1989</v>
      </c>
      <c r="C93" s="80">
        <v>0.8</v>
      </c>
      <c r="D93" s="80">
        <v>2.9</v>
      </c>
      <c r="E93" s="80">
        <v>-3.3</v>
      </c>
    </row>
    <row r="94" spans="2:5">
      <c r="B94" s="80">
        <f t="shared" si="12"/>
        <v>1990</v>
      </c>
      <c r="C94" s="80">
        <v>1.4</v>
      </c>
      <c r="D94" s="80">
        <v>5.3</v>
      </c>
      <c r="E94" s="80">
        <v>-6</v>
      </c>
    </row>
    <row r="95" spans="2:5">
      <c r="B95" s="80">
        <f t="shared" si="12"/>
        <v>1991</v>
      </c>
      <c r="C95" s="80">
        <v>1.9</v>
      </c>
      <c r="D95" s="80">
        <v>7.2</v>
      </c>
      <c r="E95" s="80">
        <v>-8.3000000000000007</v>
      </c>
    </row>
    <row r="96" spans="2:5">
      <c r="B96" s="80">
        <f t="shared" si="12"/>
        <v>1992</v>
      </c>
      <c r="C96" s="80">
        <v>2.1</v>
      </c>
      <c r="D96" s="80">
        <v>8.5</v>
      </c>
      <c r="E96" s="80">
        <v>-10</v>
      </c>
    </row>
    <row r="97" spans="2:5">
      <c r="B97" s="80">
        <f t="shared" si="12"/>
        <v>1993</v>
      </c>
      <c r="C97" s="80">
        <v>2.1</v>
      </c>
      <c r="D97" s="80">
        <v>8.9</v>
      </c>
      <c r="E97" s="80">
        <v>-10.9</v>
      </c>
    </row>
    <row r="98" spans="2:5">
      <c r="B98" s="80">
        <f t="shared" si="12"/>
        <v>1994</v>
      </c>
      <c r="C98" s="80">
        <v>1.9</v>
      </c>
      <c r="D98" s="80">
        <v>8.3000000000000007</v>
      </c>
      <c r="E98" s="80">
        <v>-10.6</v>
      </c>
    </row>
    <row r="99" spans="2:5">
      <c r="B99" s="80">
        <f t="shared" si="12"/>
        <v>1995</v>
      </c>
      <c r="C99" s="80">
        <v>1.4</v>
      </c>
      <c r="D99" s="80">
        <v>6.6</v>
      </c>
      <c r="E99" s="80">
        <v>-8.6999999999999993</v>
      </c>
    </row>
    <row r="100" spans="2:5">
      <c r="B100" s="80">
        <f t="shared" si="12"/>
        <v>1996</v>
      </c>
      <c r="C100" s="80">
        <v>0.8</v>
      </c>
      <c r="D100" s="80">
        <v>3.9</v>
      </c>
      <c r="E100" s="80">
        <v>-5.3</v>
      </c>
    </row>
    <row r="101" spans="2:5">
      <c r="B101" s="80">
        <f t="shared" si="12"/>
        <v>1997</v>
      </c>
      <c r="C101" s="80">
        <v>0.1</v>
      </c>
      <c r="D101" s="80">
        <v>0.6</v>
      </c>
      <c r="E101" s="80">
        <v>-0.8</v>
      </c>
    </row>
    <row r="102" spans="2:5">
      <c r="B102" s="80">
        <f t="shared" si="12"/>
        <v>1998</v>
      </c>
      <c r="C102" s="80">
        <v>-0.6</v>
      </c>
      <c r="D102" s="80">
        <v>-2.9</v>
      </c>
      <c r="E102" s="80">
        <v>3.9</v>
      </c>
    </row>
    <row r="103" spans="2:5">
      <c r="B103" s="80">
        <f t="shared" si="12"/>
        <v>1999</v>
      </c>
      <c r="C103" s="80">
        <v>-1.2</v>
      </c>
      <c r="D103" s="80">
        <v>-5.9</v>
      </c>
      <c r="E103" s="80">
        <v>7.8</v>
      </c>
    </row>
    <row r="104" spans="2:5">
      <c r="B104" s="80">
        <f t="shared" si="12"/>
        <v>2000</v>
      </c>
      <c r="C104" s="80">
        <v>-1.7</v>
      </c>
      <c r="D104" s="80">
        <v>-7.9</v>
      </c>
      <c r="E104" s="80">
        <v>10.1</v>
      </c>
    </row>
    <row r="105" spans="2:5">
      <c r="B105" s="80">
        <f t="shared" si="12"/>
        <v>2001</v>
      </c>
      <c r="C105" s="80">
        <v>-2.1</v>
      </c>
      <c r="D105" s="80">
        <v>-8.9</v>
      </c>
      <c r="E105" s="80">
        <v>10.9</v>
      </c>
    </row>
    <row r="106" spans="2:5">
      <c r="B106" s="80">
        <f t="shared" si="12"/>
        <v>2002</v>
      </c>
      <c r="C106" s="80">
        <v>-2.1</v>
      </c>
      <c r="D106" s="80">
        <v>-8.5</v>
      </c>
      <c r="E106" s="80">
        <v>10.199999999999999</v>
      </c>
    </row>
    <row r="107" spans="2:5">
      <c r="B107" s="80">
        <f t="shared" si="12"/>
        <v>2003</v>
      </c>
      <c r="C107" s="80">
        <v>-1.9</v>
      </c>
      <c r="D107" s="80">
        <v>-7.3</v>
      </c>
      <c r="E107" s="80">
        <v>8.5</v>
      </c>
    </row>
    <row r="108" spans="2:5">
      <c r="B108" s="80">
        <f t="shared" si="12"/>
        <v>2004</v>
      </c>
      <c r="C108" s="80">
        <v>-1.5</v>
      </c>
      <c r="D108" s="80">
        <v>-5.5</v>
      </c>
      <c r="E108" s="80">
        <v>6.2</v>
      </c>
    </row>
    <row r="109" spans="2:5">
      <c r="B109" s="80">
        <f t="shared" si="12"/>
        <v>2005</v>
      </c>
      <c r="C109" s="80">
        <v>-0.9</v>
      </c>
      <c r="D109" s="80">
        <v>-3.2</v>
      </c>
      <c r="E109" s="80">
        <v>3.6</v>
      </c>
    </row>
    <row r="110" spans="2:5">
      <c r="B110" s="80">
        <f t="shared" si="12"/>
        <v>2006</v>
      </c>
      <c r="C110" s="80">
        <v>-0.2</v>
      </c>
      <c r="D110" s="80">
        <v>-0.6</v>
      </c>
      <c r="E110" s="80">
        <v>0.7</v>
      </c>
    </row>
    <row r="111" spans="2:5">
      <c r="B111" s="80">
        <f t="shared" si="12"/>
        <v>2007</v>
      </c>
      <c r="C111" s="121">
        <v>0.58610899999999999</v>
      </c>
      <c r="D111" s="121">
        <v>2.0021499999999999</v>
      </c>
      <c r="E111" s="121">
        <v>-2.31162</v>
      </c>
    </row>
    <row r="112" spans="2:5">
      <c r="B112" s="80">
        <f t="shared" si="12"/>
        <v>2008</v>
      </c>
      <c r="C112" s="121">
        <v>1.3</v>
      </c>
      <c r="D112" s="121">
        <v>5.2</v>
      </c>
      <c r="E112" s="121">
        <v>-5</v>
      </c>
    </row>
    <row r="113" spans="2:5">
      <c r="B113" s="80">
        <f t="shared" si="12"/>
        <v>2009</v>
      </c>
      <c r="C113" s="462">
        <v>1.7</v>
      </c>
      <c r="D113" s="462">
        <v>7</v>
      </c>
      <c r="E113" s="462">
        <v>-7.5116199999999989</v>
      </c>
    </row>
    <row r="114" spans="2:5">
      <c r="B114" s="80">
        <f t="shared" si="12"/>
        <v>2010</v>
      </c>
      <c r="C114" s="462">
        <v>2</v>
      </c>
      <c r="D114" s="462">
        <v>8.1</v>
      </c>
      <c r="E114" s="462">
        <v>-9.3116199999999996</v>
      </c>
    </row>
    <row r="115" spans="2:5">
      <c r="B115" s="80">
        <f t="shared" si="12"/>
        <v>2011</v>
      </c>
      <c r="C115" s="462">
        <v>2</v>
      </c>
      <c r="D115" s="462">
        <v>8.4</v>
      </c>
      <c r="E115" s="462">
        <v>-10.31162</v>
      </c>
    </row>
    <row r="116" spans="2:5">
      <c r="B116" s="82">
        <f t="shared" si="12"/>
        <v>2012</v>
      </c>
      <c r="C116" s="304">
        <v>1.8</v>
      </c>
      <c r="D116" s="304">
        <v>7.5</v>
      </c>
      <c r="E116" s="304">
        <v>-10.211619999999998</v>
      </c>
    </row>
    <row r="117" spans="2:5">
      <c r="B117" s="128"/>
      <c r="C117" s="127"/>
      <c r="D117" s="127"/>
      <c r="E117" s="127"/>
    </row>
    <row r="118" spans="2:5">
      <c r="B118" s="43"/>
    </row>
    <row r="119" spans="2:5">
      <c r="B119" s="43"/>
    </row>
    <row r="120" spans="2:5">
      <c r="B120" s="43"/>
    </row>
    <row r="121" spans="2:5">
      <c r="B121" s="43"/>
    </row>
    <row r="122" spans="2:5">
      <c r="B122" s="43"/>
    </row>
  </sheetData>
  <sheetProtection selectLockedCells="1" selectUnlockedCells="1"/>
  <phoneticPr fontId="26" type="noConversion"/>
  <printOptions horizontalCentered="1"/>
  <pageMargins left="1" right="0.74791666666666667" top="0.5" bottom="0.5" header="0.51180555555555551" footer="0.51180555555555551"/>
  <pageSetup paperSize="9" scale="66" firstPageNumber="0" orientation="portrait" horizontalDpi="300" verticalDpi="300" r:id="rId1"/>
  <headerFooter alignWithMargins="0"/>
  <rowBreaks count="1" manualBreakCount="1">
    <brk id="58" max="16383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J43"/>
  <sheetViews>
    <sheetView workbookViewId="0">
      <selection activeCell="D7" sqref="D7"/>
    </sheetView>
  </sheetViews>
  <sheetFormatPr defaultColWidth="9.140625" defaultRowHeight="14.25"/>
  <cols>
    <col min="1" max="1" width="2.85546875" style="1" customWidth="1"/>
    <col min="2" max="10" width="10" style="1" customWidth="1"/>
    <col min="11" max="16384" width="9.140625" style="1"/>
  </cols>
  <sheetData>
    <row r="1" spans="2:10" ht="15">
      <c r="B1" s="52" t="s">
        <v>405</v>
      </c>
    </row>
    <row r="2" spans="2:10" ht="16.5">
      <c r="B2" s="727" t="s">
        <v>406</v>
      </c>
      <c r="C2" s="727"/>
      <c r="D2" s="727"/>
      <c r="E2" s="727" t="s">
        <v>407</v>
      </c>
      <c r="F2" s="727"/>
      <c r="G2" s="727"/>
      <c r="H2" s="727" t="s">
        <v>408</v>
      </c>
      <c r="I2" s="727"/>
      <c r="J2" s="727"/>
    </row>
    <row r="3" spans="2:10" ht="18">
      <c r="B3" s="370" t="s">
        <v>409</v>
      </c>
      <c r="C3" s="371" t="s">
        <v>410</v>
      </c>
      <c r="D3" s="372" t="s">
        <v>411</v>
      </c>
      <c r="E3" s="370" t="s">
        <v>409</v>
      </c>
      <c r="F3" s="371" t="s">
        <v>412</v>
      </c>
      <c r="G3" s="372" t="s">
        <v>413</v>
      </c>
      <c r="H3" s="370" t="s">
        <v>409</v>
      </c>
      <c r="I3" s="371" t="s">
        <v>414</v>
      </c>
      <c r="J3" s="372" t="s">
        <v>293</v>
      </c>
    </row>
    <row r="4" spans="2:10">
      <c r="B4" s="287">
        <v>0</v>
      </c>
      <c r="C4" s="111">
        <v>0.7</v>
      </c>
      <c r="D4" s="288">
        <v>-0.214</v>
      </c>
      <c r="E4" s="287">
        <v>0</v>
      </c>
      <c r="F4" s="111">
        <v>0</v>
      </c>
      <c r="G4" s="288">
        <v>0.33100000000000002</v>
      </c>
      <c r="H4" s="287">
        <v>0</v>
      </c>
      <c r="I4" s="111">
        <v>0</v>
      </c>
      <c r="J4" s="288">
        <v>1.1839999999999999</v>
      </c>
    </row>
    <row r="5" spans="2:10">
      <c r="B5" s="289">
        <v>10</v>
      </c>
      <c r="C5" s="80">
        <v>-6.6</v>
      </c>
      <c r="D5" s="290">
        <v>-0.192</v>
      </c>
      <c r="E5" s="289">
        <v>10</v>
      </c>
      <c r="F5" s="80">
        <v>-2.5</v>
      </c>
      <c r="G5" s="290">
        <v>0.32700000000000001</v>
      </c>
      <c r="H5" s="289">
        <v>10</v>
      </c>
      <c r="I5" s="80">
        <v>1.6</v>
      </c>
      <c r="J5" s="290">
        <v>1.1819999999999999</v>
      </c>
    </row>
    <row r="6" spans="2:10">
      <c r="B6" s="289">
        <v>20</v>
      </c>
      <c r="C6" s="80">
        <v>-12.3</v>
      </c>
      <c r="D6" s="290">
        <v>-0.13100000000000001</v>
      </c>
      <c r="E6" s="289">
        <v>20</v>
      </c>
      <c r="F6" s="80">
        <v>-4.9000000000000004</v>
      </c>
      <c r="G6" s="290">
        <v>0.316</v>
      </c>
      <c r="H6" s="289">
        <v>20</v>
      </c>
      <c r="I6" s="80">
        <v>3.1</v>
      </c>
      <c r="J6" s="290">
        <v>1.1739999999999999</v>
      </c>
    </row>
    <row r="7" spans="2:10">
      <c r="B7" s="289">
        <v>30</v>
      </c>
      <c r="C7" s="80">
        <v>-15.5</v>
      </c>
      <c r="D7" s="290">
        <v>-4.5999999999999999E-2</v>
      </c>
      <c r="E7" s="289">
        <v>30</v>
      </c>
      <c r="F7" s="80">
        <v>-7.3</v>
      </c>
      <c r="G7" s="290">
        <v>0.29699999999999999</v>
      </c>
      <c r="H7" s="289">
        <v>30</v>
      </c>
      <c r="I7" s="80">
        <v>4.5999999999999996</v>
      </c>
      <c r="J7" s="290">
        <v>1.163</v>
      </c>
    </row>
    <row r="8" spans="2:10">
      <c r="B8" s="289">
        <v>40</v>
      </c>
      <c r="C8" s="80">
        <v>-16.5</v>
      </c>
      <c r="D8" s="290">
        <v>4.7E-2</v>
      </c>
      <c r="E8" s="289">
        <v>40</v>
      </c>
      <c r="F8" s="80">
        <v>-9.6</v>
      </c>
      <c r="G8" s="290">
        <v>0.27100000000000002</v>
      </c>
      <c r="H8" s="289">
        <v>40</v>
      </c>
      <c r="I8" s="80">
        <v>5.9</v>
      </c>
      <c r="J8" s="290">
        <v>1.147</v>
      </c>
    </row>
    <row r="9" spans="2:10">
      <c r="B9" s="289">
        <v>50</v>
      </c>
      <c r="C9" s="80">
        <v>-15.6</v>
      </c>
      <c r="D9" s="290">
        <v>0.13400000000000001</v>
      </c>
      <c r="E9" s="289">
        <v>50</v>
      </c>
      <c r="F9" s="80">
        <v>-11.8</v>
      </c>
      <c r="G9" s="290">
        <v>0.23899999999999999</v>
      </c>
      <c r="H9" s="289">
        <v>50</v>
      </c>
      <c r="I9" s="80">
        <v>7.2</v>
      </c>
      <c r="J9" s="290">
        <v>1.127</v>
      </c>
    </row>
    <row r="10" spans="2:10">
      <c r="B10" s="289">
        <v>60</v>
      </c>
      <c r="C10" s="80">
        <v>-13.4</v>
      </c>
      <c r="D10" s="290">
        <v>0.20699999999999999</v>
      </c>
      <c r="E10" s="289">
        <v>60</v>
      </c>
      <c r="F10" s="80">
        <v>-13.8</v>
      </c>
      <c r="G10" s="290">
        <v>0.20100000000000001</v>
      </c>
      <c r="H10" s="289">
        <v>60</v>
      </c>
      <c r="I10" s="80">
        <v>8.3000000000000007</v>
      </c>
      <c r="J10" s="290">
        <v>1.1040000000000001</v>
      </c>
    </row>
    <row r="11" spans="2:10">
      <c r="B11" s="289">
        <v>70</v>
      </c>
      <c r="C11" s="80">
        <v>-10.3</v>
      </c>
      <c r="D11" s="290">
        <v>0.25800000000000001</v>
      </c>
      <c r="E11" s="289">
        <v>70</v>
      </c>
      <c r="F11" s="80">
        <v>-15.6</v>
      </c>
      <c r="G11" s="290">
        <v>0.157</v>
      </c>
      <c r="H11" s="289">
        <v>70</v>
      </c>
      <c r="I11" s="80">
        <v>9.1999999999999993</v>
      </c>
      <c r="J11" s="290">
        <v>1.077</v>
      </c>
    </row>
    <row r="12" spans="2:10">
      <c r="B12" s="289">
        <v>80</v>
      </c>
      <c r="C12" s="80">
        <v>-6.6</v>
      </c>
      <c r="D12" s="290">
        <v>0.28399999999999997</v>
      </c>
      <c r="E12" s="289">
        <v>80</v>
      </c>
      <c r="F12" s="80">
        <v>-17.100000000000001</v>
      </c>
      <c r="G12" s="290">
        <v>0.107</v>
      </c>
      <c r="H12" s="289">
        <v>80</v>
      </c>
      <c r="I12" s="80">
        <v>9.9</v>
      </c>
      <c r="J12" s="290">
        <v>1.048</v>
      </c>
    </row>
    <row r="13" spans="2:10">
      <c r="B13" s="289">
        <v>90</v>
      </c>
      <c r="C13" s="80">
        <v>-2.6</v>
      </c>
      <c r="D13" s="290">
        <v>0.28399999999999997</v>
      </c>
      <c r="E13" s="289">
        <v>90</v>
      </c>
      <c r="F13" s="80">
        <v>-18.3</v>
      </c>
      <c r="G13" s="290">
        <v>5.2999999999999999E-2</v>
      </c>
      <c r="H13" s="289">
        <v>90</v>
      </c>
      <c r="I13" s="80">
        <v>10.4</v>
      </c>
      <c r="J13" s="290">
        <v>1.0169999999999999</v>
      </c>
    </row>
    <row r="14" spans="2:10">
      <c r="B14" s="289">
        <v>100</v>
      </c>
      <c r="C14" s="80">
        <v>1.6</v>
      </c>
      <c r="D14" s="290">
        <v>0.25600000000000001</v>
      </c>
      <c r="E14" s="289">
        <v>100</v>
      </c>
      <c r="F14" s="80">
        <v>-19.100000000000001</v>
      </c>
      <c r="G14" s="290">
        <v>-3.0000000000000001E-3</v>
      </c>
      <c r="H14" s="289">
        <v>100</v>
      </c>
      <c r="I14" s="80">
        <v>10.6</v>
      </c>
      <c r="J14" s="290">
        <v>0.98399999999999999</v>
      </c>
    </row>
    <row r="15" spans="2:10">
      <c r="B15" s="289">
        <v>110</v>
      </c>
      <c r="C15" s="80">
        <v>5.6</v>
      </c>
      <c r="D15" s="290">
        <v>0.20399999999999999</v>
      </c>
      <c r="E15" s="289">
        <v>110</v>
      </c>
      <c r="F15" s="80">
        <v>-19.3</v>
      </c>
      <c r="G15" s="290">
        <v>-0.06</v>
      </c>
      <c r="H15" s="289">
        <v>110</v>
      </c>
      <c r="I15" s="80">
        <v>10.4</v>
      </c>
      <c r="J15" s="290">
        <v>0.95299999999999996</v>
      </c>
    </row>
    <row r="16" spans="2:10">
      <c r="B16" s="289">
        <v>120</v>
      </c>
      <c r="C16" s="80">
        <v>9.1999999999999993</v>
      </c>
      <c r="D16" s="290">
        <v>0.13100000000000001</v>
      </c>
      <c r="E16" s="289">
        <v>120</v>
      </c>
      <c r="F16" s="80">
        <v>-19</v>
      </c>
      <c r="G16" s="290">
        <v>-0.11799999999999999</v>
      </c>
      <c r="H16" s="289">
        <v>120</v>
      </c>
      <c r="I16" s="80">
        <v>10</v>
      </c>
      <c r="J16" s="290">
        <v>0.92200000000000004</v>
      </c>
    </row>
    <row r="17" spans="2:10">
      <c r="B17" s="289">
        <v>130</v>
      </c>
      <c r="C17" s="80">
        <v>12</v>
      </c>
      <c r="D17" s="290">
        <v>4.1000000000000002E-2</v>
      </c>
      <c r="E17" s="289">
        <v>130</v>
      </c>
      <c r="F17" s="80">
        <v>-17.8</v>
      </c>
      <c r="G17" s="290">
        <v>-0.17299999999999999</v>
      </c>
      <c r="H17" s="289">
        <v>130</v>
      </c>
      <c r="I17" s="80">
        <v>9.1</v>
      </c>
      <c r="J17" s="290">
        <v>0.89300000000000002</v>
      </c>
    </row>
    <row r="18" spans="2:10">
      <c r="B18" s="289">
        <v>140</v>
      </c>
      <c r="C18" s="80">
        <v>13.7</v>
      </c>
      <c r="D18" s="290">
        <v>-5.8000000000000003E-2</v>
      </c>
      <c r="E18" s="289">
        <v>140</v>
      </c>
      <c r="F18" s="80">
        <v>-15.9</v>
      </c>
      <c r="G18" s="290">
        <v>-0.224</v>
      </c>
      <c r="H18" s="289">
        <v>140</v>
      </c>
      <c r="I18" s="80">
        <v>7.8</v>
      </c>
      <c r="J18" s="290">
        <v>0.86699999999999999</v>
      </c>
    </row>
    <row r="19" spans="2:10">
      <c r="B19" s="289">
        <v>150</v>
      </c>
      <c r="C19" s="80">
        <v>13.6</v>
      </c>
      <c r="D19" s="290">
        <v>-0.157</v>
      </c>
      <c r="E19" s="289">
        <v>150</v>
      </c>
      <c r="F19" s="80">
        <v>-13.1</v>
      </c>
      <c r="G19" s="290">
        <v>-0.26800000000000002</v>
      </c>
      <c r="H19" s="289">
        <v>150</v>
      </c>
      <c r="I19" s="80">
        <v>6.2</v>
      </c>
      <c r="J19" s="290">
        <v>0.84599999999999997</v>
      </c>
    </row>
    <row r="20" spans="2:10">
      <c r="B20" s="289">
        <v>160</v>
      </c>
      <c r="C20" s="80">
        <v>11.2</v>
      </c>
      <c r="D20" s="290">
        <v>-0.245</v>
      </c>
      <c r="E20" s="289">
        <v>160</v>
      </c>
      <c r="F20" s="80">
        <v>-9.3000000000000007</v>
      </c>
      <c r="G20" s="290">
        <v>-0.30199999999999999</v>
      </c>
      <c r="H20" s="289">
        <v>160</v>
      </c>
      <c r="I20" s="80">
        <v>4.3</v>
      </c>
      <c r="J20" s="290">
        <v>0.83</v>
      </c>
    </row>
    <row r="21" spans="2:10">
      <c r="B21" s="289">
        <v>170</v>
      </c>
      <c r="C21" s="80">
        <v>6</v>
      </c>
      <c r="D21" s="290">
        <v>-0.307</v>
      </c>
      <c r="E21" s="289">
        <v>170</v>
      </c>
      <c r="F21" s="80">
        <v>-4.9000000000000004</v>
      </c>
      <c r="G21" s="290">
        <v>-0.32300000000000001</v>
      </c>
      <c r="H21" s="289">
        <v>170</v>
      </c>
      <c r="I21" s="80">
        <v>2.2000000000000002</v>
      </c>
      <c r="J21" s="290">
        <v>0.81899999999999995</v>
      </c>
    </row>
    <row r="22" spans="2:10">
      <c r="B22" s="289">
        <v>180</v>
      </c>
      <c r="C22" s="80">
        <v>-0.9</v>
      </c>
      <c r="D22" s="290">
        <v>-0.33</v>
      </c>
      <c r="E22" s="289">
        <v>180</v>
      </c>
      <c r="F22" s="80">
        <v>0</v>
      </c>
      <c r="G22" s="290">
        <v>-0.33100000000000002</v>
      </c>
      <c r="H22" s="289">
        <v>180</v>
      </c>
      <c r="I22" s="80">
        <v>0</v>
      </c>
      <c r="J22" s="290">
        <v>0.81599999999999995</v>
      </c>
    </row>
    <row r="23" spans="2:10">
      <c r="B23" s="289">
        <v>190</v>
      </c>
      <c r="C23" s="80">
        <v>-7.8</v>
      </c>
      <c r="D23" s="290">
        <v>-0.308</v>
      </c>
      <c r="E23" s="289">
        <v>190</v>
      </c>
      <c r="F23" s="80">
        <v>4.9000000000000004</v>
      </c>
      <c r="G23" s="290">
        <v>-0.32300000000000001</v>
      </c>
      <c r="H23" s="289">
        <v>190</v>
      </c>
      <c r="I23" s="80">
        <v>-2.2000000000000002</v>
      </c>
      <c r="J23" s="290">
        <v>0.81899999999999995</v>
      </c>
    </row>
    <row r="24" spans="2:10">
      <c r="B24" s="289">
        <v>200</v>
      </c>
      <c r="C24" s="80">
        <v>-12.6</v>
      </c>
      <c r="D24" s="290">
        <v>-0.247</v>
      </c>
      <c r="E24" s="289">
        <v>200</v>
      </c>
      <c r="F24" s="80">
        <v>9.3000000000000007</v>
      </c>
      <c r="G24" s="290">
        <v>-0.30199999999999999</v>
      </c>
      <c r="H24" s="289">
        <v>200</v>
      </c>
      <c r="I24" s="80">
        <v>-4.3</v>
      </c>
      <c r="J24" s="290">
        <v>0.83</v>
      </c>
    </row>
    <row r="25" spans="2:10">
      <c r="B25" s="289">
        <v>210</v>
      </c>
      <c r="C25" s="80">
        <v>-14.9</v>
      </c>
      <c r="D25" s="290">
        <v>-0.16300000000000001</v>
      </c>
      <c r="E25" s="289">
        <v>210</v>
      </c>
      <c r="F25" s="80">
        <v>13.1</v>
      </c>
      <c r="G25" s="290">
        <v>-0.26800000000000002</v>
      </c>
      <c r="H25" s="289">
        <v>210</v>
      </c>
      <c r="I25" s="80">
        <v>-6.2</v>
      </c>
      <c r="J25" s="290">
        <v>0.84599999999999997</v>
      </c>
    </row>
    <row r="26" spans="2:10">
      <c r="B26" s="289">
        <v>220</v>
      </c>
      <c r="C26" s="80">
        <v>-14.8</v>
      </c>
      <c r="D26" s="290">
        <v>-6.7000000000000004E-2</v>
      </c>
      <c r="E26" s="289">
        <v>220</v>
      </c>
      <c r="F26" s="80">
        <v>15.9</v>
      </c>
      <c r="G26" s="290">
        <v>-0.224</v>
      </c>
      <c r="H26" s="289">
        <v>220</v>
      </c>
      <c r="I26" s="80">
        <v>-7.8</v>
      </c>
      <c r="J26" s="290">
        <v>0.86699999999999999</v>
      </c>
    </row>
    <row r="27" spans="2:10">
      <c r="B27" s="289">
        <v>230</v>
      </c>
      <c r="C27" s="80">
        <v>-13</v>
      </c>
      <c r="D27" s="290">
        <v>2.9000000000000001E-2</v>
      </c>
      <c r="E27" s="289">
        <v>230</v>
      </c>
      <c r="F27" s="80">
        <v>17.8</v>
      </c>
      <c r="G27" s="290">
        <v>-0.17299999999999999</v>
      </c>
      <c r="H27" s="289">
        <v>230</v>
      </c>
      <c r="I27" s="80">
        <v>-9.1</v>
      </c>
      <c r="J27" s="290">
        <v>0.89300000000000002</v>
      </c>
    </row>
    <row r="28" spans="2:10">
      <c r="B28" s="289">
        <v>240</v>
      </c>
      <c r="C28" s="80">
        <v>-9.8000000000000007</v>
      </c>
      <c r="D28" s="290">
        <v>0.115</v>
      </c>
      <c r="E28" s="289">
        <v>240</v>
      </c>
      <c r="F28" s="80">
        <v>19</v>
      </c>
      <c r="G28" s="290">
        <v>-0.11799999999999999</v>
      </c>
      <c r="H28" s="289">
        <v>240</v>
      </c>
      <c r="I28" s="80">
        <v>-10</v>
      </c>
      <c r="J28" s="290">
        <v>0.92200000000000004</v>
      </c>
    </row>
    <row r="29" spans="2:10">
      <c r="B29" s="289">
        <v>250</v>
      </c>
      <c r="C29" s="80">
        <v>-6</v>
      </c>
      <c r="D29" s="290">
        <v>0.186</v>
      </c>
      <c r="E29" s="289">
        <v>250</v>
      </c>
      <c r="F29" s="80">
        <v>19.3</v>
      </c>
      <c r="G29" s="290">
        <v>-0.06</v>
      </c>
      <c r="H29" s="289">
        <v>250</v>
      </c>
      <c r="I29" s="80">
        <v>-10.4</v>
      </c>
      <c r="J29" s="290">
        <v>0.95299999999999996</v>
      </c>
    </row>
    <row r="30" spans="2:10">
      <c r="B30" s="289">
        <v>260</v>
      </c>
      <c r="C30" s="80">
        <v>-1.8</v>
      </c>
      <c r="D30" s="290">
        <v>0.23599999999999999</v>
      </c>
      <c r="E30" s="289">
        <v>260</v>
      </c>
      <c r="F30" s="80">
        <v>19.100000000000001</v>
      </c>
      <c r="G30" s="290">
        <v>-3.0000000000000001E-3</v>
      </c>
      <c r="H30" s="289">
        <v>260</v>
      </c>
      <c r="I30" s="80">
        <v>-10.6</v>
      </c>
      <c r="J30" s="290">
        <v>0.98399999999999999</v>
      </c>
    </row>
    <row r="31" spans="2:10">
      <c r="B31" s="289">
        <v>270</v>
      </c>
      <c r="C31" s="80">
        <v>2.6</v>
      </c>
      <c r="D31" s="290">
        <v>0.26300000000000001</v>
      </c>
      <c r="E31" s="289">
        <v>270</v>
      </c>
      <c r="F31" s="80">
        <v>18.3</v>
      </c>
      <c r="G31" s="290">
        <v>5.2999999999999999E-2</v>
      </c>
      <c r="H31" s="289">
        <v>270</v>
      </c>
      <c r="I31" s="80">
        <v>-10.4</v>
      </c>
      <c r="J31" s="290">
        <v>1.0169999999999999</v>
      </c>
    </row>
    <row r="32" spans="2:10">
      <c r="B32" s="289">
        <v>280</v>
      </c>
      <c r="C32" s="80">
        <v>6.9</v>
      </c>
      <c r="D32" s="290">
        <v>0.26500000000000001</v>
      </c>
      <c r="E32" s="289">
        <v>280</v>
      </c>
      <c r="F32" s="80">
        <v>17.100000000000001</v>
      </c>
      <c r="G32" s="290">
        <v>0.107</v>
      </c>
      <c r="H32" s="289">
        <v>280</v>
      </c>
      <c r="I32" s="80">
        <v>-9.9</v>
      </c>
      <c r="J32" s="290">
        <v>1.048</v>
      </c>
    </row>
    <row r="33" spans="2:10">
      <c r="B33" s="289">
        <v>290</v>
      </c>
      <c r="C33" s="80">
        <v>10.8</v>
      </c>
      <c r="D33" s="290">
        <v>0.24099999999999999</v>
      </c>
      <c r="E33" s="289">
        <v>290</v>
      </c>
      <c r="F33" s="80">
        <v>15.6</v>
      </c>
      <c r="G33" s="290">
        <v>0.157</v>
      </c>
      <c r="H33" s="289">
        <v>290</v>
      </c>
      <c r="I33" s="80">
        <v>-9.1999999999999993</v>
      </c>
      <c r="J33" s="290">
        <v>1.077</v>
      </c>
    </row>
    <row r="34" spans="2:10">
      <c r="B34" s="289">
        <v>300</v>
      </c>
      <c r="C34" s="80">
        <v>14.1</v>
      </c>
      <c r="D34" s="290">
        <v>0.192</v>
      </c>
      <c r="E34" s="289">
        <v>300</v>
      </c>
      <c r="F34" s="80">
        <v>13.8</v>
      </c>
      <c r="G34" s="290">
        <v>0.20100000000000001</v>
      </c>
      <c r="H34" s="289">
        <v>300</v>
      </c>
      <c r="I34" s="80">
        <v>-8.3000000000000007</v>
      </c>
      <c r="J34" s="290">
        <v>1.1040000000000001</v>
      </c>
    </row>
    <row r="35" spans="2:10">
      <c r="B35" s="289">
        <v>310</v>
      </c>
      <c r="C35" s="80">
        <v>16.5</v>
      </c>
      <c r="D35" s="290">
        <v>0.124</v>
      </c>
      <c r="E35" s="289">
        <v>310</v>
      </c>
      <c r="F35" s="80">
        <v>11.8</v>
      </c>
      <c r="G35" s="290">
        <v>0.23899999999999999</v>
      </c>
      <c r="H35" s="289">
        <v>310</v>
      </c>
      <c r="I35" s="80">
        <v>-7.2</v>
      </c>
      <c r="J35" s="290">
        <v>1.127</v>
      </c>
    </row>
    <row r="36" spans="2:10">
      <c r="B36" s="289">
        <v>320</v>
      </c>
      <c r="C36" s="80">
        <v>17.5</v>
      </c>
      <c r="D36" s="290">
        <v>3.9E-2</v>
      </c>
      <c r="E36" s="289">
        <v>320</v>
      </c>
      <c r="F36" s="80">
        <v>9.6</v>
      </c>
      <c r="G36" s="290">
        <v>0.27100000000000002</v>
      </c>
      <c r="H36" s="289">
        <v>320</v>
      </c>
      <c r="I36" s="80">
        <v>-5.9</v>
      </c>
      <c r="J36" s="290">
        <v>1.147</v>
      </c>
    </row>
    <row r="37" spans="2:10">
      <c r="B37" s="289">
        <v>330</v>
      </c>
      <c r="C37" s="80">
        <v>16.8</v>
      </c>
      <c r="D37" s="290">
        <v>5.0999999999999997E-2</v>
      </c>
      <c r="E37" s="289">
        <v>330</v>
      </c>
      <c r="F37" s="80">
        <v>7.3</v>
      </c>
      <c r="G37" s="290">
        <v>0.29699999999999999</v>
      </c>
      <c r="H37" s="289">
        <v>330</v>
      </c>
      <c r="I37" s="80">
        <v>-4.5999999999999996</v>
      </c>
      <c r="J37" s="290">
        <v>1.163</v>
      </c>
    </row>
    <row r="38" spans="2:10">
      <c r="B38" s="289">
        <v>340</v>
      </c>
      <c r="C38" s="80">
        <v>13.7</v>
      </c>
      <c r="D38" s="290">
        <v>-0.13300000000000001</v>
      </c>
      <c r="E38" s="289">
        <v>340</v>
      </c>
      <c r="F38" s="80">
        <v>4.9000000000000004</v>
      </c>
      <c r="G38" s="290">
        <v>0.316</v>
      </c>
      <c r="H38" s="289">
        <v>340</v>
      </c>
      <c r="I38" s="80">
        <v>-3.1</v>
      </c>
      <c r="J38" s="290">
        <v>1.1739999999999999</v>
      </c>
    </row>
    <row r="39" spans="2:10">
      <c r="B39" s="289">
        <v>350</v>
      </c>
      <c r="C39" s="80">
        <v>8</v>
      </c>
      <c r="D39" s="290">
        <v>-0.193</v>
      </c>
      <c r="E39" s="289">
        <v>350</v>
      </c>
      <c r="F39" s="80">
        <v>2.5</v>
      </c>
      <c r="G39" s="290">
        <v>0.32700000000000001</v>
      </c>
      <c r="H39" s="289">
        <v>350</v>
      </c>
      <c r="I39" s="80">
        <v>-1.6</v>
      </c>
      <c r="J39" s="290">
        <v>1.1819999999999999</v>
      </c>
    </row>
    <row r="40" spans="2:10">
      <c r="B40" s="291">
        <v>360</v>
      </c>
      <c r="C40" s="292">
        <v>0.7</v>
      </c>
      <c r="D40" s="293">
        <v>-0.214</v>
      </c>
      <c r="E40" s="291">
        <v>360</v>
      </c>
      <c r="F40" s="292">
        <v>0</v>
      </c>
      <c r="G40" s="293">
        <v>0.33100000000000002</v>
      </c>
      <c r="H40" s="291">
        <v>360</v>
      </c>
      <c r="I40" s="292">
        <v>0</v>
      </c>
      <c r="J40" s="293">
        <v>1.1839999999999999</v>
      </c>
    </row>
    <row r="41" spans="2:10" ht="15">
      <c r="B41" s="728" t="s">
        <v>415</v>
      </c>
      <c r="C41" s="728"/>
      <c r="D41" s="728"/>
      <c r="E41" s="728" t="s">
        <v>416</v>
      </c>
      <c r="F41" s="728"/>
      <c r="G41" s="728"/>
      <c r="H41" s="728" t="s">
        <v>417</v>
      </c>
      <c r="I41" s="728"/>
      <c r="J41" s="728"/>
    </row>
    <row r="42" spans="2:10" ht="16.5">
      <c r="B42" s="725" t="s">
        <v>418</v>
      </c>
      <c r="C42" s="725"/>
      <c r="D42" s="725"/>
      <c r="E42" s="725" t="s">
        <v>418</v>
      </c>
      <c r="F42" s="725"/>
      <c r="G42" s="725"/>
      <c r="H42" s="725" t="s">
        <v>419</v>
      </c>
      <c r="I42" s="725"/>
      <c r="J42" s="725"/>
    </row>
    <row r="43" spans="2:10" ht="16.5">
      <c r="B43" s="726" t="s">
        <v>420</v>
      </c>
      <c r="C43" s="726"/>
      <c r="D43" s="726"/>
      <c r="E43" s="726" t="s">
        <v>420</v>
      </c>
      <c r="F43" s="726"/>
      <c r="G43" s="726"/>
      <c r="H43" s="726" t="s">
        <v>421</v>
      </c>
      <c r="I43" s="726"/>
      <c r="J43" s="726"/>
    </row>
  </sheetData>
  <sheetProtection selectLockedCells="1" selectUnlockedCells="1"/>
  <mergeCells count="12">
    <mergeCell ref="B2:D2"/>
    <mergeCell ref="E2:G2"/>
    <mergeCell ref="H2:J2"/>
    <mergeCell ref="B41:D41"/>
    <mergeCell ref="E41:G41"/>
    <mergeCell ref="H41:J41"/>
    <mergeCell ref="B42:D42"/>
    <mergeCell ref="E42:G42"/>
    <mergeCell ref="H42:J42"/>
    <mergeCell ref="B43:D43"/>
    <mergeCell ref="E43:G43"/>
    <mergeCell ref="H43:J43"/>
  </mergeCells>
  <phoneticPr fontId="26" type="noConversion"/>
  <printOptions horizontalCentered="1"/>
  <pageMargins left="0.52986111111111112" right="9.7222222222222224E-3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V363"/>
  <sheetViews>
    <sheetView zoomScaleSheetLayoutView="70" workbookViewId="0">
      <selection activeCell="L32" sqref="L32"/>
    </sheetView>
  </sheetViews>
  <sheetFormatPr defaultColWidth="9.140625" defaultRowHeight="14.25"/>
  <cols>
    <col min="1" max="1" width="4.42578125" style="1" customWidth="1"/>
    <col min="2" max="2" width="10.7109375" style="326" customWidth="1"/>
    <col min="3" max="3" width="5.7109375" style="43" customWidth="1"/>
    <col min="4" max="4" width="6" style="43" customWidth="1"/>
    <col min="5" max="6" width="5.7109375" style="43" customWidth="1"/>
    <col min="7" max="23" width="5.7109375" style="1" customWidth="1"/>
    <col min="24" max="24" width="9.140625" style="1"/>
    <col min="25" max="48" width="4.7109375" style="1" customWidth="1"/>
    <col min="49" max="16384" width="9.140625" style="1"/>
  </cols>
  <sheetData>
    <row r="1" spans="1:48" ht="15.75">
      <c r="A1" s="720" t="s">
        <v>422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</row>
    <row r="2" spans="1:48">
      <c r="B2" s="1"/>
    </row>
    <row r="3" spans="1:48" ht="20.25" customHeight="1">
      <c r="A3" s="373" t="s">
        <v>0</v>
      </c>
      <c r="B3" s="374" t="s">
        <v>423</v>
      </c>
      <c r="C3" s="374" t="s">
        <v>424</v>
      </c>
      <c r="D3" s="374" t="s">
        <v>425</v>
      </c>
      <c r="E3" s="374" t="s">
        <v>426</v>
      </c>
      <c r="F3" s="374" t="s">
        <v>427</v>
      </c>
      <c r="G3" s="374" t="s">
        <v>428</v>
      </c>
      <c r="H3" s="374" t="s">
        <v>429</v>
      </c>
      <c r="I3" s="374" t="s">
        <v>430</v>
      </c>
      <c r="J3" s="374" t="s">
        <v>431</v>
      </c>
      <c r="K3" s="375" t="s">
        <v>272</v>
      </c>
      <c r="L3" s="376" t="s">
        <v>432</v>
      </c>
      <c r="M3" s="374" t="s">
        <v>433</v>
      </c>
      <c r="N3" s="374" t="s">
        <v>434</v>
      </c>
      <c r="O3" s="374" t="s">
        <v>435</v>
      </c>
      <c r="P3" s="374" t="s">
        <v>436</v>
      </c>
      <c r="Q3" s="374" t="s">
        <v>437</v>
      </c>
      <c r="R3" s="374" t="s">
        <v>438</v>
      </c>
      <c r="S3" s="374" t="s">
        <v>439</v>
      </c>
      <c r="T3" s="377" t="s">
        <v>440</v>
      </c>
      <c r="U3" s="11"/>
      <c r="V3" s="11"/>
      <c r="W3" s="11"/>
      <c r="Y3" s="158" t="s">
        <v>37</v>
      </c>
      <c r="Z3" s="158" t="s">
        <v>38</v>
      </c>
      <c r="AA3" s="158" t="s">
        <v>39</v>
      </c>
      <c r="AB3" s="158" t="s">
        <v>40</v>
      </c>
      <c r="AC3" s="158" t="s">
        <v>41</v>
      </c>
      <c r="AD3" s="158" t="s">
        <v>42</v>
      </c>
      <c r="AE3" s="158" t="s">
        <v>2</v>
      </c>
      <c r="AF3" s="158" t="s">
        <v>43</v>
      </c>
      <c r="AG3" s="158" t="s">
        <v>44</v>
      </c>
      <c r="AH3" s="158" t="s">
        <v>45</v>
      </c>
      <c r="AI3" s="158" t="s">
        <v>46</v>
      </c>
      <c r="AJ3" s="158" t="s">
        <v>47</v>
      </c>
      <c r="AK3" s="158" t="s">
        <v>48</v>
      </c>
      <c r="AL3" s="158" t="s">
        <v>49</v>
      </c>
      <c r="AM3" s="158" t="s">
        <v>50</v>
      </c>
      <c r="AN3" s="158" t="s">
        <v>51</v>
      </c>
      <c r="AO3" s="158" t="s">
        <v>52</v>
      </c>
      <c r="AP3" s="158" t="s">
        <v>53</v>
      </c>
      <c r="AQ3" s="158" t="s">
        <v>54</v>
      </c>
      <c r="AR3" s="158" t="s">
        <v>55</v>
      </c>
      <c r="AS3" s="158" t="s">
        <v>56</v>
      </c>
      <c r="AT3" s="158" t="s">
        <v>57</v>
      </c>
      <c r="AU3" s="158" t="s">
        <v>58</v>
      </c>
      <c r="AV3" s="158" t="s">
        <v>59</v>
      </c>
    </row>
    <row r="4" spans="1:48">
      <c r="A4" s="378">
        <v>1</v>
      </c>
      <c r="B4" s="379">
        <v>1</v>
      </c>
      <c r="C4" s="380">
        <f>Y4</f>
        <v>136</v>
      </c>
      <c r="D4" s="380">
        <f>Y43</f>
        <v>169.3</v>
      </c>
      <c r="E4" s="380">
        <f>Y82</f>
        <v>281.5</v>
      </c>
      <c r="F4" s="380">
        <f>Y121</f>
        <v>129.5</v>
      </c>
      <c r="G4" s="380">
        <f>Y160</f>
        <v>156.20000000000002</v>
      </c>
      <c r="H4" s="380">
        <f>Y199</f>
        <v>107</v>
      </c>
      <c r="I4" s="380">
        <f>Y238</f>
        <v>167.3</v>
      </c>
      <c r="J4" s="380">
        <f>Y277</f>
        <v>208.70000000000002</v>
      </c>
      <c r="K4" s="381">
        <f>Y316</f>
        <v>162</v>
      </c>
      <c r="L4" s="382">
        <f>B4*C4</f>
        <v>136</v>
      </c>
      <c r="M4" s="380">
        <f>B4*D4</f>
        <v>169.3</v>
      </c>
      <c r="N4" s="380">
        <f>B4*E4</f>
        <v>281.5</v>
      </c>
      <c r="O4" s="380">
        <f>B4*F4</f>
        <v>129.5</v>
      </c>
      <c r="P4" s="380">
        <f>B4*G4</f>
        <v>156.20000000000002</v>
      </c>
      <c r="Q4" s="380">
        <f>B4*H4</f>
        <v>107</v>
      </c>
      <c r="R4" s="380">
        <f>B4*I4</f>
        <v>167.3</v>
      </c>
      <c r="S4" s="380">
        <f>B4*J4</f>
        <v>208.70000000000002</v>
      </c>
      <c r="T4" s="383">
        <f>B4*K4</f>
        <v>162</v>
      </c>
      <c r="U4" s="384"/>
      <c r="V4" s="384"/>
      <c r="W4" s="384"/>
      <c r="X4" s="15">
        <f>skemA1!B5</f>
        <v>44709</v>
      </c>
      <c r="Y4" s="385">
        <f>skemA1!C5</f>
        <v>136</v>
      </c>
      <c r="Z4" s="385">
        <f>skemA1!D5</f>
        <v>165.5</v>
      </c>
      <c r="AA4" s="385">
        <f>skemA1!E5</f>
        <v>198.3</v>
      </c>
      <c r="AB4" s="385">
        <f>skemA1!F5</f>
        <v>224.7</v>
      </c>
      <c r="AC4" s="385">
        <f>skemA1!G5</f>
        <v>239</v>
      </c>
      <c r="AD4" s="385">
        <f>skemA1!H5</f>
        <v>243.00000000000003</v>
      </c>
      <c r="AE4" s="385">
        <f>skemA1!I5</f>
        <v>231.70000000000002</v>
      </c>
      <c r="AF4" s="385">
        <f>skemA1!J5</f>
        <v>212.1</v>
      </c>
      <c r="AG4" s="385">
        <f>skemA1!K5</f>
        <v>188.39999999999998</v>
      </c>
      <c r="AH4" s="385">
        <f>skemA1!L5</f>
        <v>163.69999999999999</v>
      </c>
      <c r="AI4" s="385">
        <f>skemA1!M5</f>
        <v>145.4</v>
      </c>
      <c r="AJ4" s="385">
        <f>skemA1!N5</f>
        <v>135.4</v>
      </c>
      <c r="AK4" s="385">
        <f>skemA1!O5</f>
        <v>142</v>
      </c>
      <c r="AL4" s="385">
        <f>skemA1!P5</f>
        <v>156.1</v>
      </c>
      <c r="AM4" s="385">
        <f>skemA1!Q5</f>
        <v>173.10000000000002</v>
      </c>
      <c r="AN4" s="385">
        <f>skemA1!R5</f>
        <v>188.9</v>
      </c>
      <c r="AO4" s="385">
        <f>skemA1!S5</f>
        <v>194.9</v>
      </c>
      <c r="AP4" s="385">
        <f>skemA1!T5</f>
        <v>190</v>
      </c>
      <c r="AQ4" s="385">
        <f>skemA1!U5</f>
        <v>173.3</v>
      </c>
      <c r="AR4" s="385">
        <f>skemA1!V5</f>
        <v>155</v>
      </c>
      <c r="AS4" s="385">
        <f>skemA1!W5</f>
        <v>132.4</v>
      </c>
      <c r="AT4" s="385">
        <f>skemA1!X5</f>
        <v>110.80000000000001</v>
      </c>
      <c r="AU4" s="385">
        <f>skemA1!Y5</f>
        <v>96.899999999999991</v>
      </c>
      <c r="AV4" s="385">
        <f>skemA1!Z5</f>
        <v>99.1</v>
      </c>
    </row>
    <row r="5" spans="1:48">
      <c r="A5" s="378">
        <f>A4+1</f>
        <v>2</v>
      </c>
      <c r="B5" s="379">
        <v>0</v>
      </c>
      <c r="C5" s="380">
        <f t="shared" ref="C5:C42" si="0">Y5</f>
        <v>165.5</v>
      </c>
      <c r="D5" s="380">
        <f t="shared" ref="D5:D41" si="1">Y44</f>
        <v>183.29999999999998</v>
      </c>
      <c r="E5" s="380">
        <f t="shared" ref="E5:E42" si="2">Y83</f>
        <v>273.8</v>
      </c>
      <c r="F5" s="380">
        <f t="shared" ref="F5:F42" si="3">Y122</f>
        <v>96.3</v>
      </c>
      <c r="G5" s="380">
        <f t="shared" ref="G5:G42" si="4">Y161</f>
        <v>134.9</v>
      </c>
      <c r="H5" s="380">
        <f t="shared" ref="H5:H42" si="5">Y200</f>
        <v>141.30000000000001</v>
      </c>
      <c r="I5" s="380">
        <f t="shared" ref="I5:I42" si="6">Y239</f>
        <v>178.9</v>
      </c>
      <c r="J5" s="380">
        <f t="shared" ref="J5:J42" si="7">Y278</f>
        <v>207.7</v>
      </c>
      <c r="K5" s="381">
        <f t="shared" ref="K5:K42" si="8">Y317</f>
        <v>167.6</v>
      </c>
      <c r="L5" s="382">
        <f t="shared" ref="L5:L42" si="9">B5*C5</f>
        <v>0</v>
      </c>
      <c r="M5" s="380">
        <f t="shared" ref="M5:M42" si="10">B5*D5</f>
        <v>0</v>
      </c>
      <c r="N5" s="380">
        <f t="shared" ref="N5:N42" si="11">B5*E5</f>
        <v>0</v>
      </c>
      <c r="O5" s="380">
        <f t="shared" ref="O5:O42" si="12">B5*F5</f>
        <v>0</v>
      </c>
      <c r="P5" s="380">
        <f t="shared" ref="P5:P42" si="13">B5*G5</f>
        <v>0</v>
      </c>
      <c r="Q5" s="380">
        <f t="shared" ref="Q5:Q42" si="14">B5*H5</f>
        <v>0</v>
      </c>
      <c r="R5" s="380">
        <f t="shared" ref="R5:R42" si="15">B5*I5</f>
        <v>0</v>
      </c>
      <c r="S5" s="380">
        <f t="shared" ref="S5:S42" si="16">B5*J5</f>
        <v>0</v>
      </c>
      <c r="T5" s="383">
        <f t="shared" ref="T5:T42" si="17">B5*K5</f>
        <v>0</v>
      </c>
      <c r="U5" s="384"/>
      <c r="V5" s="384"/>
      <c r="W5" s="384"/>
      <c r="X5" s="15"/>
      <c r="Y5" s="386">
        <f>Z4</f>
        <v>165.5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 spans="1:48">
      <c r="A6" s="378">
        <f t="shared" ref="A6:A42" si="18">A5+1</f>
        <v>3</v>
      </c>
      <c r="B6" s="379">
        <v>1</v>
      </c>
      <c r="C6" s="380">
        <f t="shared" si="0"/>
        <v>198.3</v>
      </c>
      <c r="D6" s="380">
        <f t="shared" si="1"/>
        <v>184</v>
      </c>
      <c r="E6" s="380">
        <f t="shared" si="2"/>
        <v>246</v>
      </c>
      <c r="F6" s="380">
        <f t="shared" si="3"/>
        <v>76.2</v>
      </c>
      <c r="G6" s="380">
        <f t="shared" si="4"/>
        <v>128</v>
      </c>
      <c r="H6" s="380">
        <f t="shared" si="5"/>
        <v>179.20000000000002</v>
      </c>
      <c r="I6" s="380">
        <f t="shared" si="6"/>
        <v>183.20000000000002</v>
      </c>
      <c r="J6" s="380">
        <f t="shared" si="7"/>
        <v>203.6</v>
      </c>
      <c r="K6" s="381">
        <f t="shared" si="8"/>
        <v>166.9</v>
      </c>
      <c r="L6" s="382">
        <f t="shared" si="9"/>
        <v>198.3</v>
      </c>
      <c r="M6" s="380">
        <f t="shared" si="10"/>
        <v>184</v>
      </c>
      <c r="N6" s="380">
        <f t="shared" si="11"/>
        <v>246</v>
      </c>
      <c r="O6" s="380">
        <f t="shared" si="12"/>
        <v>76.2</v>
      </c>
      <c r="P6" s="380">
        <f t="shared" si="13"/>
        <v>128</v>
      </c>
      <c r="Q6" s="380">
        <f t="shared" si="14"/>
        <v>179.20000000000002</v>
      </c>
      <c r="R6" s="380">
        <f t="shared" si="15"/>
        <v>183.20000000000002</v>
      </c>
      <c r="S6" s="380">
        <f t="shared" si="16"/>
        <v>203.6</v>
      </c>
      <c r="T6" s="383">
        <f t="shared" si="17"/>
        <v>166.9</v>
      </c>
      <c r="U6" s="384"/>
      <c r="V6" s="384"/>
      <c r="W6" s="384"/>
      <c r="X6" s="15"/>
      <c r="Y6" s="386">
        <f>AA4</f>
        <v>198.3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1:48">
      <c r="A7" s="378">
        <f t="shared" si="18"/>
        <v>4</v>
      </c>
      <c r="B7" s="379">
        <v>0</v>
      </c>
      <c r="C7" s="380">
        <f t="shared" si="0"/>
        <v>224.7</v>
      </c>
      <c r="D7" s="380">
        <f t="shared" si="1"/>
        <v>174.2</v>
      </c>
      <c r="E7" s="380">
        <f t="shared" si="2"/>
        <v>202.8</v>
      </c>
      <c r="F7" s="380">
        <f t="shared" si="3"/>
        <v>65.8</v>
      </c>
      <c r="G7" s="380">
        <f t="shared" si="4"/>
        <v>135</v>
      </c>
      <c r="H7" s="380">
        <f t="shared" si="5"/>
        <v>217.89999999999998</v>
      </c>
      <c r="I7" s="380">
        <f t="shared" si="6"/>
        <v>175.5</v>
      </c>
      <c r="J7" s="380">
        <f t="shared" si="7"/>
        <v>197.6</v>
      </c>
      <c r="K7" s="381">
        <f t="shared" si="8"/>
        <v>169.9</v>
      </c>
      <c r="L7" s="382">
        <f t="shared" si="9"/>
        <v>0</v>
      </c>
      <c r="M7" s="380">
        <f t="shared" si="10"/>
        <v>0</v>
      </c>
      <c r="N7" s="380">
        <f t="shared" si="11"/>
        <v>0</v>
      </c>
      <c r="O7" s="380">
        <f t="shared" si="12"/>
        <v>0</v>
      </c>
      <c r="P7" s="380">
        <f t="shared" si="13"/>
        <v>0</v>
      </c>
      <c r="Q7" s="380">
        <f t="shared" si="14"/>
        <v>0</v>
      </c>
      <c r="R7" s="380">
        <f t="shared" si="15"/>
        <v>0</v>
      </c>
      <c r="S7" s="380">
        <f t="shared" si="16"/>
        <v>0</v>
      </c>
      <c r="T7" s="383">
        <f t="shared" si="17"/>
        <v>0</v>
      </c>
      <c r="U7" s="384"/>
      <c r="V7" s="384"/>
      <c r="W7" s="384"/>
      <c r="X7" s="15"/>
      <c r="Y7" s="386">
        <f>AB4</f>
        <v>224.7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1:48">
      <c r="A8" s="378">
        <f t="shared" si="18"/>
        <v>5</v>
      </c>
      <c r="B8" s="379">
        <v>0</v>
      </c>
      <c r="C8" s="380">
        <f t="shared" si="0"/>
        <v>239</v>
      </c>
      <c r="D8" s="380">
        <f t="shared" si="1"/>
        <v>158.29999999999998</v>
      </c>
      <c r="E8" s="380">
        <f t="shared" si="2"/>
        <v>165.3</v>
      </c>
      <c r="F8" s="380">
        <f t="shared" si="3"/>
        <v>75</v>
      </c>
      <c r="G8" s="380">
        <f t="shared" si="4"/>
        <v>152.69999999999999</v>
      </c>
      <c r="H8" s="380">
        <f t="shared" si="5"/>
        <v>244.20000000000002</v>
      </c>
      <c r="I8" s="380">
        <f t="shared" si="6"/>
        <v>155.6</v>
      </c>
      <c r="J8" s="380">
        <f t="shared" si="7"/>
        <v>187.3</v>
      </c>
      <c r="K8" s="381">
        <f t="shared" si="8"/>
        <v>171.4</v>
      </c>
      <c r="L8" s="382">
        <f t="shared" si="9"/>
        <v>0</v>
      </c>
      <c r="M8" s="380">
        <f t="shared" si="10"/>
        <v>0</v>
      </c>
      <c r="N8" s="380">
        <f t="shared" si="11"/>
        <v>0</v>
      </c>
      <c r="O8" s="380">
        <f t="shared" si="12"/>
        <v>0</v>
      </c>
      <c r="P8" s="380">
        <f t="shared" si="13"/>
        <v>0</v>
      </c>
      <c r="Q8" s="380">
        <f t="shared" si="14"/>
        <v>0</v>
      </c>
      <c r="R8" s="380">
        <f t="shared" si="15"/>
        <v>0</v>
      </c>
      <c r="S8" s="380">
        <f t="shared" si="16"/>
        <v>0</v>
      </c>
      <c r="T8" s="383">
        <f t="shared" si="17"/>
        <v>0</v>
      </c>
      <c r="U8" s="384"/>
      <c r="V8" s="384"/>
      <c r="W8" s="384"/>
      <c r="X8" s="15"/>
      <c r="Y8" s="386">
        <f>AC4</f>
        <v>239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1:48">
      <c r="A9" s="378">
        <f t="shared" si="18"/>
        <v>6</v>
      </c>
      <c r="B9" s="379">
        <v>1</v>
      </c>
      <c r="C9" s="380">
        <f t="shared" si="0"/>
        <v>243.00000000000003</v>
      </c>
      <c r="D9" s="380">
        <f t="shared" si="1"/>
        <v>133.20000000000002</v>
      </c>
      <c r="E9" s="380">
        <f t="shared" si="2"/>
        <v>134.5</v>
      </c>
      <c r="F9" s="380">
        <f t="shared" si="3"/>
        <v>106.1</v>
      </c>
      <c r="G9" s="380">
        <f t="shared" si="4"/>
        <v>168</v>
      </c>
      <c r="H9" s="380">
        <f t="shared" si="5"/>
        <v>256.3</v>
      </c>
      <c r="I9" s="380">
        <f t="shared" si="6"/>
        <v>137.5</v>
      </c>
      <c r="J9" s="380">
        <f t="shared" si="7"/>
        <v>176.5</v>
      </c>
      <c r="K9" s="381">
        <f t="shared" si="8"/>
        <v>171.4</v>
      </c>
      <c r="L9" s="382">
        <f t="shared" si="9"/>
        <v>243.00000000000003</v>
      </c>
      <c r="M9" s="380">
        <f t="shared" si="10"/>
        <v>133.20000000000002</v>
      </c>
      <c r="N9" s="380">
        <f t="shared" si="11"/>
        <v>134.5</v>
      </c>
      <c r="O9" s="380">
        <f t="shared" si="12"/>
        <v>106.1</v>
      </c>
      <c r="P9" s="380">
        <f t="shared" si="13"/>
        <v>168</v>
      </c>
      <c r="Q9" s="380">
        <f t="shared" si="14"/>
        <v>256.3</v>
      </c>
      <c r="R9" s="380">
        <f t="shared" si="15"/>
        <v>137.5</v>
      </c>
      <c r="S9" s="380">
        <f t="shared" si="16"/>
        <v>176.5</v>
      </c>
      <c r="T9" s="383">
        <f t="shared" si="17"/>
        <v>171.4</v>
      </c>
      <c r="U9" s="384"/>
      <c r="V9" s="384"/>
      <c r="W9" s="384"/>
      <c r="X9" s="15"/>
      <c r="Y9" s="386">
        <f>AD4</f>
        <v>243.00000000000003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spans="1:48">
      <c r="A10" s="378">
        <f t="shared" si="18"/>
        <v>7</v>
      </c>
      <c r="B10" s="379">
        <v>0</v>
      </c>
      <c r="C10" s="380">
        <f t="shared" si="0"/>
        <v>231.70000000000002</v>
      </c>
      <c r="D10" s="380">
        <f t="shared" si="1"/>
        <v>106.69999999999999</v>
      </c>
      <c r="E10" s="380">
        <f t="shared" si="2"/>
        <v>118</v>
      </c>
      <c r="F10" s="380">
        <f t="shared" si="3"/>
        <v>149.30000000000001</v>
      </c>
      <c r="G10" s="380">
        <f t="shared" si="4"/>
        <v>177.89999999999998</v>
      </c>
      <c r="H10" s="380">
        <f t="shared" si="5"/>
        <v>255.20000000000002</v>
      </c>
      <c r="I10" s="380">
        <f t="shared" si="6"/>
        <v>119.7</v>
      </c>
      <c r="J10" s="380">
        <f t="shared" si="7"/>
        <v>163.19999999999999</v>
      </c>
      <c r="K10" s="381">
        <f t="shared" si="8"/>
        <v>171.2</v>
      </c>
      <c r="L10" s="382">
        <f t="shared" si="9"/>
        <v>0</v>
      </c>
      <c r="M10" s="380">
        <f t="shared" si="10"/>
        <v>0</v>
      </c>
      <c r="N10" s="380">
        <f t="shared" si="11"/>
        <v>0</v>
      </c>
      <c r="O10" s="380">
        <f t="shared" si="12"/>
        <v>0</v>
      </c>
      <c r="P10" s="380">
        <f t="shared" si="13"/>
        <v>0</v>
      </c>
      <c r="Q10" s="380">
        <f t="shared" si="14"/>
        <v>0</v>
      </c>
      <c r="R10" s="380">
        <f t="shared" si="15"/>
        <v>0</v>
      </c>
      <c r="S10" s="380">
        <f t="shared" si="16"/>
        <v>0</v>
      </c>
      <c r="T10" s="383">
        <f t="shared" si="17"/>
        <v>0</v>
      </c>
      <c r="U10" s="384"/>
      <c r="V10" s="384"/>
      <c r="W10" s="384"/>
      <c r="X10" s="15"/>
      <c r="Y10" s="386">
        <f>AE4</f>
        <v>231.70000000000002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spans="1:48">
      <c r="A11" s="378">
        <f t="shared" si="18"/>
        <v>8</v>
      </c>
      <c r="B11" s="379">
        <v>1</v>
      </c>
      <c r="C11" s="380">
        <f t="shared" si="0"/>
        <v>212.1</v>
      </c>
      <c r="D11" s="380">
        <f t="shared" si="1"/>
        <v>81.3</v>
      </c>
      <c r="E11" s="380">
        <f t="shared" si="2"/>
        <v>115.19999999999999</v>
      </c>
      <c r="F11" s="380">
        <f t="shared" si="3"/>
        <v>199.9</v>
      </c>
      <c r="G11" s="380">
        <f t="shared" si="4"/>
        <v>176.6</v>
      </c>
      <c r="H11" s="380">
        <f t="shared" si="5"/>
        <v>240.60000000000002</v>
      </c>
      <c r="I11" s="380">
        <f t="shared" si="6"/>
        <v>105.80000000000001</v>
      </c>
      <c r="J11" s="380">
        <f t="shared" si="7"/>
        <v>157.80000000000001</v>
      </c>
      <c r="K11" s="381">
        <f t="shared" si="8"/>
        <v>173</v>
      </c>
      <c r="L11" s="382">
        <f t="shared" si="9"/>
        <v>212.1</v>
      </c>
      <c r="M11" s="380">
        <f t="shared" si="10"/>
        <v>81.3</v>
      </c>
      <c r="N11" s="380">
        <f t="shared" si="11"/>
        <v>115.19999999999999</v>
      </c>
      <c r="O11" s="380">
        <f t="shared" si="12"/>
        <v>199.9</v>
      </c>
      <c r="P11" s="380">
        <f t="shared" si="13"/>
        <v>176.6</v>
      </c>
      <c r="Q11" s="380">
        <f t="shared" si="14"/>
        <v>240.60000000000002</v>
      </c>
      <c r="R11" s="380">
        <f t="shared" si="15"/>
        <v>105.80000000000001</v>
      </c>
      <c r="S11" s="380">
        <f t="shared" si="16"/>
        <v>157.80000000000001</v>
      </c>
      <c r="T11" s="383">
        <f t="shared" si="17"/>
        <v>173</v>
      </c>
      <c r="U11" s="384"/>
      <c r="V11" s="384"/>
      <c r="W11" s="384"/>
      <c r="X11" s="15"/>
      <c r="Y11" s="386">
        <f>AF4</f>
        <v>212.1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8">
      <c r="A12" s="378">
        <f t="shared" si="18"/>
        <v>9</v>
      </c>
      <c r="B12" s="379">
        <v>1</v>
      </c>
      <c r="C12" s="380">
        <f t="shared" si="0"/>
        <v>188.39999999999998</v>
      </c>
      <c r="D12" s="380">
        <f t="shared" si="1"/>
        <v>75.400000000000006</v>
      </c>
      <c r="E12" s="380">
        <f t="shared" si="2"/>
        <v>126.1</v>
      </c>
      <c r="F12" s="380">
        <f t="shared" si="3"/>
        <v>243.5</v>
      </c>
      <c r="G12" s="380">
        <f t="shared" si="4"/>
        <v>168.3</v>
      </c>
      <c r="H12" s="380">
        <f t="shared" si="5"/>
        <v>211.50000000000003</v>
      </c>
      <c r="I12" s="380">
        <f t="shared" si="6"/>
        <v>102.8</v>
      </c>
      <c r="J12" s="380">
        <f t="shared" si="7"/>
        <v>153.80000000000001</v>
      </c>
      <c r="K12" s="381">
        <f t="shared" si="8"/>
        <v>175.2</v>
      </c>
      <c r="L12" s="382">
        <f t="shared" si="9"/>
        <v>188.39999999999998</v>
      </c>
      <c r="M12" s="380">
        <f t="shared" si="10"/>
        <v>75.400000000000006</v>
      </c>
      <c r="N12" s="380">
        <f t="shared" si="11"/>
        <v>126.1</v>
      </c>
      <c r="O12" s="380">
        <f t="shared" si="12"/>
        <v>243.5</v>
      </c>
      <c r="P12" s="380">
        <f t="shared" si="13"/>
        <v>168.3</v>
      </c>
      <c r="Q12" s="380">
        <f t="shared" si="14"/>
        <v>211.50000000000003</v>
      </c>
      <c r="R12" s="380">
        <f t="shared" si="15"/>
        <v>102.8</v>
      </c>
      <c r="S12" s="380">
        <f t="shared" si="16"/>
        <v>153.80000000000001</v>
      </c>
      <c r="T12" s="383">
        <f t="shared" si="17"/>
        <v>175.2</v>
      </c>
      <c r="U12" s="384"/>
      <c r="V12" s="384"/>
      <c r="W12" s="384"/>
      <c r="X12" s="15"/>
      <c r="Y12" s="386">
        <f>AG4</f>
        <v>188.39999999999998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>
      <c r="A13" s="378">
        <f t="shared" si="18"/>
        <v>10</v>
      </c>
      <c r="B13" s="379">
        <v>0</v>
      </c>
      <c r="C13" s="380">
        <f t="shared" si="0"/>
        <v>163.69999999999999</v>
      </c>
      <c r="D13" s="380">
        <f t="shared" si="1"/>
        <v>90.600000000000009</v>
      </c>
      <c r="E13" s="380">
        <f t="shared" si="2"/>
        <v>147</v>
      </c>
      <c r="F13" s="380">
        <f t="shared" si="3"/>
        <v>274.5</v>
      </c>
      <c r="G13" s="380">
        <f t="shared" si="4"/>
        <v>147.5</v>
      </c>
      <c r="H13" s="380">
        <f t="shared" si="5"/>
        <v>180.5</v>
      </c>
      <c r="I13" s="380">
        <f t="shared" si="6"/>
        <v>110.00000000000001</v>
      </c>
      <c r="J13" s="380">
        <f t="shared" si="7"/>
        <v>154.4</v>
      </c>
      <c r="K13" s="381">
        <f t="shared" si="8"/>
        <v>172.3</v>
      </c>
      <c r="L13" s="382">
        <f t="shared" si="9"/>
        <v>0</v>
      </c>
      <c r="M13" s="380">
        <f t="shared" si="10"/>
        <v>0</v>
      </c>
      <c r="N13" s="380">
        <f t="shared" si="11"/>
        <v>0</v>
      </c>
      <c r="O13" s="380">
        <f t="shared" si="12"/>
        <v>0</v>
      </c>
      <c r="P13" s="380">
        <f t="shared" si="13"/>
        <v>0</v>
      </c>
      <c r="Q13" s="380">
        <f t="shared" si="14"/>
        <v>0</v>
      </c>
      <c r="R13" s="380">
        <f t="shared" si="15"/>
        <v>0</v>
      </c>
      <c r="S13" s="380">
        <f t="shared" si="16"/>
        <v>0</v>
      </c>
      <c r="T13" s="383">
        <f t="shared" si="17"/>
        <v>0</v>
      </c>
      <c r="U13" s="384"/>
      <c r="V13" s="384"/>
      <c r="W13" s="384"/>
      <c r="X13" s="15"/>
      <c r="Y13" s="386">
        <f>AH4</f>
        <v>163.69999999999999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1:48">
      <c r="A14" s="378">
        <f t="shared" si="18"/>
        <v>11</v>
      </c>
      <c r="B14" s="379">
        <v>2</v>
      </c>
      <c r="C14" s="380">
        <f t="shared" si="0"/>
        <v>145.4</v>
      </c>
      <c r="D14" s="380">
        <f t="shared" si="1"/>
        <v>123.10000000000001</v>
      </c>
      <c r="E14" s="380">
        <f t="shared" si="2"/>
        <v>166.79999999999998</v>
      </c>
      <c r="F14" s="380">
        <f t="shared" si="3"/>
        <v>284.60000000000002</v>
      </c>
      <c r="G14" s="380">
        <f t="shared" si="4"/>
        <v>126.29999999999998</v>
      </c>
      <c r="H14" s="380">
        <f t="shared" si="5"/>
        <v>156.4</v>
      </c>
      <c r="I14" s="380">
        <f t="shared" si="6"/>
        <v>130.69999999999999</v>
      </c>
      <c r="J14" s="380">
        <f t="shared" si="7"/>
        <v>162.1</v>
      </c>
      <c r="K14" s="381">
        <f t="shared" si="8"/>
        <v>171.5</v>
      </c>
      <c r="L14" s="382">
        <f t="shared" si="9"/>
        <v>290.8</v>
      </c>
      <c r="M14" s="380">
        <f t="shared" si="10"/>
        <v>246.20000000000002</v>
      </c>
      <c r="N14" s="380">
        <f t="shared" si="11"/>
        <v>333.59999999999997</v>
      </c>
      <c r="O14" s="380">
        <f t="shared" si="12"/>
        <v>569.20000000000005</v>
      </c>
      <c r="P14" s="380">
        <f t="shared" si="13"/>
        <v>252.59999999999997</v>
      </c>
      <c r="Q14" s="380">
        <f t="shared" si="14"/>
        <v>312.8</v>
      </c>
      <c r="R14" s="380">
        <f t="shared" si="15"/>
        <v>261.39999999999998</v>
      </c>
      <c r="S14" s="380">
        <f t="shared" si="16"/>
        <v>324.2</v>
      </c>
      <c r="T14" s="383">
        <f t="shared" si="17"/>
        <v>343</v>
      </c>
      <c r="U14" s="384"/>
      <c r="V14" s="384"/>
      <c r="W14" s="384"/>
      <c r="X14" s="15"/>
      <c r="Y14" s="386">
        <f>AI4</f>
        <v>145.4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1:48">
      <c r="A15" s="378">
        <f t="shared" si="18"/>
        <v>12</v>
      </c>
      <c r="B15" s="379">
        <v>0</v>
      </c>
      <c r="C15" s="380">
        <f t="shared" si="0"/>
        <v>135.4</v>
      </c>
      <c r="D15" s="380">
        <f t="shared" si="1"/>
        <v>162.69999999999999</v>
      </c>
      <c r="E15" s="380">
        <f t="shared" si="2"/>
        <v>177.1</v>
      </c>
      <c r="F15" s="380">
        <f t="shared" si="3"/>
        <v>275.8</v>
      </c>
      <c r="G15" s="380">
        <f t="shared" si="4"/>
        <v>102.3</v>
      </c>
      <c r="H15" s="380">
        <f t="shared" si="5"/>
        <v>143.9</v>
      </c>
      <c r="I15" s="380">
        <f t="shared" si="6"/>
        <v>159.30000000000001</v>
      </c>
      <c r="J15" s="380">
        <f t="shared" si="7"/>
        <v>170.4</v>
      </c>
      <c r="K15" s="381">
        <f t="shared" si="8"/>
        <v>173.9</v>
      </c>
      <c r="L15" s="382">
        <f t="shared" si="9"/>
        <v>0</v>
      </c>
      <c r="M15" s="380">
        <f t="shared" si="10"/>
        <v>0</v>
      </c>
      <c r="N15" s="380">
        <f t="shared" si="11"/>
        <v>0</v>
      </c>
      <c r="O15" s="380">
        <f t="shared" si="12"/>
        <v>0</v>
      </c>
      <c r="P15" s="380">
        <f t="shared" si="13"/>
        <v>0</v>
      </c>
      <c r="Q15" s="380">
        <f t="shared" si="14"/>
        <v>0</v>
      </c>
      <c r="R15" s="380">
        <f t="shared" si="15"/>
        <v>0</v>
      </c>
      <c r="S15" s="380">
        <f t="shared" si="16"/>
        <v>0</v>
      </c>
      <c r="T15" s="383">
        <f t="shared" si="17"/>
        <v>0</v>
      </c>
      <c r="U15" s="384"/>
      <c r="V15" s="384"/>
      <c r="W15" s="384"/>
      <c r="X15" s="15"/>
      <c r="Y15" s="386">
        <f>AJ4</f>
        <v>135.4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>
      <c r="A16" s="378">
        <f t="shared" si="18"/>
        <v>13</v>
      </c>
      <c r="B16" s="379">
        <v>1</v>
      </c>
      <c r="C16" s="380">
        <f t="shared" si="0"/>
        <v>142</v>
      </c>
      <c r="D16" s="380">
        <f t="shared" si="1"/>
        <v>205.50000000000003</v>
      </c>
      <c r="E16" s="380">
        <f t="shared" si="2"/>
        <v>176.5</v>
      </c>
      <c r="F16" s="380">
        <f t="shared" si="3"/>
        <v>250.59999999999997</v>
      </c>
      <c r="G16" s="380">
        <f t="shared" si="4"/>
        <v>79.7</v>
      </c>
      <c r="H16" s="380">
        <f t="shared" si="5"/>
        <v>140.79999999999998</v>
      </c>
      <c r="I16" s="380">
        <f t="shared" si="6"/>
        <v>188.6</v>
      </c>
      <c r="J16" s="380">
        <f t="shared" si="7"/>
        <v>172.10000000000002</v>
      </c>
      <c r="K16" s="381">
        <f t="shared" si="8"/>
        <v>178.5</v>
      </c>
      <c r="L16" s="382">
        <f t="shared" si="9"/>
        <v>142</v>
      </c>
      <c r="M16" s="380">
        <f t="shared" si="10"/>
        <v>205.50000000000003</v>
      </c>
      <c r="N16" s="380">
        <f t="shared" si="11"/>
        <v>176.5</v>
      </c>
      <c r="O16" s="380">
        <f t="shared" si="12"/>
        <v>250.59999999999997</v>
      </c>
      <c r="P16" s="380">
        <f t="shared" si="13"/>
        <v>79.7</v>
      </c>
      <c r="Q16" s="380">
        <f t="shared" si="14"/>
        <v>140.79999999999998</v>
      </c>
      <c r="R16" s="380">
        <f t="shared" si="15"/>
        <v>188.6</v>
      </c>
      <c r="S16" s="380">
        <f t="shared" si="16"/>
        <v>172.10000000000002</v>
      </c>
      <c r="T16" s="383">
        <f t="shared" si="17"/>
        <v>178.5</v>
      </c>
      <c r="U16" s="384"/>
      <c r="V16" s="384"/>
      <c r="W16" s="384"/>
      <c r="X16" s="15"/>
      <c r="Y16" s="386">
        <f>AK4</f>
        <v>142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spans="1:48">
      <c r="A17" s="378">
        <f t="shared" si="18"/>
        <v>14</v>
      </c>
      <c r="B17" s="379">
        <v>1</v>
      </c>
      <c r="C17" s="380">
        <f t="shared" si="0"/>
        <v>156.1</v>
      </c>
      <c r="D17" s="380">
        <f t="shared" si="1"/>
        <v>245.6</v>
      </c>
      <c r="E17" s="380">
        <f t="shared" si="2"/>
        <v>165.3</v>
      </c>
      <c r="F17" s="380">
        <f t="shared" si="3"/>
        <v>212.3</v>
      </c>
      <c r="G17" s="380">
        <f t="shared" si="4"/>
        <v>73.400000000000006</v>
      </c>
      <c r="H17" s="380">
        <f t="shared" si="5"/>
        <v>147.9</v>
      </c>
      <c r="I17" s="380">
        <f t="shared" si="6"/>
        <v>209.60000000000002</v>
      </c>
      <c r="J17" s="380">
        <f t="shared" si="7"/>
        <v>169.3</v>
      </c>
      <c r="K17" s="381">
        <f t="shared" si="8"/>
        <v>182.20000000000002</v>
      </c>
      <c r="L17" s="382">
        <f t="shared" si="9"/>
        <v>156.1</v>
      </c>
      <c r="M17" s="380">
        <f t="shared" si="10"/>
        <v>245.6</v>
      </c>
      <c r="N17" s="380">
        <f t="shared" si="11"/>
        <v>165.3</v>
      </c>
      <c r="O17" s="380">
        <f t="shared" si="12"/>
        <v>212.3</v>
      </c>
      <c r="P17" s="380">
        <f t="shared" si="13"/>
        <v>73.400000000000006</v>
      </c>
      <c r="Q17" s="380">
        <f t="shared" si="14"/>
        <v>147.9</v>
      </c>
      <c r="R17" s="380">
        <f t="shared" si="15"/>
        <v>209.60000000000002</v>
      </c>
      <c r="S17" s="380">
        <f t="shared" si="16"/>
        <v>169.3</v>
      </c>
      <c r="T17" s="383">
        <f t="shared" si="17"/>
        <v>182.20000000000002</v>
      </c>
      <c r="U17" s="384"/>
      <c r="V17" s="384"/>
      <c r="W17" s="384"/>
      <c r="X17" s="15"/>
      <c r="Y17" s="386">
        <f>AL4</f>
        <v>156.1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1:48">
      <c r="A18" s="378">
        <f t="shared" si="18"/>
        <v>15</v>
      </c>
      <c r="B18" s="379">
        <v>0</v>
      </c>
      <c r="C18" s="380">
        <f t="shared" si="0"/>
        <v>173.10000000000002</v>
      </c>
      <c r="D18" s="380">
        <f t="shared" si="1"/>
        <v>271.39999999999998</v>
      </c>
      <c r="E18" s="380">
        <f t="shared" si="2"/>
        <v>144.4</v>
      </c>
      <c r="F18" s="380">
        <f t="shared" si="3"/>
        <v>174.9</v>
      </c>
      <c r="G18" s="380">
        <f t="shared" si="4"/>
        <v>85.7</v>
      </c>
      <c r="H18" s="380">
        <f t="shared" si="5"/>
        <v>159.30000000000001</v>
      </c>
      <c r="I18" s="380">
        <f t="shared" si="6"/>
        <v>224.10000000000002</v>
      </c>
      <c r="J18" s="380">
        <f t="shared" si="7"/>
        <v>161</v>
      </c>
      <c r="K18" s="381">
        <f t="shared" si="8"/>
        <v>182.29999999999998</v>
      </c>
      <c r="L18" s="382">
        <f t="shared" si="9"/>
        <v>0</v>
      </c>
      <c r="M18" s="380">
        <f t="shared" si="10"/>
        <v>0</v>
      </c>
      <c r="N18" s="380">
        <f t="shared" si="11"/>
        <v>0</v>
      </c>
      <c r="O18" s="380">
        <f t="shared" si="12"/>
        <v>0</v>
      </c>
      <c r="P18" s="380">
        <f t="shared" si="13"/>
        <v>0</v>
      </c>
      <c r="Q18" s="380">
        <f t="shared" si="14"/>
        <v>0</v>
      </c>
      <c r="R18" s="380">
        <f t="shared" si="15"/>
        <v>0</v>
      </c>
      <c r="S18" s="380">
        <f t="shared" si="16"/>
        <v>0</v>
      </c>
      <c r="T18" s="383">
        <f t="shared" si="17"/>
        <v>0</v>
      </c>
      <c r="U18" s="384"/>
      <c r="V18" s="384"/>
      <c r="W18" s="384"/>
      <c r="X18" s="15"/>
      <c r="Y18" s="386">
        <f>AM4</f>
        <v>173.10000000000002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1:48">
      <c r="A19" s="378">
        <f t="shared" si="18"/>
        <v>16</v>
      </c>
      <c r="B19" s="379">
        <v>2</v>
      </c>
      <c r="C19" s="380">
        <f t="shared" si="0"/>
        <v>188.9</v>
      </c>
      <c r="D19" s="380">
        <f t="shared" si="1"/>
        <v>272.8</v>
      </c>
      <c r="E19" s="380">
        <f t="shared" si="2"/>
        <v>122.6</v>
      </c>
      <c r="F19" s="380">
        <f t="shared" si="3"/>
        <v>142.9</v>
      </c>
      <c r="G19" s="380">
        <f t="shared" si="4"/>
        <v>115.99999999999999</v>
      </c>
      <c r="H19" s="380">
        <f t="shared" si="5"/>
        <v>172.10000000000002</v>
      </c>
      <c r="I19" s="380">
        <f t="shared" si="6"/>
        <v>230.29999999999998</v>
      </c>
      <c r="J19" s="380">
        <f t="shared" si="7"/>
        <v>149.6</v>
      </c>
      <c r="K19" s="381">
        <f t="shared" si="8"/>
        <v>176.6</v>
      </c>
      <c r="L19" s="382">
        <f t="shared" si="9"/>
        <v>377.8</v>
      </c>
      <c r="M19" s="380">
        <f t="shared" si="10"/>
        <v>545.6</v>
      </c>
      <c r="N19" s="380">
        <f t="shared" si="11"/>
        <v>245.2</v>
      </c>
      <c r="O19" s="380">
        <f t="shared" si="12"/>
        <v>285.8</v>
      </c>
      <c r="P19" s="380">
        <f t="shared" si="13"/>
        <v>231.99999999999997</v>
      </c>
      <c r="Q19" s="380">
        <f t="shared" si="14"/>
        <v>344.20000000000005</v>
      </c>
      <c r="R19" s="380">
        <f t="shared" si="15"/>
        <v>460.59999999999997</v>
      </c>
      <c r="S19" s="380">
        <f t="shared" si="16"/>
        <v>299.2</v>
      </c>
      <c r="T19" s="383">
        <f t="shared" si="17"/>
        <v>353.2</v>
      </c>
      <c r="U19" s="384"/>
      <c r="V19" s="384"/>
      <c r="W19" s="384"/>
      <c r="X19" s="15"/>
      <c r="Y19" s="386">
        <f>AN4</f>
        <v>188.9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>
      <c r="A20" s="378">
        <f t="shared" si="18"/>
        <v>17</v>
      </c>
      <c r="B20" s="379">
        <v>1</v>
      </c>
      <c r="C20" s="380">
        <f t="shared" si="0"/>
        <v>194.9</v>
      </c>
      <c r="D20" s="380">
        <f t="shared" si="1"/>
        <v>255.20000000000002</v>
      </c>
      <c r="E20" s="380">
        <f t="shared" si="2"/>
        <v>95.6</v>
      </c>
      <c r="F20" s="380">
        <f t="shared" si="3"/>
        <v>126.1</v>
      </c>
      <c r="G20" s="380">
        <f t="shared" si="4"/>
        <v>154</v>
      </c>
      <c r="H20" s="380">
        <f t="shared" si="5"/>
        <v>180.8</v>
      </c>
      <c r="I20" s="380">
        <f t="shared" si="6"/>
        <v>224.7</v>
      </c>
      <c r="J20" s="380">
        <f t="shared" si="7"/>
        <v>143.70000000000002</v>
      </c>
      <c r="K20" s="381">
        <f t="shared" si="8"/>
        <v>168.4</v>
      </c>
      <c r="L20" s="382">
        <f t="shared" si="9"/>
        <v>194.9</v>
      </c>
      <c r="M20" s="380">
        <f t="shared" si="10"/>
        <v>255.20000000000002</v>
      </c>
      <c r="N20" s="380">
        <f t="shared" si="11"/>
        <v>95.6</v>
      </c>
      <c r="O20" s="380">
        <f t="shared" si="12"/>
        <v>126.1</v>
      </c>
      <c r="P20" s="380">
        <f t="shared" si="13"/>
        <v>154</v>
      </c>
      <c r="Q20" s="380">
        <f t="shared" si="14"/>
        <v>180.8</v>
      </c>
      <c r="R20" s="380">
        <f t="shared" si="15"/>
        <v>224.7</v>
      </c>
      <c r="S20" s="380">
        <f t="shared" si="16"/>
        <v>143.70000000000002</v>
      </c>
      <c r="T20" s="383">
        <f t="shared" si="17"/>
        <v>168.4</v>
      </c>
      <c r="U20" s="384"/>
      <c r="V20" s="384"/>
      <c r="W20" s="384"/>
      <c r="X20" s="15"/>
      <c r="Y20" s="386">
        <f>AO4</f>
        <v>194.9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spans="1:48">
      <c r="A21" s="378">
        <f t="shared" si="18"/>
        <v>18</v>
      </c>
      <c r="B21" s="379">
        <v>1</v>
      </c>
      <c r="C21" s="380">
        <f t="shared" si="0"/>
        <v>190</v>
      </c>
      <c r="D21" s="380">
        <f t="shared" si="1"/>
        <v>222.8</v>
      </c>
      <c r="E21" s="380">
        <f t="shared" si="2"/>
        <v>73.8</v>
      </c>
      <c r="F21" s="380">
        <f t="shared" si="3"/>
        <v>123.10000000000001</v>
      </c>
      <c r="G21" s="380">
        <f t="shared" si="4"/>
        <v>198.9</v>
      </c>
      <c r="H21" s="380">
        <f t="shared" si="5"/>
        <v>180.5</v>
      </c>
      <c r="I21" s="380">
        <f t="shared" si="6"/>
        <v>212.4</v>
      </c>
      <c r="J21" s="380">
        <f t="shared" si="7"/>
        <v>143.1</v>
      </c>
      <c r="K21" s="381">
        <f t="shared" si="8"/>
        <v>154.80000000000001</v>
      </c>
      <c r="L21" s="382">
        <f t="shared" si="9"/>
        <v>190</v>
      </c>
      <c r="M21" s="380">
        <f t="shared" si="10"/>
        <v>222.8</v>
      </c>
      <c r="N21" s="380">
        <f t="shared" si="11"/>
        <v>73.8</v>
      </c>
      <c r="O21" s="380">
        <f t="shared" si="12"/>
        <v>123.10000000000001</v>
      </c>
      <c r="P21" s="380">
        <f t="shared" si="13"/>
        <v>198.9</v>
      </c>
      <c r="Q21" s="380">
        <f t="shared" si="14"/>
        <v>180.5</v>
      </c>
      <c r="R21" s="380">
        <f t="shared" si="15"/>
        <v>212.4</v>
      </c>
      <c r="S21" s="380">
        <f t="shared" si="16"/>
        <v>143.1</v>
      </c>
      <c r="T21" s="383">
        <f t="shared" si="17"/>
        <v>154.80000000000001</v>
      </c>
      <c r="U21" s="384"/>
      <c r="V21" s="384"/>
      <c r="W21" s="384"/>
      <c r="X21" s="15"/>
      <c r="Y21" s="386">
        <f>AP4</f>
        <v>190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>
      <c r="A22" s="378">
        <f t="shared" si="18"/>
        <v>19</v>
      </c>
      <c r="B22" s="379">
        <v>2</v>
      </c>
      <c r="C22" s="380">
        <f t="shared" si="0"/>
        <v>173.3</v>
      </c>
      <c r="D22" s="380">
        <f t="shared" si="1"/>
        <v>182.8</v>
      </c>
      <c r="E22" s="380">
        <f t="shared" si="2"/>
        <v>68.7</v>
      </c>
      <c r="F22" s="380">
        <f t="shared" si="3"/>
        <v>137.20000000000002</v>
      </c>
      <c r="G22" s="380">
        <f t="shared" si="4"/>
        <v>235.6</v>
      </c>
      <c r="H22" s="380">
        <f t="shared" si="5"/>
        <v>166.70000000000002</v>
      </c>
      <c r="I22" s="380">
        <f t="shared" si="6"/>
        <v>198.6</v>
      </c>
      <c r="J22" s="380">
        <f t="shared" si="7"/>
        <v>146.6</v>
      </c>
      <c r="K22" s="381">
        <f t="shared" si="8"/>
        <v>142.19999999999999</v>
      </c>
      <c r="L22" s="382">
        <f t="shared" si="9"/>
        <v>346.6</v>
      </c>
      <c r="M22" s="380">
        <f t="shared" si="10"/>
        <v>365.6</v>
      </c>
      <c r="N22" s="380">
        <f t="shared" si="11"/>
        <v>137.4</v>
      </c>
      <c r="O22" s="380">
        <f t="shared" si="12"/>
        <v>274.40000000000003</v>
      </c>
      <c r="P22" s="380">
        <f t="shared" si="13"/>
        <v>471.2</v>
      </c>
      <c r="Q22" s="380">
        <f t="shared" si="14"/>
        <v>333.40000000000003</v>
      </c>
      <c r="R22" s="380">
        <f t="shared" si="15"/>
        <v>397.2</v>
      </c>
      <c r="S22" s="380">
        <f t="shared" si="16"/>
        <v>293.2</v>
      </c>
      <c r="T22" s="383">
        <f t="shared" si="17"/>
        <v>284.39999999999998</v>
      </c>
      <c r="U22" s="384"/>
      <c r="V22" s="384"/>
      <c r="W22" s="384"/>
      <c r="X22" s="15"/>
      <c r="Y22" s="386">
        <f>AQ4</f>
        <v>173.3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spans="1:48">
      <c r="A23" s="378">
        <f t="shared" si="18"/>
        <v>20</v>
      </c>
      <c r="B23" s="379">
        <v>0</v>
      </c>
      <c r="C23" s="380">
        <f t="shared" si="0"/>
        <v>155</v>
      </c>
      <c r="D23" s="380">
        <f t="shared" si="1"/>
        <v>148.5</v>
      </c>
      <c r="E23" s="380">
        <f t="shared" si="2"/>
        <v>86.4</v>
      </c>
      <c r="F23" s="380">
        <f t="shared" si="3"/>
        <v>158.80000000000001</v>
      </c>
      <c r="G23" s="380">
        <f t="shared" si="4"/>
        <v>259.5</v>
      </c>
      <c r="H23" s="380">
        <f t="shared" si="5"/>
        <v>146</v>
      </c>
      <c r="I23" s="380">
        <f t="shared" si="6"/>
        <v>180.8</v>
      </c>
      <c r="J23" s="380">
        <f t="shared" si="7"/>
        <v>153.9</v>
      </c>
      <c r="K23" s="381">
        <f t="shared" si="8"/>
        <v>136.5</v>
      </c>
      <c r="L23" s="382">
        <f t="shared" si="9"/>
        <v>0</v>
      </c>
      <c r="M23" s="380">
        <f t="shared" si="10"/>
        <v>0</v>
      </c>
      <c r="N23" s="380">
        <f t="shared" si="11"/>
        <v>0</v>
      </c>
      <c r="O23" s="380">
        <f t="shared" si="12"/>
        <v>0</v>
      </c>
      <c r="P23" s="380">
        <f t="shared" si="13"/>
        <v>0</v>
      </c>
      <c r="Q23" s="380">
        <f t="shared" si="14"/>
        <v>0</v>
      </c>
      <c r="R23" s="380">
        <f t="shared" si="15"/>
        <v>0</v>
      </c>
      <c r="S23" s="380">
        <f t="shared" si="16"/>
        <v>0</v>
      </c>
      <c r="T23" s="383">
        <f t="shared" si="17"/>
        <v>0</v>
      </c>
      <c r="U23" s="384"/>
      <c r="V23" s="384"/>
      <c r="W23" s="384"/>
      <c r="X23" s="15"/>
      <c r="Y23" s="386">
        <f>AR4</f>
        <v>155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spans="1:48">
      <c r="A24" s="378">
        <f t="shared" si="18"/>
        <v>21</v>
      </c>
      <c r="B24" s="379">
        <v>2</v>
      </c>
      <c r="C24" s="380">
        <f t="shared" si="0"/>
        <v>132.4</v>
      </c>
      <c r="D24" s="380">
        <f t="shared" si="1"/>
        <v>122</v>
      </c>
      <c r="E24" s="380">
        <f t="shared" si="2"/>
        <v>124.6</v>
      </c>
      <c r="F24" s="380">
        <f t="shared" si="3"/>
        <v>176.89999999999998</v>
      </c>
      <c r="G24" s="380">
        <f t="shared" si="4"/>
        <v>268.89999999999998</v>
      </c>
      <c r="H24" s="380">
        <f t="shared" si="5"/>
        <v>125.4</v>
      </c>
      <c r="I24" s="380">
        <f t="shared" si="6"/>
        <v>162.9</v>
      </c>
      <c r="J24" s="380">
        <f t="shared" si="7"/>
        <v>163.6</v>
      </c>
      <c r="K24" s="381">
        <f t="shared" si="8"/>
        <v>137.30000000000001</v>
      </c>
      <c r="L24" s="382">
        <f t="shared" si="9"/>
        <v>264.8</v>
      </c>
      <c r="M24" s="380">
        <f t="shared" si="10"/>
        <v>244</v>
      </c>
      <c r="N24" s="380">
        <f t="shared" si="11"/>
        <v>249.2</v>
      </c>
      <c r="O24" s="380">
        <f t="shared" si="12"/>
        <v>353.79999999999995</v>
      </c>
      <c r="P24" s="380">
        <f t="shared" si="13"/>
        <v>537.79999999999995</v>
      </c>
      <c r="Q24" s="380">
        <f t="shared" si="14"/>
        <v>250.8</v>
      </c>
      <c r="R24" s="380">
        <f t="shared" si="15"/>
        <v>325.8</v>
      </c>
      <c r="S24" s="380">
        <f t="shared" si="16"/>
        <v>327.2</v>
      </c>
      <c r="T24" s="383">
        <f t="shared" si="17"/>
        <v>274.60000000000002</v>
      </c>
      <c r="U24" s="384"/>
      <c r="V24" s="384"/>
      <c r="W24" s="384"/>
      <c r="X24" s="15"/>
      <c r="Y24" s="386">
        <f>AS4</f>
        <v>132.4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spans="1:48">
      <c r="A25" s="378">
        <f t="shared" si="18"/>
        <v>22</v>
      </c>
      <c r="B25" s="379">
        <v>1</v>
      </c>
      <c r="C25" s="380">
        <f t="shared" si="0"/>
        <v>110.80000000000001</v>
      </c>
      <c r="D25" s="380">
        <f t="shared" si="1"/>
        <v>113.6</v>
      </c>
      <c r="E25" s="380">
        <f t="shared" si="2"/>
        <v>170.1</v>
      </c>
      <c r="F25" s="380">
        <f t="shared" si="3"/>
        <v>181.29999999999998</v>
      </c>
      <c r="G25" s="380">
        <f t="shared" si="4"/>
        <v>258.59999999999997</v>
      </c>
      <c r="H25" s="380">
        <f t="shared" si="5"/>
        <v>104.69999999999999</v>
      </c>
      <c r="I25" s="380">
        <f t="shared" si="6"/>
        <v>153.5</v>
      </c>
      <c r="J25" s="380">
        <f t="shared" si="7"/>
        <v>170.70000000000002</v>
      </c>
      <c r="K25" s="381">
        <f t="shared" si="8"/>
        <v>139.30000000000001</v>
      </c>
      <c r="L25" s="382">
        <f t="shared" si="9"/>
        <v>110.80000000000001</v>
      </c>
      <c r="M25" s="380">
        <f t="shared" si="10"/>
        <v>113.6</v>
      </c>
      <c r="N25" s="380">
        <f t="shared" si="11"/>
        <v>170.1</v>
      </c>
      <c r="O25" s="380">
        <f t="shared" si="12"/>
        <v>181.29999999999998</v>
      </c>
      <c r="P25" s="380">
        <f t="shared" si="13"/>
        <v>258.59999999999997</v>
      </c>
      <c r="Q25" s="380">
        <f t="shared" si="14"/>
        <v>104.69999999999999</v>
      </c>
      <c r="R25" s="380">
        <f t="shared" si="15"/>
        <v>153.5</v>
      </c>
      <c r="S25" s="380">
        <f t="shared" si="16"/>
        <v>170.70000000000002</v>
      </c>
      <c r="T25" s="383">
        <f t="shared" si="17"/>
        <v>139.30000000000001</v>
      </c>
      <c r="U25" s="384"/>
      <c r="V25" s="384"/>
      <c r="W25" s="384"/>
      <c r="X25" s="15"/>
      <c r="Y25" s="386">
        <f>AT4</f>
        <v>110.80000000000001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1:48">
      <c r="A26" s="378">
        <f t="shared" si="18"/>
        <v>23</v>
      </c>
      <c r="B26" s="379">
        <v>1</v>
      </c>
      <c r="C26" s="380">
        <f t="shared" si="0"/>
        <v>96.899999999999991</v>
      </c>
      <c r="D26" s="380">
        <f t="shared" si="1"/>
        <v>123.4</v>
      </c>
      <c r="E26" s="380">
        <f t="shared" si="2"/>
        <v>219.3</v>
      </c>
      <c r="F26" s="380">
        <f t="shared" si="3"/>
        <v>177.7</v>
      </c>
      <c r="G26" s="380">
        <f t="shared" si="4"/>
        <v>233.9</v>
      </c>
      <c r="H26" s="380">
        <f t="shared" si="5"/>
        <v>90.600000000000009</v>
      </c>
      <c r="I26" s="380">
        <f t="shared" si="6"/>
        <v>150.19999999999999</v>
      </c>
      <c r="J26" s="380">
        <f t="shared" si="7"/>
        <v>179.7</v>
      </c>
      <c r="K26" s="381">
        <f t="shared" si="8"/>
        <v>145.79999999999998</v>
      </c>
      <c r="L26" s="382">
        <f t="shared" si="9"/>
        <v>96.899999999999991</v>
      </c>
      <c r="M26" s="380">
        <f t="shared" si="10"/>
        <v>123.4</v>
      </c>
      <c r="N26" s="380">
        <f t="shared" si="11"/>
        <v>219.3</v>
      </c>
      <c r="O26" s="380">
        <f t="shared" si="12"/>
        <v>177.7</v>
      </c>
      <c r="P26" s="380">
        <f t="shared" si="13"/>
        <v>233.9</v>
      </c>
      <c r="Q26" s="380">
        <f t="shared" si="14"/>
        <v>90.600000000000009</v>
      </c>
      <c r="R26" s="380">
        <f t="shared" si="15"/>
        <v>150.19999999999999</v>
      </c>
      <c r="S26" s="380">
        <f t="shared" si="16"/>
        <v>179.7</v>
      </c>
      <c r="T26" s="383">
        <f t="shared" si="17"/>
        <v>145.79999999999998</v>
      </c>
      <c r="U26" s="384"/>
      <c r="V26" s="384"/>
      <c r="W26" s="384"/>
      <c r="X26" s="15"/>
      <c r="Y26" s="386">
        <f>AU4</f>
        <v>96.899999999999991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>
      <c r="A27" s="378">
        <f t="shared" si="18"/>
        <v>24</v>
      </c>
      <c r="B27" s="379">
        <v>2</v>
      </c>
      <c r="C27" s="380">
        <f t="shared" si="0"/>
        <v>99.1</v>
      </c>
      <c r="D27" s="380">
        <f t="shared" si="1"/>
        <v>143.4</v>
      </c>
      <c r="E27" s="380">
        <f t="shared" si="2"/>
        <v>259.5</v>
      </c>
      <c r="F27" s="380">
        <f t="shared" si="3"/>
        <v>164.1</v>
      </c>
      <c r="G27" s="380">
        <f t="shared" si="4"/>
        <v>199.10000000000002</v>
      </c>
      <c r="H27" s="380">
        <f t="shared" si="5"/>
        <v>87.1</v>
      </c>
      <c r="I27" s="380">
        <f t="shared" si="6"/>
        <v>151.10000000000002</v>
      </c>
      <c r="J27" s="380">
        <f t="shared" si="7"/>
        <v>184.3</v>
      </c>
      <c r="K27" s="381">
        <f t="shared" si="8"/>
        <v>156.1</v>
      </c>
      <c r="L27" s="382">
        <f t="shared" si="9"/>
        <v>198.2</v>
      </c>
      <c r="M27" s="380">
        <f t="shared" si="10"/>
        <v>286.8</v>
      </c>
      <c r="N27" s="380">
        <f t="shared" si="11"/>
        <v>519</v>
      </c>
      <c r="O27" s="380">
        <f t="shared" si="12"/>
        <v>328.2</v>
      </c>
      <c r="P27" s="380">
        <f t="shared" si="13"/>
        <v>398.20000000000005</v>
      </c>
      <c r="Q27" s="380">
        <f t="shared" si="14"/>
        <v>174.2</v>
      </c>
      <c r="R27" s="380">
        <f t="shared" si="15"/>
        <v>302.20000000000005</v>
      </c>
      <c r="S27" s="380">
        <f>B27*J27</f>
        <v>368.6</v>
      </c>
      <c r="T27" s="383">
        <f t="shared" si="17"/>
        <v>312.2</v>
      </c>
      <c r="U27" s="384"/>
      <c r="V27" s="384"/>
      <c r="W27" s="384"/>
      <c r="X27" s="15"/>
      <c r="Y27" s="386">
        <f>AV4</f>
        <v>99.1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1:48">
      <c r="A28" s="378">
        <f t="shared" si="18"/>
        <v>25</v>
      </c>
      <c r="B28" s="379">
        <v>0</v>
      </c>
      <c r="C28" s="380">
        <f t="shared" si="0"/>
        <v>113.79999999999998</v>
      </c>
      <c r="D28" s="380">
        <f t="shared" si="1"/>
        <v>164.1</v>
      </c>
      <c r="E28" s="380">
        <f t="shared" si="2"/>
        <v>281.8</v>
      </c>
      <c r="F28" s="380">
        <f t="shared" si="3"/>
        <v>140.79999999999998</v>
      </c>
      <c r="G28" s="380">
        <f t="shared" si="4"/>
        <v>169.79999999999998</v>
      </c>
      <c r="H28" s="380">
        <f t="shared" si="5"/>
        <v>102.4</v>
      </c>
      <c r="I28" s="380">
        <f t="shared" si="6"/>
        <v>159.5</v>
      </c>
      <c r="J28" s="380">
        <f t="shared" si="7"/>
        <v>187.4</v>
      </c>
      <c r="K28" s="381">
        <f t="shared" si="8"/>
        <v>169.6</v>
      </c>
      <c r="L28" s="382">
        <f t="shared" si="9"/>
        <v>0</v>
      </c>
      <c r="M28" s="380">
        <f t="shared" si="10"/>
        <v>0</v>
      </c>
      <c r="N28" s="380">
        <f t="shared" si="11"/>
        <v>0</v>
      </c>
      <c r="O28" s="380">
        <f t="shared" si="12"/>
        <v>0</v>
      </c>
      <c r="P28" s="380">
        <f t="shared" si="13"/>
        <v>0</v>
      </c>
      <c r="Q28" s="380">
        <f>B28*H28</f>
        <v>0</v>
      </c>
      <c r="R28" s="380">
        <f t="shared" si="15"/>
        <v>0</v>
      </c>
      <c r="S28" s="380">
        <f t="shared" si="16"/>
        <v>0</v>
      </c>
      <c r="T28" s="383">
        <f t="shared" si="17"/>
        <v>0</v>
      </c>
      <c r="U28" s="384"/>
      <c r="V28" s="384"/>
      <c r="W28" s="384"/>
      <c r="X28" s="15">
        <f>skemA1!B6</f>
        <v>44710</v>
      </c>
      <c r="Y28" s="386">
        <f>skemA1!C6</f>
        <v>113.79999999999998</v>
      </c>
      <c r="Z28" s="386">
        <f>skemA1!D6</f>
        <v>143.9</v>
      </c>
      <c r="AA28" s="386">
        <f>skemA1!E6</f>
        <v>184.7</v>
      </c>
      <c r="AB28" s="386">
        <f>skemA1!F6</f>
        <v>222.29999999999998</v>
      </c>
      <c r="AC28" s="386">
        <f>skemA1!G6</f>
        <v>249.10000000000002</v>
      </c>
      <c r="AD28" s="386">
        <f>skemA1!H6</f>
        <v>258.10000000000002</v>
      </c>
      <c r="AE28" s="386">
        <f>skemA1!I6</f>
        <v>251.9</v>
      </c>
      <c r="AF28" s="386">
        <f>skemA1!J6</f>
        <v>232.6</v>
      </c>
      <c r="AG28" s="386">
        <f>skemA1!K6</f>
        <v>202.4</v>
      </c>
      <c r="AH28" s="386">
        <f>skemA1!L6</f>
        <v>171.9</v>
      </c>
      <c r="AI28" s="386">
        <f>skemA1!M6</f>
        <v>144.1</v>
      </c>
      <c r="AJ28" s="386">
        <f>skemA1!N6</f>
        <v>125.29999999999998</v>
      </c>
      <c r="AK28" s="386">
        <f>skemA1!O6</f>
        <v>123.2</v>
      </c>
      <c r="AL28" s="386">
        <f>skemA1!P6</f>
        <v>133.20000000000002</v>
      </c>
      <c r="AM28" s="386">
        <f>skemA1!Q6</f>
        <v>150</v>
      </c>
      <c r="AN28" s="386">
        <f>skemA1!R6</f>
        <v>169.3</v>
      </c>
      <c r="AO28" s="386">
        <f>skemA1!S6</f>
        <v>183.29999999999998</v>
      </c>
      <c r="AP28" s="386">
        <f>skemA1!T6</f>
        <v>184</v>
      </c>
      <c r="AQ28" s="386">
        <f>skemA1!U6</f>
        <v>174.2</v>
      </c>
      <c r="AR28" s="386">
        <f>skemA1!V6</f>
        <v>158.29999999999998</v>
      </c>
      <c r="AS28" s="386">
        <f>skemA1!W6</f>
        <v>133.20000000000002</v>
      </c>
      <c r="AT28" s="386">
        <f>skemA1!X6</f>
        <v>106.69999999999999</v>
      </c>
      <c r="AU28" s="386">
        <f>skemA1!Y6</f>
        <v>81.3</v>
      </c>
      <c r="AV28" s="386">
        <f>skemA1!Z6</f>
        <v>75.400000000000006</v>
      </c>
    </row>
    <row r="29" spans="1:48">
      <c r="A29" s="378">
        <f t="shared" si="18"/>
        <v>26</v>
      </c>
      <c r="B29" s="379">
        <v>1</v>
      </c>
      <c r="C29" s="380">
        <f t="shared" si="0"/>
        <v>143.9</v>
      </c>
      <c r="D29" s="380">
        <f t="shared" si="1"/>
        <v>177.8</v>
      </c>
      <c r="E29" s="380">
        <f t="shared" si="2"/>
        <v>284</v>
      </c>
      <c r="F29" s="380">
        <f t="shared" si="3"/>
        <v>115.10000000000001</v>
      </c>
      <c r="G29" s="380">
        <f t="shared" si="4"/>
        <v>143.55000000000001</v>
      </c>
      <c r="H29" s="380">
        <f t="shared" si="5"/>
        <v>131.4</v>
      </c>
      <c r="I29" s="380">
        <f t="shared" si="6"/>
        <v>172.4</v>
      </c>
      <c r="J29" s="380">
        <f t="shared" si="7"/>
        <v>189.9</v>
      </c>
      <c r="K29" s="381">
        <f t="shared" si="8"/>
        <v>181.6</v>
      </c>
      <c r="L29" s="382">
        <f t="shared" si="9"/>
        <v>143.9</v>
      </c>
      <c r="M29" s="380">
        <f t="shared" si="10"/>
        <v>177.8</v>
      </c>
      <c r="N29" s="380">
        <f t="shared" si="11"/>
        <v>284</v>
      </c>
      <c r="O29" s="380">
        <f t="shared" si="12"/>
        <v>115.10000000000001</v>
      </c>
      <c r="P29" s="380">
        <f t="shared" si="13"/>
        <v>143.55000000000001</v>
      </c>
      <c r="Q29" s="380">
        <f t="shared" si="14"/>
        <v>131.4</v>
      </c>
      <c r="R29" s="380">
        <f t="shared" si="15"/>
        <v>172.4</v>
      </c>
      <c r="S29" s="380">
        <f t="shared" si="16"/>
        <v>189.9</v>
      </c>
      <c r="T29" s="383">
        <f t="shared" si="17"/>
        <v>181.6</v>
      </c>
      <c r="U29" s="384"/>
      <c r="V29" s="384"/>
      <c r="W29" s="384"/>
      <c r="X29" s="15"/>
      <c r="Y29" s="386">
        <f>Z28</f>
        <v>143.9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1:48">
      <c r="A30" s="378">
        <f t="shared" si="18"/>
        <v>27</v>
      </c>
      <c r="B30" s="379">
        <v>1</v>
      </c>
      <c r="C30" s="380">
        <f t="shared" si="0"/>
        <v>184.7</v>
      </c>
      <c r="D30" s="380">
        <f t="shared" si="1"/>
        <v>182.1</v>
      </c>
      <c r="E30" s="380">
        <f t="shared" si="2"/>
        <v>265.7</v>
      </c>
      <c r="F30" s="380">
        <f t="shared" si="3"/>
        <v>90.4</v>
      </c>
      <c r="G30" s="380">
        <f t="shared" si="4"/>
        <v>131.9</v>
      </c>
      <c r="H30" s="380">
        <f t="shared" si="5"/>
        <v>166.79999999999998</v>
      </c>
      <c r="I30" s="380">
        <f t="shared" si="6"/>
        <v>179.6</v>
      </c>
      <c r="J30" s="380">
        <f t="shared" si="7"/>
        <v>192.4</v>
      </c>
      <c r="K30" s="381">
        <f t="shared" si="8"/>
        <v>190.3</v>
      </c>
      <c r="L30" s="382">
        <f t="shared" si="9"/>
        <v>184.7</v>
      </c>
      <c r="M30" s="380">
        <f t="shared" si="10"/>
        <v>182.1</v>
      </c>
      <c r="N30" s="380">
        <f t="shared" si="11"/>
        <v>265.7</v>
      </c>
      <c r="O30" s="380">
        <f t="shared" si="12"/>
        <v>90.4</v>
      </c>
      <c r="P30" s="380">
        <f t="shared" si="13"/>
        <v>131.9</v>
      </c>
      <c r="Q30" s="380">
        <f t="shared" si="14"/>
        <v>166.79999999999998</v>
      </c>
      <c r="R30" s="380">
        <f t="shared" si="15"/>
        <v>179.6</v>
      </c>
      <c r="S30" s="380">
        <f t="shared" si="16"/>
        <v>192.4</v>
      </c>
      <c r="T30" s="383">
        <f t="shared" si="17"/>
        <v>190.3</v>
      </c>
      <c r="U30" s="384"/>
      <c r="V30" s="384"/>
      <c r="W30" s="384"/>
      <c r="X30" s="15"/>
      <c r="Y30" s="386">
        <f>AA28</f>
        <v>184.7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spans="1:48">
      <c r="A31" s="378">
        <f t="shared" si="18"/>
        <v>28</v>
      </c>
      <c r="B31" s="379">
        <v>0</v>
      </c>
      <c r="C31" s="380">
        <f t="shared" si="0"/>
        <v>222.29999999999998</v>
      </c>
      <c r="D31" s="380">
        <f t="shared" si="1"/>
        <v>178.7</v>
      </c>
      <c r="E31" s="380">
        <f t="shared" si="2"/>
        <v>228.79999999999998</v>
      </c>
      <c r="F31" s="380">
        <f t="shared" si="3"/>
        <v>74</v>
      </c>
      <c r="G31" s="380">
        <f t="shared" si="4"/>
        <v>130.4</v>
      </c>
      <c r="H31" s="380">
        <f t="shared" si="5"/>
        <v>199.3</v>
      </c>
      <c r="I31" s="380">
        <f t="shared" si="6"/>
        <v>176.6</v>
      </c>
      <c r="J31" s="380">
        <f t="shared" si="7"/>
        <v>189.39999999999998</v>
      </c>
      <c r="K31" s="381">
        <f t="shared" si="8"/>
        <v>196.8</v>
      </c>
      <c r="L31" s="382">
        <f t="shared" si="9"/>
        <v>0</v>
      </c>
      <c r="M31" s="380">
        <f t="shared" si="10"/>
        <v>0</v>
      </c>
      <c r="N31" s="380">
        <f t="shared" si="11"/>
        <v>0</v>
      </c>
      <c r="O31" s="380">
        <f t="shared" si="12"/>
        <v>0</v>
      </c>
      <c r="P31" s="380">
        <f t="shared" si="13"/>
        <v>0</v>
      </c>
      <c r="Q31" s="380">
        <f t="shared" si="14"/>
        <v>0</v>
      </c>
      <c r="R31" s="380">
        <f t="shared" si="15"/>
        <v>0</v>
      </c>
      <c r="S31" s="380">
        <f t="shared" si="16"/>
        <v>0</v>
      </c>
      <c r="T31" s="383">
        <f t="shared" si="17"/>
        <v>0</v>
      </c>
      <c r="U31" s="384"/>
      <c r="V31" s="384"/>
      <c r="W31" s="384"/>
      <c r="X31" s="15"/>
      <c r="Y31" s="386">
        <f>AB28</f>
        <v>222.29999999999998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spans="1:48">
      <c r="A32" s="378">
        <f t="shared" si="18"/>
        <v>29</v>
      </c>
      <c r="B32" s="379">
        <v>2</v>
      </c>
      <c r="C32" s="380">
        <f t="shared" si="0"/>
        <v>249.10000000000002</v>
      </c>
      <c r="D32" s="380">
        <f t="shared" si="1"/>
        <v>162.60000000000002</v>
      </c>
      <c r="E32" s="380">
        <f t="shared" si="2"/>
        <v>188.2</v>
      </c>
      <c r="F32" s="380">
        <f t="shared" si="3"/>
        <v>75.400000000000006</v>
      </c>
      <c r="G32" s="380">
        <f t="shared" si="4"/>
        <v>142.1</v>
      </c>
      <c r="H32" s="380">
        <f t="shared" si="5"/>
        <v>225</v>
      </c>
      <c r="I32" s="380">
        <f t="shared" si="6"/>
        <v>164</v>
      </c>
      <c r="J32" s="380">
        <f t="shared" si="7"/>
        <v>183.5</v>
      </c>
      <c r="K32" s="381">
        <f t="shared" si="8"/>
        <v>201.2</v>
      </c>
      <c r="L32" s="382">
        <f t="shared" si="9"/>
        <v>498.20000000000005</v>
      </c>
      <c r="M32" s="380">
        <f t="shared" si="10"/>
        <v>325.20000000000005</v>
      </c>
      <c r="N32" s="380">
        <f t="shared" si="11"/>
        <v>376.4</v>
      </c>
      <c r="O32" s="380">
        <f t="shared" si="12"/>
        <v>150.80000000000001</v>
      </c>
      <c r="P32" s="380">
        <f t="shared" si="13"/>
        <v>284.2</v>
      </c>
      <c r="Q32" s="380">
        <f t="shared" si="14"/>
        <v>450</v>
      </c>
      <c r="R32" s="380">
        <f t="shared" si="15"/>
        <v>328</v>
      </c>
      <c r="S32" s="380">
        <f t="shared" si="16"/>
        <v>367</v>
      </c>
      <c r="T32" s="383">
        <f t="shared" si="17"/>
        <v>402.4</v>
      </c>
      <c r="U32" s="384"/>
      <c r="V32" s="384"/>
      <c r="W32" s="384"/>
      <c r="X32" s="15"/>
      <c r="Y32" s="386">
        <f>AC28</f>
        <v>249.10000000000002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1:48">
      <c r="A33" s="378">
        <f t="shared" si="18"/>
        <v>30</v>
      </c>
      <c r="B33" s="379">
        <v>0</v>
      </c>
      <c r="C33" s="380">
        <f t="shared" si="0"/>
        <v>258.10000000000002</v>
      </c>
      <c r="D33" s="380">
        <f t="shared" si="1"/>
        <v>139.9</v>
      </c>
      <c r="E33" s="380">
        <f t="shared" si="2"/>
        <v>151.5</v>
      </c>
      <c r="F33" s="380">
        <f t="shared" si="3"/>
        <v>94.699999999999989</v>
      </c>
      <c r="G33" s="380">
        <f t="shared" si="4"/>
        <v>159.4</v>
      </c>
      <c r="H33" s="380">
        <f t="shared" si="5"/>
        <v>240.20000000000002</v>
      </c>
      <c r="I33" s="380">
        <f t="shared" si="6"/>
        <v>149.5</v>
      </c>
      <c r="J33" s="380">
        <f t="shared" si="7"/>
        <v>178.9</v>
      </c>
      <c r="K33" s="381">
        <f t="shared" si="8"/>
        <v>200</v>
      </c>
      <c r="L33" s="382">
        <f t="shared" si="9"/>
        <v>0</v>
      </c>
      <c r="M33" s="380">
        <f t="shared" si="10"/>
        <v>0</v>
      </c>
      <c r="N33" s="380">
        <f t="shared" si="11"/>
        <v>0</v>
      </c>
      <c r="O33" s="380">
        <f t="shared" si="12"/>
        <v>0</v>
      </c>
      <c r="P33" s="380">
        <f t="shared" si="13"/>
        <v>0</v>
      </c>
      <c r="Q33" s="380">
        <f t="shared" si="14"/>
        <v>0</v>
      </c>
      <c r="R33" s="380">
        <f t="shared" si="15"/>
        <v>0</v>
      </c>
      <c r="S33" s="380">
        <f t="shared" si="16"/>
        <v>0</v>
      </c>
      <c r="T33" s="383">
        <f t="shared" si="17"/>
        <v>0</v>
      </c>
      <c r="U33" s="384"/>
      <c r="V33" s="384"/>
      <c r="W33" s="384"/>
      <c r="X33" s="15"/>
      <c r="Y33" s="386">
        <f>AD28</f>
        <v>258.10000000000002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1:48">
      <c r="A34" s="378">
        <f t="shared" si="18"/>
        <v>31</v>
      </c>
      <c r="B34" s="379">
        <v>1</v>
      </c>
      <c r="C34" s="380">
        <f t="shared" si="0"/>
        <v>251.9</v>
      </c>
      <c r="D34" s="380">
        <f t="shared" si="1"/>
        <v>114.6</v>
      </c>
      <c r="E34" s="380">
        <f t="shared" si="2"/>
        <v>127</v>
      </c>
      <c r="F34" s="380">
        <f t="shared" si="3"/>
        <v>130.5</v>
      </c>
      <c r="G34" s="380">
        <f t="shared" si="4"/>
        <v>174.8</v>
      </c>
      <c r="H34" s="380">
        <f t="shared" si="5"/>
        <v>242.20000000000002</v>
      </c>
      <c r="I34" s="380">
        <f t="shared" si="6"/>
        <v>137.30000000000001</v>
      </c>
      <c r="J34" s="380">
        <f t="shared" si="7"/>
        <v>167.4</v>
      </c>
      <c r="K34" s="381">
        <f t="shared" si="8"/>
        <v>191.3</v>
      </c>
      <c r="L34" s="382">
        <f t="shared" si="9"/>
        <v>251.9</v>
      </c>
      <c r="M34" s="380">
        <f t="shared" si="10"/>
        <v>114.6</v>
      </c>
      <c r="N34" s="380">
        <f t="shared" si="11"/>
        <v>127</v>
      </c>
      <c r="O34" s="380">
        <f t="shared" si="12"/>
        <v>130.5</v>
      </c>
      <c r="P34" s="380">
        <f t="shared" si="13"/>
        <v>174.8</v>
      </c>
      <c r="Q34" s="380">
        <f t="shared" si="14"/>
        <v>242.20000000000002</v>
      </c>
      <c r="R34" s="380">
        <f t="shared" si="15"/>
        <v>137.30000000000001</v>
      </c>
      <c r="S34" s="380">
        <f t="shared" si="16"/>
        <v>167.4</v>
      </c>
      <c r="T34" s="383">
        <f t="shared" si="17"/>
        <v>191.3</v>
      </c>
      <c r="U34" s="384"/>
      <c r="V34" s="384"/>
      <c r="W34" s="384"/>
      <c r="X34" s="15"/>
      <c r="Y34" s="386">
        <f>AE28</f>
        <v>251.9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1:48">
      <c r="A35" s="378">
        <f t="shared" si="18"/>
        <v>32</v>
      </c>
      <c r="B35" s="379">
        <v>1</v>
      </c>
      <c r="C35" s="380">
        <f t="shared" si="0"/>
        <v>232.6</v>
      </c>
      <c r="D35" s="380">
        <f t="shared" si="1"/>
        <v>88.5</v>
      </c>
      <c r="E35" s="380">
        <f t="shared" si="2"/>
        <v>116.9</v>
      </c>
      <c r="F35" s="380">
        <f t="shared" si="3"/>
        <v>175.4</v>
      </c>
      <c r="G35" s="380">
        <f t="shared" si="4"/>
        <v>182</v>
      </c>
      <c r="H35" s="380">
        <f t="shared" si="5"/>
        <v>235.70000000000002</v>
      </c>
      <c r="I35" s="380">
        <f t="shared" si="6"/>
        <v>127.1</v>
      </c>
      <c r="J35" s="380">
        <f t="shared" si="7"/>
        <v>157.6</v>
      </c>
      <c r="K35" s="381">
        <f t="shared" si="8"/>
        <v>182</v>
      </c>
      <c r="L35" s="382">
        <f t="shared" si="9"/>
        <v>232.6</v>
      </c>
      <c r="M35" s="380">
        <f t="shared" si="10"/>
        <v>88.5</v>
      </c>
      <c r="N35" s="380">
        <f t="shared" si="11"/>
        <v>116.9</v>
      </c>
      <c r="O35" s="380">
        <f t="shared" si="12"/>
        <v>175.4</v>
      </c>
      <c r="P35" s="380">
        <f t="shared" si="13"/>
        <v>182</v>
      </c>
      <c r="Q35" s="380">
        <f t="shared" si="14"/>
        <v>235.70000000000002</v>
      </c>
      <c r="R35" s="380">
        <f t="shared" si="15"/>
        <v>127.1</v>
      </c>
      <c r="S35" s="380">
        <f t="shared" si="16"/>
        <v>157.6</v>
      </c>
      <c r="T35" s="383">
        <f t="shared" si="17"/>
        <v>182</v>
      </c>
      <c r="U35" s="384"/>
      <c r="V35" s="384"/>
      <c r="W35" s="384"/>
      <c r="X35" s="15"/>
      <c r="Y35" s="386">
        <f>AF28</f>
        <v>232.6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spans="1:48">
      <c r="A36" s="378">
        <f t="shared" si="18"/>
        <v>33</v>
      </c>
      <c r="B36" s="379">
        <v>0</v>
      </c>
      <c r="C36" s="380">
        <f t="shared" si="0"/>
        <v>202.4</v>
      </c>
      <c r="D36" s="380">
        <f t="shared" si="1"/>
        <v>70.199999999999989</v>
      </c>
      <c r="E36" s="380">
        <f t="shared" si="2"/>
        <v>122.50000000000001</v>
      </c>
      <c r="F36" s="380">
        <f t="shared" si="3"/>
        <v>218.5</v>
      </c>
      <c r="G36" s="380">
        <f t="shared" si="4"/>
        <v>177.1</v>
      </c>
      <c r="H36" s="380">
        <f t="shared" si="5"/>
        <v>218.29999999999998</v>
      </c>
      <c r="I36" s="380">
        <f t="shared" si="6"/>
        <v>123.4</v>
      </c>
      <c r="J36" s="380">
        <f t="shared" si="7"/>
        <v>150.89999999999998</v>
      </c>
      <c r="K36" s="381">
        <f t="shared" si="8"/>
        <v>172.2</v>
      </c>
      <c r="L36" s="382">
        <f t="shared" si="9"/>
        <v>0</v>
      </c>
      <c r="M36" s="380">
        <f t="shared" si="10"/>
        <v>0</v>
      </c>
      <c r="N36" s="380">
        <f t="shared" si="11"/>
        <v>0</v>
      </c>
      <c r="O36" s="380">
        <f t="shared" si="12"/>
        <v>0</v>
      </c>
      <c r="P36" s="380">
        <f t="shared" si="13"/>
        <v>0</v>
      </c>
      <c r="Q36" s="380">
        <f t="shared" si="14"/>
        <v>0</v>
      </c>
      <c r="R36" s="380">
        <f t="shared" si="15"/>
        <v>0</v>
      </c>
      <c r="S36" s="380">
        <f t="shared" si="16"/>
        <v>0</v>
      </c>
      <c r="T36" s="383">
        <f t="shared" si="17"/>
        <v>0</v>
      </c>
      <c r="U36" s="384"/>
      <c r="V36" s="384"/>
      <c r="W36" s="384"/>
      <c r="X36" s="15"/>
      <c r="Y36" s="386">
        <f>AG28</f>
        <v>202.4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>
      <c r="A37" s="378">
        <f t="shared" si="18"/>
        <v>34</v>
      </c>
      <c r="B37" s="379">
        <v>1</v>
      </c>
      <c r="C37" s="380">
        <f t="shared" si="0"/>
        <v>171.9</v>
      </c>
      <c r="D37" s="380">
        <f t="shared" si="1"/>
        <v>74.3</v>
      </c>
      <c r="E37" s="380">
        <f t="shared" si="2"/>
        <v>137.5</v>
      </c>
      <c r="F37" s="380">
        <f t="shared" si="3"/>
        <v>254.70000000000002</v>
      </c>
      <c r="G37" s="380">
        <f t="shared" si="4"/>
        <v>158.80000000000001</v>
      </c>
      <c r="H37" s="380">
        <f t="shared" si="5"/>
        <v>192.3</v>
      </c>
      <c r="I37" s="380">
        <f t="shared" si="6"/>
        <v>127.3</v>
      </c>
      <c r="J37" s="380">
        <f t="shared" si="7"/>
        <v>146.80000000000001</v>
      </c>
      <c r="K37" s="381">
        <f t="shared" si="8"/>
        <v>164.79999999999998</v>
      </c>
      <c r="L37" s="382">
        <f t="shared" si="9"/>
        <v>171.9</v>
      </c>
      <c r="M37" s="380">
        <f t="shared" si="10"/>
        <v>74.3</v>
      </c>
      <c r="N37" s="380">
        <f t="shared" si="11"/>
        <v>137.5</v>
      </c>
      <c r="O37" s="380">
        <f t="shared" si="12"/>
        <v>254.70000000000002</v>
      </c>
      <c r="P37" s="380">
        <f t="shared" si="13"/>
        <v>158.80000000000001</v>
      </c>
      <c r="Q37" s="380">
        <f t="shared" si="14"/>
        <v>192.3</v>
      </c>
      <c r="R37" s="380">
        <f t="shared" si="15"/>
        <v>127.3</v>
      </c>
      <c r="S37" s="380">
        <f t="shared" si="16"/>
        <v>146.80000000000001</v>
      </c>
      <c r="T37" s="383">
        <f t="shared" si="17"/>
        <v>164.79999999999998</v>
      </c>
      <c r="U37" s="384"/>
      <c r="V37" s="384"/>
      <c r="W37" s="384"/>
      <c r="X37" s="15"/>
      <c r="Y37" s="386">
        <f>AH28</f>
        <v>171.9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>
      <c r="A38" s="378">
        <f t="shared" si="18"/>
        <v>35</v>
      </c>
      <c r="B38" s="379">
        <v>0</v>
      </c>
      <c r="C38" s="380">
        <f t="shared" si="0"/>
        <v>144.1</v>
      </c>
      <c r="D38" s="380">
        <f t="shared" si="1"/>
        <v>100.89999999999999</v>
      </c>
      <c r="E38" s="380">
        <f t="shared" si="2"/>
        <v>159.4</v>
      </c>
      <c r="F38" s="380">
        <f t="shared" si="3"/>
        <v>275.8</v>
      </c>
      <c r="G38" s="380">
        <f t="shared" si="4"/>
        <v>136</v>
      </c>
      <c r="H38" s="380">
        <f t="shared" si="5"/>
        <v>170.5</v>
      </c>
      <c r="I38" s="380">
        <f t="shared" si="6"/>
        <v>135.20000000000002</v>
      </c>
      <c r="J38" s="380">
        <f t="shared" si="7"/>
        <v>148.4</v>
      </c>
      <c r="K38" s="381">
        <f t="shared" si="8"/>
        <v>160</v>
      </c>
      <c r="L38" s="382">
        <f t="shared" si="9"/>
        <v>0</v>
      </c>
      <c r="M38" s="380">
        <f t="shared" si="10"/>
        <v>0</v>
      </c>
      <c r="N38" s="380">
        <f t="shared" si="11"/>
        <v>0</v>
      </c>
      <c r="O38" s="380">
        <f t="shared" si="12"/>
        <v>0</v>
      </c>
      <c r="P38" s="380">
        <f t="shared" si="13"/>
        <v>0</v>
      </c>
      <c r="Q38" s="380">
        <f t="shared" si="14"/>
        <v>0</v>
      </c>
      <c r="R38" s="380">
        <f t="shared" si="15"/>
        <v>0</v>
      </c>
      <c r="S38" s="380">
        <f t="shared" si="16"/>
        <v>0</v>
      </c>
      <c r="T38" s="383">
        <f t="shared" si="17"/>
        <v>0</v>
      </c>
      <c r="U38" s="384"/>
      <c r="V38" s="384"/>
      <c r="W38" s="384"/>
      <c r="X38" s="15"/>
      <c r="Y38" s="386">
        <f>AI28</f>
        <v>144.1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>
      <c r="A39" s="378">
        <f t="shared" si="18"/>
        <v>36</v>
      </c>
      <c r="B39" s="379">
        <v>0</v>
      </c>
      <c r="C39" s="380">
        <f t="shared" si="0"/>
        <v>125.29999999999998</v>
      </c>
      <c r="D39" s="380">
        <f t="shared" si="1"/>
        <v>139.5</v>
      </c>
      <c r="E39" s="380">
        <f t="shared" si="2"/>
        <v>178.4</v>
      </c>
      <c r="F39" s="380">
        <f t="shared" si="3"/>
        <v>277.3</v>
      </c>
      <c r="G39" s="380">
        <f t="shared" si="4"/>
        <v>112.4</v>
      </c>
      <c r="H39" s="380">
        <f t="shared" si="5"/>
        <v>155.6</v>
      </c>
      <c r="I39" s="380">
        <f t="shared" si="6"/>
        <v>152.6</v>
      </c>
      <c r="J39" s="380">
        <f t="shared" si="7"/>
        <v>152.69999999999999</v>
      </c>
      <c r="K39" s="381">
        <f t="shared" si="8"/>
        <v>158.1</v>
      </c>
      <c r="L39" s="382">
        <f t="shared" si="9"/>
        <v>0</v>
      </c>
      <c r="M39" s="380">
        <f t="shared" si="10"/>
        <v>0</v>
      </c>
      <c r="N39" s="380">
        <f t="shared" si="11"/>
        <v>0</v>
      </c>
      <c r="O39" s="380">
        <f t="shared" si="12"/>
        <v>0</v>
      </c>
      <c r="P39" s="380">
        <f t="shared" si="13"/>
        <v>0</v>
      </c>
      <c r="Q39" s="380">
        <f t="shared" si="14"/>
        <v>0</v>
      </c>
      <c r="R39" s="380">
        <f t="shared" si="15"/>
        <v>0</v>
      </c>
      <c r="S39" s="380">
        <f t="shared" si="16"/>
        <v>0</v>
      </c>
      <c r="T39" s="383">
        <f t="shared" si="17"/>
        <v>0</v>
      </c>
      <c r="U39" s="384"/>
      <c r="V39" s="384"/>
      <c r="W39" s="384"/>
      <c r="X39" s="15"/>
      <c r="Y39" s="386">
        <f>AJ28</f>
        <v>125.29999999999998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>
      <c r="A40" s="378">
        <f t="shared" si="18"/>
        <v>37</v>
      </c>
      <c r="B40" s="379">
        <v>1</v>
      </c>
      <c r="C40" s="380">
        <f t="shared" si="0"/>
        <v>123.2</v>
      </c>
      <c r="D40" s="380">
        <f t="shared" si="1"/>
        <v>188.39999999999998</v>
      </c>
      <c r="E40" s="380">
        <f t="shared" si="2"/>
        <v>183.9</v>
      </c>
      <c r="F40" s="380">
        <f t="shared" si="3"/>
        <v>259.8</v>
      </c>
      <c r="G40" s="380">
        <f t="shared" si="4"/>
        <v>90.5</v>
      </c>
      <c r="H40" s="380">
        <f t="shared" si="5"/>
        <v>147.30000000000001</v>
      </c>
      <c r="I40" s="380">
        <f t="shared" si="6"/>
        <v>173.9</v>
      </c>
      <c r="J40" s="380">
        <f t="shared" si="7"/>
        <v>154.4</v>
      </c>
      <c r="K40" s="381">
        <f t="shared" si="8"/>
        <v>160.80000000000001</v>
      </c>
      <c r="L40" s="382">
        <f t="shared" si="9"/>
        <v>123.2</v>
      </c>
      <c r="M40" s="380">
        <f t="shared" si="10"/>
        <v>188.39999999999998</v>
      </c>
      <c r="N40" s="380">
        <f t="shared" si="11"/>
        <v>183.9</v>
      </c>
      <c r="O40" s="380">
        <f t="shared" si="12"/>
        <v>259.8</v>
      </c>
      <c r="P40" s="380">
        <f t="shared" si="13"/>
        <v>90.5</v>
      </c>
      <c r="Q40" s="380">
        <f t="shared" si="14"/>
        <v>147.30000000000001</v>
      </c>
      <c r="R40" s="380">
        <f t="shared" si="15"/>
        <v>173.9</v>
      </c>
      <c r="S40" s="380">
        <f t="shared" si="16"/>
        <v>154.4</v>
      </c>
      <c r="T40" s="383">
        <f t="shared" si="17"/>
        <v>160.80000000000001</v>
      </c>
      <c r="U40" s="384"/>
      <c r="V40" s="384"/>
      <c r="W40" s="384"/>
      <c r="X40" s="15"/>
      <c r="Y40" s="386">
        <f>AK28</f>
        <v>123.2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>
      <c r="A41" s="378">
        <f t="shared" si="18"/>
        <v>38</v>
      </c>
      <c r="B41" s="379">
        <v>0</v>
      </c>
      <c r="C41" s="380">
        <f t="shared" si="0"/>
        <v>133.20000000000002</v>
      </c>
      <c r="D41" s="380">
        <f t="shared" si="1"/>
        <v>235.2</v>
      </c>
      <c r="E41" s="380">
        <f t="shared" si="2"/>
        <v>174.5</v>
      </c>
      <c r="F41" s="380">
        <f t="shared" si="3"/>
        <v>227.8</v>
      </c>
      <c r="G41" s="380">
        <f t="shared" si="4"/>
        <v>78.600000000000009</v>
      </c>
      <c r="H41" s="380">
        <f t="shared" si="5"/>
        <v>147.9</v>
      </c>
      <c r="I41" s="380">
        <f t="shared" si="6"/>
        <v>190.5</v>
      </c>
      <c r="J41" s="380">
        <f t="shared" si="7"/>
        <v>158.4</v>
      </c>
      <c r="K41" s="381">
        <f t="shared" si="8"/>
        <v>166.4</v>
      </c>
      <c r="L41" s="382">
        <f t="shared" si="9"/>
        <v>0</v>
      </c>
      <c r="M41" s="380">
        <f t="shared" si="10"/>
        <v>0</v>
      </c>
      <c r="N41" s="380">
        <f t="shared" si="11"/>
        <v>0</v>
      </c>
      <c r="O41" s="380">
        <f t="shared" si="12"/>
        <v>0</v>
      </c>
      <c r="P41" s="380">
        <f t="shared" si="13"/>
        <v>0</v>
      </c>
      <c r="Q41" s="380">
        <f t="shared" si="14"/>
        <v>0</v>
      </c>
      <c r="R41" s="380">
        <f t="shared" si="15"/>
        <v>0</v>
      </c>
      <c r="S41" s="380">
        <f t="shared" si="16"/>
        <v>0</v>
      </c>
      <c r="T41" s="383">
        <f t="shared" si="17"/>
        <v>0</v>
      </c>
      <c r="U41" s="384"/>
      <c r="V41" s="384"/>
      <c r="W41" s="384"/>
      <c r="X41" s="15"/>
      <c r="Y41" s="386">
        <f>AL28</f>
        <v>133.20000000000002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>
      <c r="A42" s="387">
        <f t="shared" si="18"/>
        <v>39</v>
      </c>
      <c r="B42" s="388">
        <v>1</v>
      </c>
      <c r="C42" s="389">
        <f t="shared" si="0"/>
        <v>150</v>
      </c>
      <c r="D42" s="389">
        <f>Y81</f>
        <v>269.60000000000002</v>
      </c>
      <c r="E42" s="389">
        <f t="shared" si="2"/>
        <v>155.4</v>
      </c>
      <c r="F42" s="389">
        <f t="shared" si="3"/>
        <v>188.7</v>
      </c>
      <c r="G42" s="389">
        <f t="shared" si="4"/>
        <v>84.5</v>
      </c>
      <c r="H42" s="389">
        <f t="shared" si="5"/>
        <v>157.29999999999998</v>
      </c>
      <c r="I42" s="389">
        <f t="shared" si="6"/>
        <v>203.9</v>
      </c>
      <c r="J42" s="389">
        <f t="shared" si="7"/>
        <v>156.9</v>
      </c>
      <c r="K42" s="390">
        <f t="shared" si="8"/>
        <v>174.3</v>
      </c>
      <c r="L42" s="391">
        <f t="shared" si="9"/>
        <v>150</v>
      </c>
      <c r="M42" s="389">
        <f t="shared" si="10"/>
        <v>269.60000000000002</v>
      </c>
      <c r="N42" s="389">
        <f t="shared" si="11"/>
        <v>155.4</v>
      </c>
      <c r="O42" s="389">
        <f t="shared" si="12"/>
        <v>188.7</v>
      </c>
      <c r="P42" s="389">
        <f t="shared" si="13"/>
        <v>84.5</v>
      </c>
      <c r="Q42" s="389">
        <f t="shared" si="14"/>
        <v>157.29999999999998</v>
      </c>
      <c r="R42" s="389">
        <f t="shared" si="15"/>
        <v>203.9</v>
      </c>
      <c r="S42" s="389">
        <f t="shared" si="16"/>
        <v>156.9</v>
      </c>
      <c r="T42" s="392">
        <f t="shared" si="17"/>
        <v>174.3</v>
      </c>
      <c r="U42" s="384"/>
      <c r="V42" s="384"/>
      <c r="W42" s="384"/>
      <c r="X42" s="15"/>
      <c r="Y42" s="386">
        <f>AM28</f>
        <v>150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>
      <c r="A43" s="729"/>
      <c r="B43" s="729"/>
      <c r="C43" s="393">
        <f>AVERAGE(C4:C42)</f>
        <v>174.41538461538462</v>
      </c>
      <c r="D43" s="394">
        <f>AVERAGE(D4:D42)</f>
        <v>159.88461538461542</v>
      </c>
      <c r="E43" s="394">
        <f t="shared" ref="E43:K43" si="19">AVERAGE(E4:E42)</f>
        <v>169.65128205128198</v>
      </c>
      <c r="F43" s="394">
        <f t="shared" si="19"/>
        <v>169.26410256410256</v>
      </c>
      <c r="G43" s="394">
        <f t="shared" si="19"/>
        <v>154.07307692307691</v>
      </c>
      <c r="H43" s="394">
        <f t="shared" si="19"/>
        <v>173.54102564102564</v>
      </c>
      <c r="I43" s="394">
        <f t="shared" si="19"/>
        <v>163.74102564102566</v>
      </c>
      <c r="J43" s="394">
        <f t="shared" si="19"/>
        <v>169.12051282051272</v>
      </c>
      <c r="K43" s="395">
        <f t="shared" si="19"/>
        <v>169.63333333333338</v>
      </c>
      <c r="L43" s="396">
        <f>SUM(L4:L42)/30</f>
        <v>170.10333333333332</v>
      </c>
      <c r="M43" s="394">
        <f>SUM(M4:M42)/30</f>
        <v>163.93333333333337</v>
      </c>
      <c r="N43" s="394">
        <f t="shared" ref="N43:T43" si="20">SUM(N4:N42)/30</f>
        <v>164.50333333333327</v>
      </c>
      <c r="O43" s="394">
        <f t="shared" si="20"/>
        <v>166.76999999999998</v>
      </c>
      <c r="P43" s="394">
        <f t="shared" si="20"/>
        <v>164.58833333333334</v>
      </c>
      <c r="Q43" s="394">
        <f t="shared" si="20"/>
        <v>165.94333333333336</v>
      </c>
      <c r="R43" s="394">
        <f>SUM(R4:R42)/30</f>
        <v>167.74333333333331</v>
      </c>
      <c r="S43" s="394">
        <f t="shared" si="20"/>
        <v>167.45999999999995</v>
      </c>
      <c r="T43" s="397">
        <f t="shared" si="20"/>
        <v>167.74666666666673</v>
      </c>
      <c r="U43" s="384"/>
      <c r="V43" s="384"/>
      <c r="W43" s="384"/>
      <c r="X43" s="15"/>
      <c r="Y43" s="386">
        <f>AN28</f>
        <v>169.3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>
      <c r="A44" s="729"/>
      <c r="B44" s="729"/>
      <c r="C44" s="730" t="s">
        <v>441</v>
      </c>
      <c r="D44" s="730"/>
      <c r="E44" s="730"/>
      <c r="F44" s="730"/>
      <c r="G44" s="730"/>
      <c r="H44" s="730"/>
      <c r="I44" s="730"/>
      <c r="J44" s="730"/>
      <c r="K44" s="730"/>
      <c r="L44" s="731">
        <f>AVERAGE(L43:T43)</f>
        <v>166.53240740740742</v>
      </c>
      <c r="M44" s="731"/>
      <c r="N44" s="731"/>
      <c r="O44" s="731"/>
      <c r="P44" s="731"/>
      <c r="Q44" s="731"/>
      <c r="R44" s="731"/>
      <c r="S44" s="731"/>
      <c r="T44" s="731"/>
      <c r="U44" s="384"/>
      <c r="V44" s="384"/>
      <c r="W44" s="384"/>
      <c r="X44" s="15"/>
      <c r="Y44" s="386">
        <f>AO28</f>
        <v>183.29999999999998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>
      <c r="X45" s="15"/>
      <c r="Y45" s="386">
        <f>AP28</f>
        <v>184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>
      <c r="X46" s="15"/>
      <c r="Y46" s="386">
        <f>AQ28</f>
        <v>174.2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>
      <c r="X47" s="15"/>
      <c r="Y47" s="386">
        <f>AR28</f>
        <v>158.29999999999998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>
      <c r="X48" s="15"/>
      <c r="Y48" s="386">
        <f>AS28</f>
        <v>133.20000000000002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24:48">
      <c r="X49" s="15"/>
      <c r="Y49" s="386">
        <f>AT28</f>
        <v>106.69999999999999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24:48">
      <c r="X50" s="15"/>
      <c r="Y50" s="386">
        <f>AU28</f>
        <v>81.3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24:48">
      <c r="X51" s="15"/>
      <c r="Y51" s="386">
        <f>AV28</f>
        <v>75.400000000000006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24:48">
      <c r="X52" s="15">
        <f>skemA1!B7</f>
        <v>44711</v>
      </c>
      <c r="Y52" s="386">
        <f>skemA1!C7</f>
        <v>90.600000000000009</v>
      </c>
      <c r="Z52" s="386">
        <f>skemA1!D7</f>
        <v>123.10000000000001</v>
      </c>
      <c r="AA52" s="386">
        <f>skemA1!E7</f>
        <v>162.69999999999999</v>
      </c>
      <c r="AB52" s="386">
        <f>skemA1!F7</f>
        <v>205.50000000000003</v>
      </c>
      <c r="AC52" s="386">
        <f>skemA1!G7</f>
        <v>245.6</v>
      </c>
      <c r="AD52" s="386">
        <f>skemA1!H7</f>
        <v>271.39999999999998</v>
      </c>
      <c r="AE52" s="386">
        <f>skemA1!I7</f>
        <v>272.8</v>
      </c>
      <c r="AF52" s="386">
        <f>skemA1!J7</f>
        <v>255.20000000000002</v>
      </c>
      <c r="AG52" s="386">
        <f>skemA1!K7</f>
        <v>222.8</v>
      </c>
      <c r="AH52" s="386">
        <f>skemA1!L7</f>
        <v>182.8</v>
      </c>
      <c r="AI52" s="386">
        <f>skemA1!M7</f>
        <v>148.5</v>
      </c>
      <c r="AJ52" s="386">
        <f>skemA1!N7</f>
        <v>122</v>
      </c>
      <c r="AK52" s="386">
        <f>skemA1!O7</f>
        <v>113.6</v>
      </c>
      <c r="AL52" s="386">
        <f>skemA1!P7</f>
        <v>123.4</v>
      </c>
      <c r="AM52" s="386">
        <f>skemA1!Q7</f>
        <v>143.4</v>
      </c>
      <c r="AN52" s="386">
        <f>skemA1!R7</f>
        <v>164.1</v>
      </c>
      <c r="AO52" s="386">
        <f>skemA1!S7</f>
        <v>177.8</v>
      </c>
      <c r="AP52" s="386">
        <f>skemA1!T7</f>
        <v>182.1</v>
      </c>
      <c r="AQ52" s="386">
        <f>skemA1!U7</f>
        <v>178.7</v>
      </c>
      <c r="AR52" s="386">
        <f>skemA1!V7</f>
        <v>162.60000000000002</v>
      </c>
      <c r="AS52" s="386">
        <f>skemA1!W7</f>
        <v>139.9</v>
      </c>
      <c r="AT52" s="386">
        <f>skemA1!X7</f>
        <v>114.6</v>
      </c>
      <c r="AU52" s="386">
        <f>skemA1!Y7</f>
        <v>88.5</v>
      </c>
      <c r="AV52" s="386">
        <f>skemA1!Z7</f>
        <v>70.199999999999989</v>
      </c>
    </row>
    <row r="53" spans="24:48">
      <c r="X53" s="15"/>
      <c r="Y53" s="386">
        <f>Z52</f>
        <v>123.10000000000001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24:48">
      <c r="X54" s="15"/>
      <c r="Y54" s="386">
        <f>AA52</f>
        <v>162.69999999999999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</row>
    <row r="55" spans="24:48">
      <c r="X55" s="15"/>
      <c r="Y55" s="386">
        <f>AB52</f>
        <v>205.50000000000003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</row>
    <row r="56" spans="24:48">
      <c r="X56" s="15"/>
      <c r="Y56" s="386">
        <f>AC52</f>
        <v>245.6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</row>
    <row r="57" spans="24:48">
      <c r="X57" s="15"/>
      <c r="Y57" s="386">
        <f>AD52</f>
        <v>271.39999999999998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</row>
    <row r="58" spans="24:48">
      <c r="X58" s="15"/>
      <c r="Y58" s="386">
        <f>AE52</f>
        <v>272.8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</row>
    <row r="59" spans="24:48">
      <c r="X59" s="15"/>
      <c r="Y59" s="386">
        <f>AF52</f>
        <v>255.20000000000002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</row>
    <row r="60" spans="24:48">
      <c r="X60" s="15"/>
      <c r="Y60" s="386">
        <f>AG52</f>
        <v>222.8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</row>
    <row r="61" spans="24:48">
      <c r="X61" s="15"/>
      <c r="Y61" s="386">
        <f>AH52</f>
        <v>182.8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</row>
    <row r="62" spans="24:48">
      <c r="X62" s="15"/>
      <c r="Y62" s="386">
        <f>AI52</f>
        <v>148.5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</row>
    <row r="63" spans="24:48">
      <c r="X63" s="15"/>
      <c r="Y63" s="386">
        <f>AJ52</f>
        <v>122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</row>
    <row r="64" spans="24:48">
      <c r="X64" s="15"/>
      <c r="Y64" s="386">
        <f>AK52</f>
        <v>113.6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</row>
    <row r="65" spans="24:48">
      <c r="X65" s="15"/>
      <c r="Y65" s="386">
        <f>AL52</f>
        <v>123.4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</row>
    <row r="66" spans="24:48">
      <c r="X66" s="15"/>
      <c r="Y66" s="386">
        <f>AM52</f>
        <v>143.4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</row>
    <row r="67" spans="24:48">
      <c r="X67" s="15"/>
      <c r="Y67" s="386">
        <f>AN52</f>
        <v>164.1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</row>
    <row r="68" spans="24:48">
      <c r="X68" s="15"/>
      <c r="Y68" s="386">
        <f>AO52</f>
        <v>177.8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</row>
    <row r="69" spans="24:48">
      <c r="X69" s="15"/>
      <c r="Y69" s="386">
        <f>AP52</f>
        <v>182.1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</row>
    <row r="70" spans="24:48">
      <c r="X70" s="15"/>
      <c r="Y70" s="386">
        <f>AQ52</f>
        <v>178.7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</row>
    <row r="71" spans="24:48">
      <c r="X71" s="15"/>
      <c r="Y71" s="386">
        <f>AR52</f>
        <v>162.60000000000002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</row>
    <row r="72" spans="24:48">
      <c r="X72" s="15"/>
      <c r="Y72" s="386">
        <f>AS52</f>
        <v>139.9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</row>
    <row r="73" spans="24:48">
      <c r="X73" s="15"/>
      <c r="Y73" s="386">
        <f>AT52</f>
        <v>114.6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</row>
    <row r="74" spans="24:48">
      <c r="X74" s="15"/>
      <c r="Y74" s="386">
        <f>AU52</f>
        <v>88.5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</row>
    <row r="75" spans="24:48">
      <c r="X75" s="15"/>
      <c r="Y75" s="386">
        <f>AV52</f>
        <v>70.199999999999989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</row>
    <row r="76" spans="24:48">
      <c r="X76" s="15">
        <f>skemA1!B8</f>
        <v>44712</v>
      </c>
      <c r="Y76" s="386">
        <f>skemA1!C8</f>
        <v>74.3</v>
      </c>
      <c r="Z76" s="386">
        <f>skemA1!D8</f>
        <v>100.89999999999999</v>
      </c>
      <c r="AA76" s="386">
        <f>skemA1!E8</f>
        <v>139.5</v>
      </c>
      <c r="AB76" s="386">
        <f>skemA1!F8</f>
        <v>188.39999999999998</v>
      </c>
      <c r="AC76" s="386">
        <f>skemA1!G8</f>
        <v>235.2</v>
      </c>
      <c r="AD76" s="386">
        <f>skemA1!H8</f>
        <v>269.60000000000002</v>
      </c>
      <c r="AE76" s="386">
        <f>skemA1!I8</f>
        <v>281.5</v>
      </c>
      <c r="AF76" s="386">
        <f>skemA1!J8</f>
        <v>273.8</v>
      </c>
      <c r="AG76" s="386">
        <f>skemA1!K8</f>
        <v>246</v>
      </c>
      <c r="AH76" s="386">
        <f>skemA1!L8</f>
        <v>202.8</v>
      </c>
      <c r="AI76" s="386">
        <f>skemA1!M8</f>
        <v>165.3</v>
      </c>
      <c r="AJ76" s="386">
        <f>skemA1!N8</f>
        <v>134.5</v>
      </c>
      <c r="AK76" s="386">
        <f>skemA1!O8</f>
        <v>118</v>
      </c>
      <c r="AL76" s="386">
        <f>skemA1!P8</f>
        <v>115.19999999999999</v>
      </c>
      <c r="AM76" s="386">
        <f>skemA1!Q8</f>
        <v>126.1</v>
      </c>
      <c r="AN76" s="386">
        <f>skemA1!R8</f>
        <v>147</v>
      </c>
      <c r="AO76" s="386">
        <f>skemA1!S8</f>
        <v>166.79999999999998</v>
      </c>
      <c r="AP76" s="386">
        <f>skemA1!T8</f>
        <v>177.1</v>
      </c>
      <c r="AQ76" s="386">
        <f>skemA1!U8</f>
        <v>176.5</v>
      </c>
      <c r="AR76" s="386">
        <f>skemA1!V8</f>
        <v>165.3</v>
      </c>
      <c r="AS76" s="386">
        <f>skemA1!W8</f>
        <v>144.4</v>
      </c>
      <c r="AT76" s="386">
        <f>skemA1!X8</f>
        <v>122.6</v>
      </c>
      <c r="AU76" s="386">
        <f>skemA1!Y8</f>
        <v>95.6</v>
      </c>
      <c r="AV76" s="386">
        <f>skemA1!Z8</f>
        <v>73.8</v>
      </c>
    </row>
    <row r="77" spans="24:48">
      <c r="X77" s="15"/>
      <c r="Y77" s="386">
        <f>Z76</f>
        <v>100.89999999999999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</row>
    <row r="78" spans="24:48">
      <c r="X78" s="15"/>
      <c r="Y78" s="386">
        <f>AA76</f>
        <v>139.5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</row>
    <row r="79" spans="24:48">
      <c r="X79" s="15"/>
      <c r="Y79" s="386">
        <f>AB76</f>
        <v>188.39999999999998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</row>
    <row r="80" spans="24:48">
      <c r="X80" s="15"/>
      <c r="Y80" s="386">
        <f>AC76</f>
        <v>235.2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</row>
    <row r="81" spans="24:48">
      <c r="X81" s="15"/>
      <c r="Y81" s="386">
        <f>AD76</f>
        <v>269.60000000000002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</row>
    <row r="82" spans="24:48">
      <c r="X82" s="15"/>
      <c r="Y82" s="386">
        <f>AE76</f>
        <v>281.5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</row>
    <row r="83" spans="24:48">
      <c r="X83" s="15"/>
      <c r="Y83" s="386">
        <f>AF76</f>
        <v>273.8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</row>
    <row r="84" spans="24:48">
      <c r="X84" s="15"/>
      <c r="Y84" s="386">
        <f>AG76</f>
        <v>246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</row>
    <row r="85" spans="24:48">
      <c r="X85" s="15"/>
      <c r="Y85" s="386">
        <f>AH76</f>
        <v>202.8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</row>
    <row r="86" spans="24:48">
      <c r="X86" s="15"/>
      <c r="Y86" s="386">
        <f>AI76</f>
        <v>165.3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</row>
    <row r="87" spans="24:48">
      <c r="X87" s="15"/>
      <c r="Y87" s="386">
        <f>AJ76</f>
        <v>134.5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</row>
    <row r="88" spans="24:48">
      <c r="X88" s="15"/>
      <c r="Y88" s="386">
        <f>AK76</f>
        <v>118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</row>
    <row r="89" spans="24:48">
      <c r="X89" s="15"/>
      <c r="Y89" s="386">
        <f>AL76</f>
        <v>115.19999999999999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</row>
    <row r="90" spans="24:48">
      <c r="X90" s="15"/>
      <c r="Y90" s="386">
        <f>AM76</f>
        <v>126.1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</row>
    <row r="91" spans="24:48">
      <c r="X91" s="15"/>
      <c r="Y91" s="386">
        <f>AN76</f>
        <v>147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</row>
    <row r="92" spans="24:48">
      <c r="X92" s="15"/>
      <c r="Y92" s="386">
        <f>AO76</f>
        <v>166.79999999999998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</row>
    <row r="93" spans="24:48">
      <c r="X93" s="15"/>
      <c r="Y93" s="386">
        <f>AP76</f>
        <v>177.1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</row>
    <row r="94" spans="24:48">
      <c r="X94" s="15"/>
      <c r="Y94" s="386">
        <f>AQ76</f>
        <v>176.5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</row>
    <row r="95" spans="24:48">
      <c r="X95" s="15"/>
      <c r="Y95" s="386">
        <f>AR76</f>
        <v>165.3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</row>
    <row r="96" spans="24:48">
      <c r="X96" s="15"/>
      <c r="Y96" s="386">
        <f>AS76</f>
        <v>144.4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</row>
    <row r="97" spans="24:48">
      <c r="X97" s="15"/>
      <c r="Y97" s="386">
        <f>AT76</f>
        <v>122.6</v>
      </c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</row>
    <row r="98" spans="24:48">
      <c r="X98" s="15"/>
      <c r="Y98" s="386">
        <f>AU76</f>
        <v>95.6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</row>
    <row r="99" spans="24:48">
      <c r="X99" s="15"/>
      <c r="Y99" s="386">
        <f>AV76</f>
        <v>73.8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</row>
    <row r="100" spans="24:48">
      <c r="X100" s="15">
        <f>skemA1!B9</f>
        <v>44713</v>
      </c>
      <c r="Y100" s="386">
        <f>skemA1!C9</f>
        <v>68.7</v>
      </c>
      <c r="Z100" s="386">
        <f>skemA1!D9</f>
        <v>86.4</v>
      </c>
      <c r="AA100" s="386">
        <f>skemA1!E9</f>
        <v>124.6</v>
      </c>
      <c r="AB100" s="386">
        <f>skemA1!F9</f>
        <v>170.1</v>
      </c>
      <c r="AC100" s="386">
        <f>skemA1!G9</f>
        <v>219.3</v>
      </c>
      <c r="AD100" s="386">
        <f>skemA1!H9</f>
        <v>259.5</v>
      </c>
      <c r="AE100" s="386">
        <f>skemA1!I9</f>
        <v>281.8</v>
      </c>
      <c r="AF100" s="386">
        <f>skemA1!J9</f>
        <v>284</v>
      </c>
      <c r="AG100" s="386">
        <f>skemA1!K9</f>
        <v>265.7</v>
      </c>
      <c r="AH100" s="386">
        <f>skemA1!L9</f>
        <v>228.79999999999998</v>
      </c>
      <c r="AI100" s="386">
        <f>skemA1!M9</f>
        <v>188.2</v>
      </c>
      <c r="AJ100" s="386">
        <f>skemA1!N9</f>
        <v>151.5</v>
      </c>
      <c r="AK100" s="386">
        <f>skemA1!O9</f>
        <v>127</v>
      </c>
      <c r="AL100" s="386">
        <f>skemA1!P9</f>
        <v>116.9</v>
      </c>
      <c r="AM100" s="386">
        <f>skemA1!Q9</f>
        <v>122.50000000000001</v>
      </c>
      <c r="AN100" s="386">
        <f>skemA1!R9</f>
        <v>137.5</v>
      </c>
      <c r="AO100" s="386">
        <f>skemA1!S9</f>
        <v>159.4</v>
      </c>
      <c r="AP100" s="386">
        <f>skemA1!T9</f>
        <v>178.4</v>
      </c>
      <c r="AQ100" s="386">
        <f>skemA1!U9</f>
        <v>183.9</v>
      </c>
      <c r="AR100" s="386">
        <f>skemA1!V9</f>
        <v>174.5</v>
      </c>
      <c r="AS100" s="386">
        <f>skemA1!W9</f>
        <v>155.4</v>
      </c>
      <c r="AT100" s="386">
        <f>skemA1!X9</f>
        <v>129.5</v>
      </c>
      <c r="AU100" s="386">
        <f>skemA1!Y9</f>
        <v>96.3</v>
      </c>
      <c r="AV100" s="386">
        <f>skemA1!Z9</f>
        <v>76.2</v>
      </c>
    </row>
    <row r="101" spans="24:48">
      <c r="X101" s="15"/>
      <c r="Y101" s="386">
        <f>Z100</f>
        <v>86.4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</row>
    <row r="102" spans="24:48">
      <c r="X102" s="15"/>
      <c r="Y102" s="386">
        <f>AA100</f>
        <v>124.6</v>
      </c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</row>
    <row r="103" spans="24:48">
      <c r="X103" s="15"/>
      <c r="Y103" s="386">
        <f>AB100</f>
        <v>170.1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24:48">
      <c r="X104" s="15"/>
      <c r="Y104" s="386">
        <f>AC100</f>
        <v>219.3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</row>
    <row r="105" spans="24:48">
      <c r="X105" s="15"/>
      <c r="Y105" s="386">
        <f>AD100</f>
        <v>259.5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</row>
    <row r="106" spans="24:48">
      <c r="X106" s="15"/>
      <c r="Y106" s="386">
        <f>AE100</f>
        <v>281.8</v>
      </c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</row>
    <row r="107" spans="24:48">
      <c r="X107" s="15"/>
      <c r="Y107" s="386">
        <f>AF100</f>
        <v>284</v>
      </c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</row>
    <row r="108" spans="24:48">
      <c r="X108" s="15"/>
      <c r="Y108" s="386">
        <f>AG100</f>
        <v>265.7</v>
      </c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</row>
    <row r="109" spans="24:48">
      <c r="X109" s="15"/>
      <c r="Y109" s="386">
        <f>AH100</f>
        <v>228.79999999999998</v>
      </c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</row>
    <row r="110" spans="24:48">
      <c r="X110" s="15"/>
      <c r="Y110" s="386">
        <f>AI100</f>
        <v>188.2</v>
      </c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</row>
    <row r="111" spans="24:48">
      <c r="X111" s="15"/>
      <c r="Y111" s="386">
        <f>AJ100</f>
        <v>151.5</v>
      </c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</row>
    <row r="112" spans="24:48">
      <c r="X112" s="15"/>
      <c r="Y112" s="386">
        <f>AK100</f>
        <v>127</v>
      </c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</row>
    <row r="113" spans="24:48">
      <c r="X113" s="15"/>
      <c r="Y113" s="386">
        <f>AL100</f>
        <v>116.9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</row>
    <row r="114" spans="24:48">
      <c r="X114" s="15"/>
      <c r="Y114" s="386">
        <f>AM100</f>
        <v>122.50000000000001</v>
      </c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</row>
    <row r="115" spans="24:48">
      <c r="X115" s="15"/>
      <c r="Y115" s="386">
        <f>AN100</f>
        <v>137.5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</row>
    <row r="116" spans="24:48">
      <c r="X116" s="15"/>
      <c r="Y116" s="386">
        <f>AO100</f>
        <v>159.4</v>
      </c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</row>
    <row r="117" spans="24:48">
      <c r="X117" s="15"/>
      <c r="Y117" s="386">
        <f>AP100</f>
        <v>178.4</v>
      </c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</row>
    <row r="118" spans="24:48">
      <c r="X118" s="15"/>
      <c r="Y118" s="386">
        <f>AQ100</f>
        <v>183.9</v>
      </c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</row>
    <row r="119" spans="24:48">
      <c r="X119" s="15"/>
      <c r="Y119" s="386">
        <f>AR100</f>
        <v>174.5</v>
      </c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</row>
    <row r="120" spans="24:48">
      <c r="X120" s="15"/>
      <c r="Y120" s="386">
        <f>AS100</f>
        <v>155.4</v>
      </c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</row>
    <row r="121" spans="24:48">
      <c r="X121" s="15"/>
      <c r="Y121" s="386">
        <f>AT100</f>
        <v>129.5</v>
      </c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</row>
    <row r="122" spans="24:48">
      <c r="X122" s="15"/>
      <c r="Y122" s="386">
        <f>AU100</f>
        <v>96.3</v>
      </c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</row>
    <row r="123" spans="24:48">
      <c r="X123" s="15"/>
      <c r="Y123" s="386">
        <f>AV100</f>
        <v>76.2</v>
      </c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</row>
    <row r="124" spans="24:48">
      <c r="X124" s="15">
        <f>skemA1!B10</f>
        <v>44714</v>
      </c>
      <c r="Y124" s="386">
        <f>skemA1!C10</f>
        <v>65.8</v>
      </c>
      <c r="Z124" s="386">
        <f>skemA1!D10</f>
        <v>75</v>
      </c>
      <c r="AA124" s="386">
        <f>skemA1!E10</f>
        <v>106.1</v>
      </c>
      <c r="AB124" s="386">
        <f>skemA1!F10</f>
        <v>149.30000000000001</v>
      </c>
      <c r="AC124" s="386">
        <f>skemA1!G10</f>
        <v>199.9</v>
      </c>
      <c r="AD124" s="386">
        <f>skemA1!H10</f>
        <v>243.5</v>
      </c>
      <c r="AE124" s="386">
        <f>skemA1!I10</f>
        <v>274.5</v>
      </c>
      <c r="AF124" s="386">
        <f>skemA1!J10</f>
        <v>284.60000000000002</v>
      </c>
      <c r="AG124" s="386">
        <f>skemA1!K10</f>
        <v>275.8</v>
      </c>
      <c r="AH124" s="386">
        <f>skemA1!L10</f>
        <v>250.59999999999997</v>
      </c>
      <c r="AI124" s="386">
        <f>skemA1!M10</f>
        <v>212.3</v>
      </c>
      <c r="AJ124" s="386">
        <f>skemA1!N10</f>
        <v>174.9</v>
      </c>
      <c r="AK124" s="386">
        <f>skemA1!O10</f>
        <v>142.9</v>
      </c>
      <c r="AL124" s="386">
        <f>skemA1!P10</f>
        <v>126.1</v>
      </c>
      <c r="AM124" s="386">
        <f>skemA1!Q10</f>
        <v>123.10000000000001</v>
      </c>
      <c r="AN124" s="386">
        <f>skemA1!R10</f>
        <v>137.20000000000002</v>
      </c>
      <c r="AO124" s="386">
        <f>skemA1!S10</f>
        <v>158.80000000000001</v>
      </c>
      <c r="AP124" s="386">
        <f>skemA1!T10</f>
        <v>176.89999999999998</v>
      </c>
      <c r="AQ124" s="386">
        <f>skemA1!U10</f>
        <v>181.29999999999998</v>
      </c>
      <c r="AR124" s="386">
        <f>skemA1!V10</f>
        <v>177.7</v>
      </c>
      <c r="AS124" s="386">
        <f>skemA1!W10</f>
        <v>164.1</v>
      </c>
      <c r="AT124" s="386">
        <f>skemA1!X10</f>
        <v>140.79999999999998</v>
      </c>
      <c r="AU124" s="386">
        <f>skemA1!Y10</f>
        <v>115.10000000000001</v>
      </c>
      <c r="AV124" s="386">
        <f>skemA1!Z10</f>
        <v>90.4</v>
      </c>
    </row>
    <row r="125" spans="24:48">
      <c r="X125" s="15"/>
      <c r="Y125" s="386">
        <f>Z124</f>
        <v>75</v>
      </c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</row>
    <row r="126" spans="24:48">
      <c r="X126" s="15"/>
      <c r="Y126" s="386">
        <f>AA124</f>
        <v>106.1</v>
      </c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</row>
    <row r="127" spans="24:48">
      <c r="X127" s="15"/>
      <c r="Y127" s="386">
        <f>AB124</f>
        <v>149.30000000000001</v>
      </c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</row>
    <row r="128" spans="24:48">
      <c r="X128" s="15"/>
      <c r="Y128" s="386">
        <f>AC124</f>
        <v>199.9</v>
      </c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</row>
    <row r="129" spans="24:48">
      <c r="X129" s="15"/>
      <c r="Y129" s="386">
        <f>AD124</f>
        <v>243.5</v>
      </c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</row>
    <row r="130" spans="24:48">
      <c r="X130" s="15"/>
      <c r="Y130" s="386">
        <f>AE124</f>
        <v>274.5</v>
      </c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</row>
    <row r="131" spans="24:48">
      <c r="X131" s="15"/>
      <c r="Y131" s="386">
        <f>AF124</f>
        <v>284.60000000000002</v>
      </c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</row>
    <row r="132" spans="24:48">
      <c r="X132" s="15"/>
      <c r="Y132" s="386">
        <f>AG124</f>
        <v>275.8</v>
      </c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</row>
    <row r="133" spans="24:48">
      <c r="X133" s="15"/>
      <c r="Y133" s="386">
        <f>AH124</f>
        <v>250.59999999999997</v>
      </c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</row>
    <row r="134" spans="24:48">
      <c r="X134" s="15"/>
      <c r="Y134" s="386">
        <f>AI124</f>
        <v>212.3</v>
      </c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</row>
    <row r="135" spans="24:48">
      <c r="X135" s="15"/>
      <c r="Y135" s="386">
        <f>AJ124</f>
        <v>174.9</v>
      </c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</row>
    <row r="136" spans="24:48">
      <c r="X136" s="15"/>
      <c r="Y136" s="386">
        <f>AK124</f>
        <v>142.9</v>
      </c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</row>
    <row r="137" spans="24:48">
      <c r="X137" s="15"/>
      <c r="Y137" s="386">
        <f>AL124</f>
        <v>126.1</v>
      </c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</row>
    <row r="138" spans="24:48">
      <c r="X138" s="15"/>
      <c r="Y138" s="386">
        <f>AM124</f>
        <v>123.10000000000001</v>
      </c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</row>
    <row r="139" spans="24:48">
      <c r="X139" s="15"/>
      <c r="Y139" s="386">
        <f>AN124</f>
        <v>137.20000000000002</v>
      </c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</row>
    <row r="140" spans="24:48">
      <c r="X140" s="15"/>
      <c r="Y140" s="386">
        <f>AO124</f>
        <v>158.80000000000001</v>
      </c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</row>
    <row r="141" spans="24:48">
      <c r="X141" s="15"/>
      <c r="Y141" s="386">
        <f>AP124</f>
        <v>176.89999999999998</v>
      </c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</row>
    <row r="142" spans="24:48">
      <c r="X142" s="15"/>
      <c r="Y142" s="386">
        <f>AQ124</f>
        <v>181.29999999999998</v>
      </c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</row>
    <row r="143" spans="24:48">
      <c r="X143" s="15"/>
      <c r="Y143" s="386">
        <f>AR124</f>
        <v>177.7</v>
      </c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</row>
    <row r="144" spans="24:48">
      <c r="X144" s="15"/>
      <c r="Y144" s="386">
        <f>AS124</f>
        <v>164.1</v>
      </c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</row>
    <row r="145" spans="24:48">
      <c r="X145" s="15"/>
      <c r="Y145" s="386">
        <f>AT124</f>
        <v>140.79999999999998</v>
      </c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</row>
    <row r="146" spans="24:48">
      <c r="X146" s="15"/>
      <c r="Y146" s="386">
        <f>AU124</f>
        <v>115.10000000000001</v>
      </c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</row>
    <row r="147" spans="24:48">
      <c r="X147" s="15"/>
      <c r="Y147" s="386">
        <f>AV124</f>
        <v>90.4</v>
      </c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</row>
    <row r="148" spans="24:48">
      <c r="X148" s="15">
        <f>skemA1!B11</f>
        <v>44715</v>
      </c>
      <c r="Y148" s="386">
        <f>skemA1!C11</f>
        <v>74</v>
      </c>
      <c r="Z148" s="386">
        <f>skemA1!D11</f>
        <v>75.400000000000006</v>
      </c>
      <c r="AA148" s="386">
        <f>skemA1!E11</f>
        <v>94.699999999999989</v>
      </c>
      <c r="AB148" s="386">
        <f>skemA1!F11</f>
        <v>130.5</v>
      </c>
      <c r="AC148" s="386">
        <f>skemA1!G11</f>
        <v>175.4</v>
      </c>
      <c r="AD148" s="386">
        <f>skemA1!H11</f>
        <v>218.5</v>
      </c>
      <c r="AE148" s="386">
        <f>skemA1!I11</f>
        <v>254.70000000000002</v>
      </c>
      <c r="AF148" s="386">
        <f>skemA1!J11</f>
        <v>275.8</v>
      </c>
      <c r="AG148" s="386">
        <f>skemA1!K11</f>
        <v>277.3</v>
      </c>
      <c r="AH148" s="386">
        <f>skemA1!L11</f>
        <v>259.8</v>
      </c>
      <c r="AI148" s="386">
        <f>skemA1!M11</f>
        <v>227.8</v>
      </c>
      <c r="AJ148" s="386">
        <f>skemA1!N11</f>
        <v>188.7</v>
      </c>
      <c r="AK148" s="386">
        <f>skemA1!O11</f>
        <v>156.20000000000002</v>
      </c>
      <c r="AL148" s="386">
        <f>skemA1!P11</f>
        <v>134.9</v>
      </c>
      <c r="AM148" s="386">
        <f>skemA1!Q11</f>
        <v>128</v>
      </c>
      <c r="AN148" s="386">
        <f>skemA1!R11</f>
        <v>135</v>
      </c>
      <c r="AO148" s="386">
        <f>skemA1!S11</f>
        <v>152.69999999999999</v>
      </c>
      <c r="AP148" s="386">
        <f>skemA1!T11</f>
        <v>168</v>
      </c>
      <c r="AQ148" s="386">
        <f>skemA1!U11</f>
        <v>177.89999999999998</v>
      </c>
      <c r="AR148" s="386">
        <f>skemA1!V11</f>
        <v>176.6</v>
      </c>
      <c r="AS148" s="386">
        <f>skemA1!W11</f>
        <v>168.3</v>
      </c>
      <c r="AT148" s="386">
        <f>skemA1!X11</f>
        <v>147.5</v>
      </c>
      <c r="AU148" s="386">
        <f>skemA1!Y11</f>
        <v>126.29999999999998</v>
      </c>
      <c r="AV148" s="386">
        <f>skemA1!Z11</f>
        <v>102.3</v>
      </c>
    </row>
    <row r="149" spans="24:48">
      <c r="X149" s="15"/>
      <c r="Y149" s="386">
        <f>Z148</f>
        <v>75.400000000000006</v>
      </c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</row>
    <row r="150" spans="24:48">
      <c r="X150" s="15"/>
      <c r="Y150" s="386">
        <f>AA148</f>
        <v>94.699999999999989</v>
      </c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</row>
    <row r="151" spans="24:48">
      <c r="X151" s="15"/>
      <c r="Y151" s="386">
        <f>AB148</f>
        <v>130.5</v>
      </c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</row>
    <row r="152" spans="24:48">
      <c r="X152" s="15"/>
      <c r="Y152" s="386">
        <f>AC148</f>
        <v>175.4</v>
      </c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</row>
    <row r="153" spans="24:48">
      <c r="X153" s="15"/>
      <c r="Y153" s="386">
        <f>AD148</f>
        <v>218.5</v>
      </c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</row>
    <row r="154" spans="24:48">
      <c r="X154" s="15"/>
      <c r="Y154" s="386">
        <f>AE148</f>
        <v>254.70000000000002</v>
      </c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</row>
    <row r="155" spans="24:48">
      <c r="X155" s="15"/>
      <c r="Y155" s="386">
        <f>AF148</f>
        <v>275.8</v>
      </c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</row>
    <row r="156" spans="24:48">
      <c r="X156" s="15"/>
      <c r="Y156" s="386">
        <f>AG148</f>
        <v>277.3</v>
      </c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</row>
    <row r="157" spans="24:48">
      <c r="X157" s="15"/>
      <c r="Y157" s="386">
        <f>AH148</f>
        <v>259.8</v>
      </c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</row>
    <row r="158" spans="24:48">
      <c r="X158" s="15"/>
      <c r="Y158" s="386">
        <f>AI148</f>
        <v>227.8</v>
      </c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</row>
    <row r="159" spans="24:48">
      <c r="X159" s="15"/>
      <c r="Y159" s="386">
        <f>AJ148</f>
        <v>188.7</v>
      </c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</row>
    <row r="160" spans="24:48">
      <c r="X160" s="15"/>
      <c r="Y160" s="386">
        <f>AK148</f>
        <v>156.20000000000002</v>
      </c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</row>
    <row r="161" spans="24:48">
      <c r="X161" s="15"/>
      <c r="Y161" s="386">
        <f>AL148</f>
        <v>134.9</v>
      </c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</row>
    <row r="162" spans="24:48">
      <c r="X162" s="15"/>
      <c r="Y162" s="386">
        <f>AM148</f>
        <v>128</v>
      </c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</row>
    <row r="163" spans="24:48">
      <c r="X163" s="15"/>
      <c r="Y163" s="386">
        <f>AN148</f>
        <v>135</v>
      </c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</row>
    <row r="164" spans="24:48">
      <c r="X164" s="15"/>
      <c r="Y164" s="386">
        <f>AO148</f>
        <v>152.69999999999999</v>
      </c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</row>
    <row r="165" spans="24:48">
      <c r="X165" s="15"/>
      <c r="Y165" s="386">
        <f>AP148</f>
        <v>168</v>
      </c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</row>
    <row r="166" spans="24:48">
      <c r="X166" s="15"/>
      <c r="Y166" s="386">
        <f>AQ148</f>
        <v>177.89999999999998</v>
      </c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</row>
    <row r="167" spans="24:48">
      <c r="X167" s="15"/>
      <c r="Y167" s="386">
        <f>AR148</f>
        <v>176.6</v>
      </c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</row>
    <row r="168" spans="24:48">
      <c r="X168" s="15"/>
      <c r="Y168" s="386">
        <f>AS148</f>
        <v>168.3</v>
      </c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</row>
    <row r="169" spans="24:48">
      <c r="X169" s="15"/>
      <c r="Y169" s="386">
        <f>AT148</f>
        <v>147.5</v>
      </c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</row>
    <row r="170" spans="24:48">
      <c r="X170" s="15"/>
      <c r="Y170" s="386">
        <f>AU148</f>
        <v>126.29999999999998</v>
      </c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</row>
    <row r="171" spans="24:48">
      <c r="X171" s="15"/>
      <c r="Y171" s="386">
        <f>AV148</f>
        <v>102.3</v>
      </c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</row>
    <row r="172" spans="24:48">
      <c r="X172" s="15">
        <f>skemA1!B12</f>
        <v>44716</v>
      </c>
      <c r="Y172" s="386">
        <f>skemA1!C12</f>
        <v>79.7</v>
      </c>
      <c r="Z172" s="386">
        <f>skemA1!D12</f>
        <v>73.400000000000006</v>
      </c>
      <c r="AA172" s="386">
        <f>skemA1!E12</f>
        <v>85.7</v>
      </c>
      <c r="AB172" s="386">
        <f>skemA1!F12</f>
        <v>115.99999999999999</v>
      </c>
      <c r="AC172" s="386">
        <f>skemA1!G12</f>
        <v>154</v>
      </c>
      <c r="AD172" s="386">
        <f>skemA1!H12</f>
        <v>198.9</v>
      </c>
      <c r="AE172" s="386">
        <f>skemA1!I12</f>
        <v>235.6</v>
      </c>
      <c r="AF172" s="386">
        <f>skemA1!J12</f>
        <v>259.5</v>
      </c>
      <c r="AG172" s="386">
        <f>skemA1!K12</f>
        <v>268.89999999999998</v>
      </c>
      <c r="AH172" s="386">
        <f>skemA1!L12</f>
        <v>258.59999999999997</v>
      </c>
      <c r="AI172" s="386">
        <f>skemA1!M12</f>
        <v>233.9</v>
      </c>
      <c r="AJ172" s="386">
        <f>skemA1!N12</f>
        <v>199.10000000000002</v>
      </c>
      <c r="AK172" s="386">
        <f>skemA1!O12</f>
        <v>169.79999999999998</v>
      </c>
      <c r="AL172" s="386">
        <f>skemA1!P12</f>
        <v>143.55000000000001</v>
      </c>
      <c r="AM172" s="386">
        <f>skemA1!Q12</f>
        <v>131.9</v>
      </c>
      <c r="AN172" s="386">
        <f>skemA1!R12</f>
        <v>130.4</v>
      </c>
      <c r="AO172" s="386">
        <f>skemA1!S12</f>
        <v>142.1</v>
      </c>
      <c r="AP172" s="386">
        <f>skemA1!T12</f>
        <v>159.4</v>
      </c>
      <c r="AQ172" s="386">
        <f>skemA1!U12</f>
        <v>174.8</v>
      </c>
      <c r="AR172" s="386">
        <f>skemA1!V12</f>
        <v>182</v>
      </c>
      <c r="AS172" s="386">
        <f>skemA1!W12</f>
        <v>177.1</v>
      </c>
      <c r="AT172" s="386">
        <f>skemA1!X12</f>
        <v>158.80000000000001</v>
      </c>
      <c r="AU172" s="386">
        <f>skemA1!Y12</f>
        <v>136</v>
      </c>
      <c r="AV172" s="386">
        <f>skemA1!Z12</f>
        <v>112.4</v>
      </c>
    </row>
    <row r="173" spans="24:48">
      <c r="X173" s="15"/>
      <c r="Y173" s="386">
        <f>Z172</f>
        <v>73.400000000000006</v>
      </c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</row>
    <row r="174" spans="24:48">
      <c r="X174" s="15"/>
      <c r="Y174" s="386">
        <f>AA172</f>
        <v>85.7</v>
      </c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</row>
    <row r="175" spans="24:48">
      <c r="X175" s="15"/>
      <c r="Y175" s="386">
        <f>AB172</f>
        <v>115.99999999999999</v>
      </c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</row>
    <row r="176" spans="24:48">
      <c r="X176" s="15"/>
      <c r="Y176" s="386">
        <f>AC172</f>
        <v>154</v>
      </c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</row>
    <row r="177" spans="24:48">
      <c r="X177" s="15"/>
      <c r="Y177" s="386">
        <f>AD172</f>
        <v>198.9</v>
      </c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</row>
    <row r="178" spans="24:48">
      <c r="X178" s="15"/>
      <c r="Y178" s="386">
        <f>AE172</f>
        <v>235.6</v>
      </c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</row>
    <row r="179" spans="24:48">
      <c r="X179" s="15"/>
      <c r="Y179" s="386">
        <f>AF172</f>
        <v>259.5</v>
      </c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</row>
    <row r="180" spans="24:48">
      <c r="X180" s="15"/>
      <c r="Y180" s="386">
        <f>AG172</f>
        <v>268.89999999999998</v>
      </c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</row>
    <row r="181" spans="24:48">
      <c r="X181" s="15"/>
      <c r="Y181" s="386">
        <f>AH172</f>
        <v>258.59999999999997</v>
      </c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</row>
    <row r="182" spans="24:48">
      <c r="X182" s="15"/>
      <c r="Y182" s="386">
        <f>AI172</f>
        <v>233.9</v>
      </c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</row>
    <row r="183" spans="24:48">
      <c r="X183" s="15"/>
      <c r="Y183" s="386">
        <f>AJ172</f>
        <v>199.10000000000002</v>
      </c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</row>
    <row r="184" spans="24:48">
      <c r="X184" s="15"/>
      <c r="Y184" s="386">
        <f>AK172</f>
        <v>169.79999999999998</v>
      </c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</row>
    <row r="185" spans="24:48">
      <c r="X185" s="15"/>
      <c r="Y185" s="386">
        <f>AL172</f>
        <v>143.55000000000001</v>
      </c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</row>
    <row r="186" spans="24:48">
      <c r="X186" s="15"/>
      <c r="Y186" s="386">
        <f>AM172</f>
        <v>131.9</v>
      </c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</row>
    <row r="187" spans="24:48">
      <c r="X187" s="15"/>
      <c r="Y187" s="386">
        <f>AN172</f>
        <v>130.4</v>
      </c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</row>
    <row r="188" spans="24:48">
      <c r="X188" s="15"/>
      <c r="Y188" s="386">
        <f>AO172</f>
        <v>142.1</v>
      </c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</row>
    <row r="189" spans="24:48">
      <c r="X189" s="15"/>
      <c r="Y189" s="386">
        <f>AP172</f>
        <v>159.4</v>
      </c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</row>
    <row r="190" spans="24:48">
      <c r="X190" s="15"/>
      <c r="Y190" s="386">
        <f>AQ172</f>
        <v>174.8</v>
      </c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</row>
    <row r="191" spans="24:48">
      <c r="X191" s="15"/>
      <c r="Y191" s="386">
        <f>AR172</f>
        <v>182</v>
      </c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</row>
    <row r="192" spans="24:48">
      <c r="X192" s="15"/>
      <c r="Y192" s="386">
        <f>AS172</f>
        <v>177.1</v>
      </c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</row>
    <row r="193" spans="24:48">
      <c r="X193" s="15"/>
      <c r="Y193" s="386">
        <f>AT172</f>
        <v>158.80000000000001</v>
      </c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</row>
    <row r="194" spans="24:48">
      <c r="X194" s="15"/>
      <c r="Y194" s="386">
        <f>AU172</f>
        <v>136</v>
      </c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</row>
    <row r="195" spans="24:48">
      <c r="X195" s="15"/>
      <c r="Y195" s="386">
        <f>AV172</f>
        <v>112.4</v>
      </c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</row>
    <row r="196" spans="24:48">
      <c r="X196" s="15">
        <f>skemA1!B13</f>
        <v>44717</v>
      </c>
      <c r="Y196" s="386">
        <f>skemA1!C13</f>
        <v>90.5</v>
      </c>
      <c r="Z196" s="386">
        <f>skemA1!D13</f>
        <v>78.600000000000009</v>
      </c>
      <c r="AA196" s="386">
        <f>skemA1!E13</f>
        <v>84.5</v>
      </c>
      <c r="AB196" s="386">
        <f>skemA1!F13</f>
        <v>107</v>
      </c>
      <c r="AC196" s="386">
        <f>skemA1!G13</f>
        <v>141.30000000000001</v>
      </c>
      <c r="AD196" s="386">
        <f>skemA1!H13</f>
        <v>179.20000000000002</v>
      </c>
      <c r="AE196" s="386">
        <f>skemA1!I13</f>
        <v>217.89999999999998</v>
      </c>
      <c r="AF196" s="386">
        <f>skemA1!J13</f>
        <v>244.20000000000002</v>
      </c>
      <c r="AG196" s="386">
        <f>skemA1!K13</f>
        <v>256.3</v>
      </c>
      <c r="AH196" s="386">
        <f>skemA1!L13</f>
        <v>255.20000000000002</v>
      </c>
      <c r="AI196" s="386">
        <f>skemA1!M13</f>
        <v>240.60000000000002</v>
      </c>
      <c r="AJ196" s="386">
        <f>skemA1!N13</f>
        <v>211.50000000000003</v>
      </c>
      <c r="AK196" s="386">
        <f>skemA1!O13</f>
        <v>180.5</v>
      </c>
      <c r="AL196" s="386">
        <f>skemA1!P13</f>
        <v>156.4</v>
      </c>
      <c r="AM196" s="386">
        <f>skemA1!Q13</f>
        <v>143.9</v>
      </c>
      <c r="AN196" s="386">
        <f>skemA1!R13</f>
        <v>140.79999999999998</v>
      </c>
      <c r="AO196" s="386">
        <f>skemA1!S13</f>
        <v>147.9</v>
      </c>
      <c r="AP196" s="386">
        <f>skemA1!T13</f>
        <v>159.30000000000001</v>
      </c>
      <c r="AQ196" s="386">
        <f>skemA1!U13</f>
        <v>172.10000000000002</v>
      </c>
      <c r="AR196" s="386">
        <f>skemA1!V13</f>
        <v>180.8</v>
      </c>
      <c r="AS196" s="386">
        <f>skemA1!W13</f>
        <v>180.5</v>
      </c>
      <c r="AT196" s="386">
        <f>skemA1!X13</f>
        <v>166.70000000000002</v>
      </c>
      <c r="AU196" s="386">
        <f>skemA1!Y13</f>
        <v>146</v>
      </c>
      <c r="AV196" s="386">
        <f>skemA1!Z13</f>
        <v>125.4</v>
      </c>
    </row>
    <row r="197" spans="24:48">
      <c r="X197" s="15"/>
      <c r="Y197" s="386">
        <f>Z196</f>
        <v>78.600000000000009</v>
      </c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</row>
    <row r="198" spans="24:48">
      <c r="X198" s="15"/>
      <c r="Y198" s="386">
        <f>AA196</f>
        <v>84.5</v>
      </c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</row>
    <row r="199" spans="24:48">
      <c r="X199" s="15"/>
      <c r="Y199" s="386">
        <f>AB196</f>
        <v>107</v>
      </c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</row>
    <row r="200" spans="24:48">
      <c r="X200" s="15"/>
      <c r="Y200" s="386">
        <f>AC196</f>
        <v>141.30000000000001</v>
      </c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</row>
    <row r="201" spans="24:48">
      <c r="X201" s="15"/>
      <c r="Y201" s="386">
        <f>AD196</f>
        <v>179.20000000000002</v>
      </c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</row>
    <row r="202" spans="24:48">
      <c r="X202" s="15"/>
      <c r="Y202" s="386">
        <f>AE196</f>
        <v>217.89999999999998</v>
      </c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</row>
    <row r="203" spans="24:48">
      <c r="X203" s="15"/>
      <c r="Y203" s="386">
        <f>AF196</f>
        <v>244.20000000000002</v>
      </c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</row>
    <row r="204" spans="24:48">
      <c r="X204" s="15"/>
      <c r="Y204" s="386">
        <f>AG196</f>
        <v>256.3</v>
      </c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</row>
    <row r="205" spans="24:48">
      <c r="X205" s="15"/>
      <c r="Y205" s="386">
        <f>AH196</f>
        <v>255.20000000000002</v>
      </c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</row>
    <row r="206" spans="24:48">
      <c r="X206" s="15"/>
      <c r="Y206" s="386">
        <f>AI196</f>
        <v>240.60000000000002</v>
      </c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</row>
    <row r="207" spans="24:48">
      <c r="X207" s="15"/>
      <c r="Y207" s="386">
        <f>AJ196</f>
        <v>211.50000000000003</v>
      </c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</row>
    <row r="208" spans="24:48">
      <c r="X208" s="15"/>
      <c r="Y208" s="386">
        <f>AK196</f>
        <v>180.5</v>
      </c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</row>
    <row r="209" spans="24:48">
      <c r="X209" s="15"/>
      <c r="Y209" s="386">
        <f>AL196</f>
        <v>156.4</v>
      </c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</row>
    <row r="210" spans="24:48">
      <c r="X210" s="15"/>
      <c r="Y210" s="386">
        <f>AM196</f>
        <v>143.9</v>
      </c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</row>
    <row r="211" spans="24:48">
      <c r="X211" s="15"/>
      <c r="Y211" s="386">
        <f>AN196</f>
        <v>140.79999999999998</v>
      </c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</row>
    <row r="212" spans="24:48">
      <c r="X212" s="15"/>
      <c r="Y212" s="386">
        <f>AO196</f>
        <v>147.9</v>
      </c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</row>
    <row r="213" spans="24:48">
      <c r="X213" s="15"/>
      <c r="Y213" s="386">
        <f>AP196</f>
        <v>159.30000000000001</v>
      </c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</row>
    <row r="214" spans="24:48">
      <c r="X214" s="15"/>
      <c r="Y214" s="386">
        <f>AQ196</f>
        <v>172.10000000000002</v>
      </c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</row>
    <row r="215" spans="24:48">
      <c r="X215" s="15"/>
      <c r="Y215" s="386">
        <f>AR196</f>
        <v>180.8</v>
      </c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</row>
    <row r="216" spans="24:48">
      <c r="X216" s="15"/>
      <c r="Y216" s="386">
        <f>AS196</f>
        <v>180.5</v>
      </c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</row>
    <row r="217" spans="24:48">
      <c r="X217" s="15"/>
      <c r="Y217" s="386">
        <f>AT196</f>
        <v>166.70000000000002</v>
      </c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</row>
    <row r="218" spans="24:48">
      <c r="X218" s="15"/>
      <c r="Y218" s="386">
        <f>AU196</f>
        <v>146</v>
      </c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</row>
    <row r="219" spans="24:48">
      <c r="X219" s="15"/>
      <c r="Y219" s="386">
        <f>AV196</f>
        <v>125.4</v>
      </c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</row>
    <row r="220" spans="24:48">
      <c r="X220" s="15">
        <f>skemA1!B14</f>
        <v>44718</v>
      </c>
      <c r="Y220" s="386">
        <f>skemA1!C14</f>
        <v>104.69999999999999</v>
      </c>
      <c r="Z220" s="386">
        <f>skemA1!D14</f>
        <v>90.600000000000009</v>
      </c>
      <c r="AA220" s="386">
        <f>skemA1!E14</f>
        <v>87.1</v>
      </c>
      <c r="AB220" s="386">
        <f>skemA1!F14</f>
        <v>102.4</v>
      </c>
      <c r="AC220" s="386">
        <f>skemA1!G14</f>
        <v>131.4</v>
      </c>
      <c r="AD220" s="386">
        <f>skemA1!H14</f>
        <v>166.79999999999998</v>
      </c>
      <c r="AE220" s="386">
        <f>skemA1!I14</f>
        <v>199.3</v>
      </c>
      <c r="AF220" s="386">
        <f>skemA1!J14</f>
        <v>225</v>
      </c>
      <c r="AG220" s="386">
        <f>skemA1!K14</f>
        <v>240.20000000000002</v>
      </c>
      <c r="AH220" s="386">
        <f>skemA1!L14</f>
        <v>242.20000000000002</v>
      </c>
      <c r="AI220" s="386">
        <f>skemA1!M14</f>
        <v>235.70000000000002</v>
      </c>
      <c r="AJ220" s="386">
        <f>skemA1!N14</f>
        <v>218.29999999999998</v>
      </c>
      <c r="AK220" s="386">
        <f>skemA1!O14</f>
        <v>192.3</v>
      </c>
      <c r="AL220" s="386">
        <f>skemA1!P14</f>
        <v>170.5</v>
      </c>
      <c r="AM220" s="386">
        <f>skemA1!Q14</f>
        <v>155.6</v>
      </c>
      <c r="AN220" s="386">
        <f>skemA1!R14</f>
        <v>147.30000000000001</v>
      </c>
      <c r="AO220" s="386">
        <f>skemA1!S14</f>
        <v>147.9</v>
      </c>
      <c r="AP220" s="386">
        <f>skemA1!T14</f>
        <v>157.29999999999998</v>
      </c>
      <c r="AQ220" s="386">
        <f>skemA1!U14</f>
        <v>167.3</v>
      </c>
      <c r="AR220" s="386">
        <f>skemA1!V14</f>
        <v>178.9</v>
      </c>
      <c r="AS220" s="386">
        <f>skemA1!W14</f>
        <v>183.20000000000002</v>
      </c>
      <c r="AT220" s="386">
        <f>skemA1!X14</f>
        <v>175.5</v>
      </c>
      <c r="AU220" s="386">
        <f>skemA1!Y14</f>
        <v>155.6</v>
      </c>
      <c r="AV220" s="386">
        <f>skemA1!Z14</f>
        <v>137.5</v>
      </c>
    </row>
    <row r="221" spans="24:48">
      <c r="X221" s="15"/>
      <c r="Y221" s="386">
        <f>Z220</f>
        <v>90.600000000000009</v>
      </c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</row>
    <row r="222" spans="24:48">
      <c r="X222" s="15"/>
      <c r="Y222" s="386">
        <f>AA220</f>
        <v>87.1</v>
      </c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</row>
    <row r="223" spans="24:48">
      <c r="X223" s="15"/>
      <c r="Y223" s="386">
        <f>AB220</f>
        <v>102.4</v>
      </c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</row>
    <row r="224" spans="24:48">
      <c r="X224" s="15"/>
      <c r="Y224" s="386">
        <f>AC220</f>
        <v>131.4</v>
      </c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</row>
    <row r="225" spans="24:48">
      <c r="X225" s="15"/>
      <c r="Y225" s="386">
        <f>AD220</f>
        <v>166.79999999999998</v>
      </c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</row>
    <row r="226" spans="24:48">
      <c r="X226" s="15"/>
      <c r="Y226" s="386">
        <f>AE220</f>
        <v>199.3</v>
      </c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</row>
    <row r="227" spans="24:48">
      <c r="X227" s="15"/>
      <c r="Y227" s="386">
        <f>AF220</f>
        <v>225</v>
      </c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</row>
    <row r="228" spans="24:48">
      <c r="X228" s="15"/>
      <c r="Y228" s="386">
        <f>AG220</f>
        <v>240.20000000000002</v>
      </c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</row>
    <row r="229" spans="24:48">
      <c r="X229" s="15"/>
      <c r="Y229" s="386">
        <f>AH220</f>
        <v>242.20000000000002</v>
      </c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</row>
    <row r="230" spans="24:48">
      <c r="X230" s="15"/>
      <c r="Y230" s="386">
        <f>AI220</f>
        <v>235.70000000000002</v>
      </c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</row>
    <row r="231" spans="24:48">
      <c r="X231" s="15"/>
      <c r="Y231" s="386">
        <f>AJ220</f>
        <v>218.29999999999998</v>
      </c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</row>
    <row r="232" spans="24:48">
      <c r="X232" s="15"/>
      <c r="Y232" s="386">
        <f>AK220</f>
        <v>192.3</v>
      </c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</row>
    <row r="233" spans="24:48">
      <c r="X233" s="15"/>
      <c r="Y233" s="386">
        <f>AL220</f>
        <v>170.5</v>
      </c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</row>
    <row r="234" spans="24:48">
      <c r="X234" s="15"/>
      <c r="Y234" s="386">
        <f>AM220</f>
        <v>155.6</v>
      </c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</row>
    <row r="235" spans="24:48">
      <c r="X235" s="15"/>
      <c r="Y235" s="386">
        <f>AN220</f>
        <v>147.30000000000001</v>
      </c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</row>
    <row r="236" spans="24:48">
      <c r="X236" s="15"/>
      <c r="Y236" s="386">
        <f>AO220</f>
        <v>147.9</v>
      </c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</row>
    <row r="237" spans="24:48">
      <c r="X237" s="15"/>
      <c r="Y237" s="386">
        <f>AP220</f>
        <v>157.29999999999998</v>
      </c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</row>
    <row r="238" spans="24:48">
      <c r="X238" s="15"/>
      <c r="Y238" s="386">
        <f>AQ220</f>
        <v>167.3</v>
      </c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</row>
    <row r="239" spans="24:48">
      <c r="X239" s="15"/>
      <c r="Y239" s="386">
        <f>AR220</f>
        <v>178.9</v>
      </c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</row>
    <row r="240" spans="24:48">
      <c r="X240" s="15"/>
      <c r="Y240" s="386">
        <f>AS220</f>
        <v>183.20000000000002</v>
      </c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</row>
    <row r="241" spans="24:48">
      <c r="X241" s="15"/>
      <c r="Y241" s="386">
        <f>AT220</f>
        <v>175.5</v>
      </c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</row>
    <row r="242" spans="24:48">
      <c r="X242" s="15"/>
      <c r="Y242" s="386">
        <f>AU220</f>
        <v>155.6</v>
      </c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</row>
    <row r="243" spans="24:48">
      <c r="X243" s="15"/>
      <c r="Y243" s="386">
        <f>AV220</f>
        <v>137.5</v>
      </c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</row>
    <row r="244" spans="24:48">
      <c r="X244" s="15">
        <f>skemA1!B15</f>
        <v>44719</v>
      </c>
      <c r="Y244" s="386">
        <f>skemA1!C15</f>
        <v>119.7</v>
      </c>
      <c r="Z244" s="386">
        <f>skemA1!D15</f>
        <v>105.80000000000001</v>
      </c>
      <c r="AA244" s="386">
        <f>skemA1!E15</f>
        <v>102.8</v>
      </c>
      <c r="AB244" s="386">
        <f>skemA1!F15</f>
        <v>110.00000000000001</v>
      </c>
      <c r="AC244" s="386">
        <f>skemA1!G15</f>
        <v>130.69999999999999</v>
      </c>
      <c r="AD244" s="386">
        <f>skemA1!H15</f>
        <v>159.30000000000001</v>
      </c>
      <c r="AE244" s="386">
        <f>skemA1!I15</f>
        <v>188.6</v>
      </c>
      <c r="AF244" s="386">
        <f>skemA1!J15</f>
        <v>209.60000000000002</v>
      </c>
      <c r="AG244" s="386">
        <f>skemA1!K15</f>
        <v>224.10000000000002</v>
      </c>
      <c r="AH244" s="386">
        <f>skemA1!L15</f>
        <v>230.29999999999998</v>
      </c>
      <c r="AI244" s="386">
        <f>skemA1!M15</f>
        <v>224.7</v>
      </c>
      <c r="AJ244" s="386">
        <f>skemA1!N15</f>
        <v>212.4</v>
      </c>
      <c r="AK244" s="386">
        <f>skemA1!O15</f>
        <v>198.6</v>
      </c>
      <c r="AL244" s="386">
        <f>skemA1!P15</f>
        <v>180.8</v>
      </c>
      <c r="AM244" s="386">
        <f>skemA1!Q15</f>
        <v>162.9</v>
      </c>
      <c r="AN244" s="386">
        <f>skemA1!R15</f>
        <v>153.5</v>
      </c>
      <c r="AO244" s="386">
        <f>skemA1!S15</f>
        <v>150.19999999999999</v>
      </c>
      <c r="AP244" s="386">
        <f>skemA1!T15</f>
        <v>151.10000000000002</v>
      </c>
      <c r="AQ244" s="386">
        <f>skemA1!U15</f>
        <v>159.5</v>
      </c>
      <c r="AR244" s="386">
        <f>skemA1!V15</f>
        <v>172.4</v>
      </c>
      <c r="AS244" s="386">
        <f>skemA1!W15</f>
        <v>179.6</v>
      </c>
      <c r="AT244" s="386">
        <f>skemA1!X15</f>
        <v>176.6</v>
      </c>
      <c r="AU244" s="386">
        <f>skemA1!Y15</f>
        <v>164</v>
      </c>
      <c r="AV244" s="386">
        <f>skemA1!Z15</f>
        <v>149.5</v>
      </c>
    </row>
    <row r="245" spans="24:48">
      <c r="X245" s="15"/>
      <c r="Y245" s="386">
        <f>Z244</f>
        <v>105.80000000000001</v>
      </c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</row>
    <row r="246" spans="24:48">
      <c r="X246" s="15"/>
      <c r="Y246" s="386">
        <f>AA244</f>
        <v>102.8</v>
      </c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</row>
    <row r="247" spans="24:48">
      <c r="X247" s="15"/>
      <c r="Y247" s="386">
        <f>AB244</f>
        <v>110.00000000000001</v>
      </c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</row>
    <row r="248" spans="24:48">
      <c r="X248" s="15"/>
      <c r="Y248" s="386">
        <f>AC244</f>
        <v>130.69999999999999</v>
      </c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</row>
    <row r="249" spans="24:48">
      <c r="X249" s="15"/>
      <c r="Y249" s="386">
        <f>AD244</f>
        <v>159.30000000000001</v>
      </c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</row>
    <row r="250" spans="24:48">
      <c r="X250" s="15"/>
      <c r="Y250" s="386">
        <f>AE244</f>
        <v>188.6</v>
      </c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</row>
    <row r="251" spans="24:48">
      <c r="X251" s="15"/>
      <c r="Y251" s="386">
        <f>AF244</f>
        <v>209.60000000000002</v>
      </c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</row>
    <row r="252" spans="24:48">
      <c r="X252" s="15"/>
      <c r="Y252" s="386">
        <f>AG244</f>
        <v>224.10000000000002</v>
      </c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</row>
    <row r="253" spans="24:48">
      <c r="X253" s="15"/>
      <c r="Y253" s="386">
        <f>AH244</f>
        <v>230.29999999999998</v>
      </c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</row>
    <row r="254" spans="24:48">
      <c r="X254" s="15"/>
      <c r="Y254" s="386">
        <f>AI244</f>
        <v>224.7</v>
      </c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</row>
    <row r="255" spans="24:48">
      <c r="X255" s="15"/>
      <c r="Y255" s="386">
        <f>AJ244</f>
        <v>212.4</v>
      </c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</row>
    <row r="256" spans="24:48">
      <c r="X256" s="15"/>
      <c r="Y256" s="386">
        <f>AK244</f>
        <v>198.6</v>
      </c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</row>
    <row r="257" spans="24:48">
      <c r="X257" s="15"/>
      <c r="Y257" s="386">
        <f>AL244</f>
        <v>180.8</v>
      </c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</row>
    <row r="258" spans="24:48">
      <c r="X258" s="15"/>
      <c r="Y258" s="386">
        <f>AM244</f>
        <v>162.9</v>
      </c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</row>
    <row r="259" spans="24:48">
      <c r="X259" s="15"/>
      <c r="Y259" s="386">
        <f>AN244</f>
        <v>153.5</v>
      </c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</row>
    <row r="260" spans="24:48">
      <c r="X260" s="15"/>
      <c r="Y260" s="386">
        <f>AO244</f>
        <v>150.19999999999999</v>
      </c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</row>
    <row r="261" spans="24:48">
      <c r="X261" s="15"/>
      <c r="Y261" s="386">
        <f>AP244</f>
        <v>151.10000000000002</v>
      </c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</row>
    <row r="262" spans="24:48">
      <c r="X262" s="15"/>
      <c r="Y262" s="386">
        <f>AQ244</f>
        <v>159.5</v>
      </c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</row>
    <row r="263" spans="24:48">
      <c r="X263" s="15"/>
      <c r="Y263" s="386">
        <f>AR244</f>
        <v>172.4</v>
      </c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</row>
    <row r="264" spans="24:48">
      <c r="X264" s="15"/>
      <c r="Y264" s="386">
        <f>AS244</f>
        <v>179.6</v>
      </c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</row>
    <row r="265" spans="24:48">
      <c r="X265" s="15"/>
      <c r="Y265" s="386">
        <f>AT244</f>
        <v>176.6</v>
      </c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</row>
    <row r="266" spans="24:48">
      <c r="X266" s="15"/>
      <c r="Y266" s="386">
        <f>AU244</f>
        <v>164</v>
      </c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</row>
    <row r="267" spans="24:48">
      <c r="X267" s="15"/>
      <c r="Y267" s="386">
        <f>AV244</f>
        <v>149.5</v>
      </c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</row>
    <row r="268" spans="24:48">
      <c r="X268" s="15">
        <f>skemA1!B16</f>
        <v>44720</v>
      </c>
      <c r="Y268" s="386">
        <f>skemA1!C16</f>
        <v>137.30000000000001</v>
      </c>
      <c r="Z268" s="386">
        <f>skemA1!D16</f>
        <v>127.1</v>
      </c>
      <c r="AA268" s="386">
        <f>skemA1!E16</f>
        <v>123.4</v>
      </c>
      <c r="AB268" s="386">
        <f>skemA1!F16</f>
        <v>127.3</v>
      </c>
      <c r="AC268" s="386">
        <f>skemA1!G16</f>
        <v>135.20000000000002</v>
      </c>
      <c r="AD268" s="386">
        <f>skemA1!H16</f>
        <v>152.6</v>
      </c>
      <c r="AE268" s="386">
        <f>skemA1!I16</f>
        <v>173.9</v>
      </c>
      <c r="AF268" s="386">
        <f>skemA1!J16</f>
        <v>190.5</v>
      </c>
      <c r="AG268" s="386">
        <f>skemA1!K16</f>
        <v>203.9</v>
      </c>
      <c r="AH268" s="386">
        <f>skemA1!L16</f>
        <v>208.70000000000002</v>
      </c>
      <c r="AI268" s="386">
        <f>skemA1!M16</f>
        <v>207.7</v>
      </c>
      <c r="AJ268" s="386">
        <f>skemA1!N16</f>
        <v>203.6</v>
      </c>
      <c r="AK268" s="386">
        <f>skemA1!O16</f>
        <v>197.6</v>
      </c>
      <c r="AL268" s="386">
        <f>skemA1!P16</f>
        <v>187.3</v>
      </c>
      <c r="AM268" s="386">
        <f>skemA1!Q16</f>
        <v>176.5</v>
      </c>
      <c r="AN268" s="386">
        <f>skemA1!R16</f>
        <v>163.19999999999999</v>
      </c>
      <c r="AO268" s="386">
        <f>skemA1!S16</f>
        <v>157.80000000000001</v>
      </c>
      <c r="AP268" s="386">
        <f>skemA1!T16</f>
        <v>153.80000000000001</v>
      </c>
      <c r="AQ268" s="386">
        <f>skemA1!U16</f>
        <v>154.4</v>
      </c>
      <c r="AR268" s="386">
        <f>skemA1!V16</f>
        <v>162.1</v>
      </c>
      <c r="AS268" s="386">
        <f>skemA1!W16</f>
        <v>170.4</v>
      </c>
      <c r="AT268" s="386">
        <f>skemA1!X16</f>
        <v>172.10000000000002</v>
      </c>
      <c r="AU268" s="386">
        <f>skemA1!Y16</f>
        <v>169.3</v>
      </c>
      <c r="AV268" s="386">
        <f>skemA1!Z16</f>
        <v>161</v>
      </c>
    </row>
    <row r="269" spans="24:48">
      <c r="X269" s="15"/>
      <c r="Y269" s="386">
        <f>Z268</f>
        <v>127.1</v>
      </c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</row>
    <row r="270" spans="24:48">
      <c r="X270" s="15"/>
      <c r="Y270" s="386">
        <f>AA268</f>
        <v>123.4</v>
      </c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</row>
    <row r="271" spans="24:48">
      <c r="X271" s="15"/>
      <c r="Y271" s="386">
        <f>AB268</f>
        <v>127.3</v>
      </c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</row>
    <row r="272" spans="24:48">
      <c r="X272" s="15"/>
      <c r="Y272" s="386">
        <f>AC268</f>
        <v>135.20000000000002</v>
      </c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</row>
    <row r="273" spans="24:48">
      <c r="X273" s="15"/>
      <c r="Y273" s="386">
        <f>AD268</f>
        <v>152.6</v>
      </c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</row>
    <row r="274" spans="24:48">
      <c r="X274" s="15"/>
      <c r="Y274" s="386">
        <f>AE268</f>
        <v>173.9</v>
      </c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</row>
    <row r="275" spans="24:48">
      <c r="X275" s="15"/>
      <c r="Y275" s="386">
        <f>AF268</f>
        <v>190.5</v>
      </c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</row>
    <row r="276" spans="24:48">
      <c r="X276" s="15"/>
      <c r="Y276" s="386">
        <f>AG268</f>
        <v>203.9</v>
      </c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</row>
    <row r="277" spans="24:48">
      <c r="X277" s="15"/>
      <c r="Y277" s="386">
        <f>AH268</f>
        <v>208.70000000000002</v>
      </c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</row>
    <row r="278" spans="24:48">
      <c r="X278" s="15"/>
      <c r="Y278" s="386">
        <f>AI268</f>
        <v>207.7</v>
      </c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</row>
    <row r="279" spans="24:48">
      <c r="X279" s="15"/>
      <c r="Y279" s="386">
        <f>AJ268</f>
        <v>203.6</v>
      </c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</row>
    <row r="280" spans="24:48">
      <c r="X280" s="15"/>
      <c r="Y280" s="386">
        <f>AK268</f>
        <v>197.6</v>
      </c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</row>
    <row r="281" spans="24:48">
      <c r="X281" s="15"/>
      <c r="Y281" s="386">
        <f>AL268</f>
        <v>187.3</v>
      </c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</row>
    <row r="282" spans="24:48">
      <c r="X282" s="15"/>
      <c r="Y282" s="386">
        <f>AM268</f>
        <v>176.5</v>
      </c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</row>
    <row r="283" spans="24:48">
      <c r="X283" s="15"/>
      <c r="Y283" s="386">
        <f>AN268</f>
        <v>163.19999999999999</v>
      </c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</row>
    <row r="284" spans="24:48">
      <c r="X284" s="15"/>
      <c r="Y284" s="386">
        <f>AO268</f>
        <v>157.80000000000001</v>
      </c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</row>
    <row r="285" spans="24:48">
      <c r="X285" s="15"/>
      <c r="Y285" s="386">
        <f>AP268</f>
        <v>153.80000000000001</v>
      </c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</row>
    <row r="286" spans="24:48">
      <c r="X286" s="15"/>
      <c r="Y286" s="386">
        <f>AQ268</f>
        <v>154.4</v>
      </c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</row>
    <row r="287" spans="24:48">
      <c r="X287" s="15"/>
      <c r="Y287" s="386">
        <f>AR268</f>
        <v>162.1</v>
      </c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</row>
    <row r="288" spans="24:48">
      <c r="X288" s="15"/>
      <c r="Y288" s="386">
        <f>AS268</f>
        <v>170.4</v>
      </c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</row>
    <row r="289" spans="24:48">
      <c r="X289" s="15"/>
      <c r="Y289" s="386">
        <f>AT268</f>
        <v>172.10000000000002</v>
      </c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</row>
    <row r="290" spans="24:48">
      <c r="X290" s="15"/>
      <c r="Y290" s="386">
        <f>AU268</f>
        <v>169.3</v>
      </c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</row>
    <row r="291" spans="24:48">
      <c r="X291" s="15"/>
      <c r="Y291" s="386">
        <f>AV268</f>
        <v>161</v>
      </c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</row>
    <row r="292" spans="24:48">
      <c r="X292" s="15">
        <f>skemA1!B17</f>
        <v>44721</v>
      </c>
      <c r="Y292" s="386">
        <f>skemA1!C17</f>
        <v>149.6</v>
      </c>
      <c r="Z292" s="386">
        <f>skemA1!D17</f>
        <v>143.70000000000002</v>
      </c>
      <c r="AA292" s="386">
        <f>skemA1!E17</f>
        <v>143.1</v>
      </c>
      <c r="AB292" s="386">
        <f>skemA1!F17</f>
        <v>146.6</v>
      </c>
      <c r="AC292" s="386">
        <f>skemA1!G17</f>
        <v>153.9</v>
      </c>
      <c r="AD292" s="386">
        <f>skemA1!H17</f>
        <v>163.6</v>
      </c>
      <c r="AE292" s="386">
        <f>skemA1!I17</f>
        <v>170.70000000000002</v>
      </c>
      <c r="AF292" s="386">
        <f>skemA1!J17</f>
        <v>179.7</v>
      </c>
      <c r="AG292" s="386">
        <f>skemA1!K17</f>
        <v>184.3</v>
      </c>
      <c r="AH292" s="386">
        <f>skemA1!L17</f>
        <v>187.4</v>
      </c>
      <c r="AI292" s="386">
        <f>skemA1!M17</f>
        <v>189.9</v>
      </c>
      <c r="AJ292" s="386">
        <f>skemA1!N17</f>
        <v>192.4</v>
      </c>
      <c r="AK292" s="386">
        <f>skemA1!O17</f>
        <v>189.39999999999998</v>
      </c>
      <c r="AL292" s="386">
        <f>skemA1!P17</f>
        <v>183.5</v>
      </c>
      <c r="AM292" s="386">
        <f>skemA1!Q17</f>
        <v>178.9</v>
      </c>
      <c r="AN292" s="386">
        <f>skemA1!R17</f>
        <v>167.4</v>
      </c>
      <c r="AO292" s="386">
        <f>skemA1!S17</f>
        <v>157.6</v>
      </c>
      <c r="AP292" s="386">
        <f>skemA1!T17</f>
        <v>150.89999999999998</v>
      </c>
      <c r="AQ292" s="386">
        <f>skemA1!U17</f>
        <v>146.80000000000001</v>
      </c>
      <c r="AR292" s="386">
        <f>skemA1!V17</f>
        <v>148.4</v>
      </c>
      <c r="AS292" s="386">
        <f>skemA1!W17</f>
        <v>152.69999999999999</v>
      </c>
      <c r="AT292" s="386">
        <f>skemA1!X17</f>
        <v>154.4</v>
      </c>
      <c r="AU292" s="386">
        <f>skemA1!Y17</f>
        <v>158.4</v>
      </c>
      <c r="AV292" s="386">
        <f>skemA1!Z17</f>
        <v>156.9</v>
      </c>
    </row>
    <row r="293" spans="24:48">
      <c r="X293" s="15"/>
      <c r="Y293" s="386">
        <f>Z292</f>
        <v>143.70000000000002</v>
      </c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</row>
    <row r="294" spans="24:48">
      <c r="X294" s="15"/>
      <c r="Y294" s="386">
        <f>AA292</f>
        <v>143.1</v>
      </c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</row>
    <row r="295" spans="24:48">
      <c r="X295" s="15"/>
      <c r="Y295" s="386">
        <f>AB292</f>
        <v>146.6</v>
      </c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</row>
    <row r="296" spans="24:48">
      <c r="X296" s="15"/>
      <c r="Y296" s="386">
        <f>AC292</f>
        <v>153.9</v>
      </c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</row>
    <row r="297" spans="24:48">
      <c r="X297" s="15"/>
      <c r="Y297" s="386">
        <f>AD292</f>
        <v>163.6</v>
      </c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</row>
    <row r="298" spans="24:48">
      <c r="X298" s="15"/>
      <c r="Y298" s="386">
        <f>AE292</f>
        <v>170.70000000000002</v>
      </c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</row>
    <row r="299" spans="24:48">
      <c r="X299" s="15"/>
      <c r="Y299" s="386">
        <f>AF292</f>
        <v>179.7</v>
      </c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</row>
    <row r="300" spans="24:48">
      <c r="X300" s="15"/>
      <c r="Y300" s="386">
        <f>AG292</f>
        <v>184.3</v>
      </c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</row>
    <row r="301" spans="24:48">
      <c r="X301" s="15"/>
      <c r="Y301" s="386">
        <f>AH292</f>
        <v>187.4</v>
      </c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</row>
    <row r="302" spans="24:48">
      <c r="X302" s="15"/>
      <c r="Y302" s="386">
        <f>AI292</f>
        <v>189.9</v>
      </c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</row>
    <row r="303" spans="24:48">
      <c r="X303" s="15"/>
      <c r="Y303" s="386">
        <f>AJ292</f>
        <v>192.4</v>
      </c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</row>
    <row r="304" spans="24:48">
      <c r="X304" s="15"/>
      <c r="Y304" s="386">
        <f>AK292</f>
        <v>189.39999999999998</v>
      </c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</row>
    <row r="305" spans="24:48">
      <c r="X305" s="15"/>
      <c r="Y305" s="386">
        <f>AL292</f>
        <v>183.5</v>
      </c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</row>
    <row r="306" spans="24:48">
      <c r="X306" s="15"/>
      <c r="Y306" s="386">
        <f>AM292</f>
        <v>178.9</v>
      </c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</row>
    <row r="307" spans="24:48">
      <c r="X307" s="15"/>
      <c r="Y307" s="386">
        <f>AN292</f>
        <v>167.4</v>
      </c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</row>
    <row r="308" spans="24:48">
      <c r="X308" s="15"/>
      <c r="Y308" s="386">
        <f>AO292</f>
        <v>157.6</v>
      </c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</row>
    <row r="309" spans="24:48">
      <c r="X309" s="15"/>
      <c r="Y309" s="386">
        <f>AP292</f>
        <v>150.89999999999998</v>
      </c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</row>
    <row r="310" spans="24:48">
      <c r="X310" s="15"/>
      <c r="Y310" s="386">
        <f>AQ292</f>
        <v>146.80000000000001</v>
      </c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</row>
    <row r="311" spans="24:48">
      <c r="X311" s="15"/>
      <c r="Y311" s="386">
        <f>AR292</f>
        <v>148.4</v>
      </c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</row>
    <row r="312" spans="24:48">
      <c r="X312" s="15"/>
      <c r="Y312" s="386">
        <f>AS292</f>
        <v>152.69999999999999</v>
      </c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</row>
    <row r="313" spans="24:48">
      <c r="X313" s="15"/>
      <c r="Y313" s="386">
        <f>AT292</f>
        <v>154.4</v>
      </c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</row>
    <row r="314" spans="24:48">
      <c r="X314" s="15"/>
      <c r="Y314" s="386">
        <f>AU292</f>
        <v>158.4</v>
      </c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</row>
    <row r="315" spans="24:48">
      <c r="X315" s="15"/>
      <c r="Y315" s="386">
        <f>AV292</f>
        <v>156.9</v>
      </c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</row>
    <row r="316" spans="24:48">
      <c r="X316" s="15">
        <f>skemA1!B18</f>
        <v>44722</v>
      </c>
      <c r="Y316" s="386">
        <f>skemA1!C18</f>
        <v>162</v>
      </c>
      <c r="Z316" s="386">
        <f>skemA1!D18</f>
        <v>167.6</v>
      </c>
      <c r="AA316" s="386">
        <f>skemA1!E18</f>
        <v>166.9</v>
      </c>
      <c r="AB316" s="386">
        <f>skemA1!F18</f>
        <v>169.9</v>
      </c>
      <c r="AC316" s="386">
        <f>skemA1!G18</f>
        <v>171.4</v>
      </c>
      <c r="AD316" s="386">
        <f>skemA1!H18</f>
        <v>171.4</v>
      </c>
      <c r="AE316" s="386">
        <f>skemA1!I18</f>
        <v>171.2</v>
      </c>
      <c r="AF316" s="386">
        <f>skemA1!J18</f>
        <v>173</v>
      </c>
      <c r="AG316" s="386">
        <f>skemA1!K18</f>
        <v>175.2</v>
      </c>
      <c r="AH316" s="386">
        <f>skemA1!L18</f>
        <v>172.3</v>
      </c>
      <c r="AI316" s="386">
        <f>skemA1!M18</f>
        <v>171.5</v>
      </c>
      <c r="AJ316" s="386">
        <f>skemA1!N18</f>
        <v>173.9</v>
      </c>
      <c r="AK316" s="386">
        <f>skemA1!O18</f>
        <v>178.5</v>
      </c>
      <c r="AL316" s="386">
        <f>skemA1!P18</f>
        <v>182.20000000000002</v>
      </c>
      <c r="AM316" s="386">
        <f>skemA1!Q18</f>
        <v>182.29999999999998</v>
      </c>
      <c r="AN316" s="386">
        <f>skemA1!R18</f>
        <v>176.6</v>
      </c>
      <c r="AO316" s="386">
        <f>skemA1!S18</f>
        <v>168.4</v>
      </c>
      <c r="AP316" s="386">
        <f>skemA1!T18</f>
        <v>154.80000000000001</v>
      </c>
      <c r="AQ316" s="386">
        <f>skemA1!U18</f>
        <v>142.19999999999999</v>
      </c>
      <c r="AR316" s="386">
        <f>skemA1!V18</f>
        <v>136.5</v>
      </c>
      <c r="AS316" s="386">
        <f>skemA1!W18</f>
        <v>137.30000000000001</v>
      </c>
      <c r="AT316" s="386">
        <f>skemA1!X18</f>
        <v>139.30000000000001</v>
      </c>
      <c r="AU316" s="386">
        <f>skemA1!Y18</f>
        <v>145.79999999999998</v>
      </c>
      <c r="AV316" s="386">
        <f>skemA1!Z18</f>
        <v>156.1</v>
      </c>
    </row>
    <row r="317" spans="24:48">
      <c r="X317" s="15"/>
      <c r="Y317" s="386">
        <f>Z316</f>
        <v>167.6</v>
      </c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</row>
    <row r="318" spans="24:48">
      <c r="X318" s="15"/>
      <c r="Y318" s="386">
        <f>AA316</f>
        <v>166.9</v>
      </c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</row>
    <row r="319" spans="24:48">
      <c r="X319" s="15"/>
      <c r="Y319" s="386">
        <f>AB316</f>
        <v>169.9</v>
      </c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</row>
    <row r="320" spans="24:48">
      <c r="X320" s="15"/>
      <c r="Y320" s="386">
        <f>AC316</f>
        <v>171.4</v>
      </c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</row>
    <row r="321" spans="24:48">
      <c r="X321" s="15"/>
      <c r="Y321" s="386">
        <f>AD316</f>
        <v>171.4</v>
      </c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</row>
    <row r="322" spans="24:48">
      <c r="X322" s="15"/>
      <c r="Y322" s="386">
        <f>AE316</f>
        <v>171.2</v>
      </c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</row>
    <row r="323" spans="24:48">
      <c r="X323" s="15"/>
      <c r="Y323" s="386">
        <f>AF316</f>
        <v>173</v>
      </c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</row>
    <row r="324" spans="24:48">
      <c r="X324" s="15"/>
      <c r="Y324" s="386">
        <f>AG316</f>
        <v>175.2</v>
      </c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</row>
    <row r="325" spans="24:48">
      <c r="X325" s="15"/>
      <c r="Y325" s="386">
        <f>AH316</f>
        <v>172.3</v>
      </c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</row>
    <row r="326" spans="24:48">
      <c r="X326" s="15"/>
      <c r="Y326" s="386">
        <f>AI316</f>
        <v>171.5</v>
      </c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</row>
    <row r="327" spans="24:48">
      <c r="X327" s="15"/>
      <c r="Y327" s="386">
        <f>AJ316</f>
        <v>173.9</v>
      </c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</row>
    <row r="328" spans="24:48">
      <c r="X328" s="15"/>
      <c r="Y328" s="386">
        <f>AK316</f>
        <v>178.5</v>
      </c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</row>
    <row r="329" spans="24:48">
      <c r="X329" s="15"/>
      <c r="Y329" s="386">
        <f>AL316</f>
        <v>182.20000000000002</v>
      </c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</row>
    <row r="330" spans="24:48">
      <c r="X330" s="15"/>
      <c r="Y330" s="386">
        <f>AM316</f>
        <v>182.29999999999998</v>
      </c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</row>
    <row r="331" spans="24:48">
      <c r="X331" s="15"/>
      <c r="Y331" s="386">
        <f>AN316</f>
        <v>176.6</v>
      </c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</row>
    <row r="332" spans="24:48">
      <c r="X332" s="15"/>
      <c r="Y332" s="386">
        <f>AO316</f>
        <v>168.4</v>
      </c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</row>
    <row r="333" spans="24:48">
      <c r="X333" s="15"/>
      <c r="Y333" s="386">
        <f>AP316</f>
        <v>154.80000000000001</v>
      </c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</row>
    <row r="334" spans="24:48">
      <c r="X334" s="15"/>
      <c r="Y334" s="386">
        <f>AQ316</f>
        <v>142.19999999999999</v>
      </c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</row>
    <row r="335" spans="24:48">
      <c r="X335" s="15"/>
      <c r="Y335" s="386">
        <f>AR316</f>
        <v>136.5</v>
      </c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</row>
    <row r="336" spans="24:48">
      <c r="X336" s="15"/>
      <c r="Y336" s="386">
        <f>AS316</f>
        <v>137.30000000000001</v>
      </c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</row>
    <row r="337" spans="24:48">
      <c r="X337" s="15"/>
      <c r="Y337" s="386">
        <f>AT316</f>
        <v>139.30000000000001</v>
      </c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</row>
    <row r="338" spans="24:48">
      <c r="X338" s="15"/>
      <c r="Y338" s="386">
        <f>AU316</f>
        <v>145.79999999999998</v>
      </c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</row>
    <row r="339" spans="24:48">
      <c r="X339" s="15"/>
      <c r="Y339" s="386">
        <f>AV316</f>
        <v>156.1</v>
      </c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</row>
    <row r="340" spans="24:48">
      <c r="X340" s="15">
        <f>skemA1!B19</f>
        <v>44723</v>
      </c>
      <c r="Y340" s="386">
        <f>skemA1!C19</f>
        <v>169.6</v>
      </c>
      <c r="Z340" s="386">
        <f>skemA1!D19</f>
        <v>181.6</v>
      </c>
      <c r="AA340" s="386">
        <f>skemA1!E19</f>
        <v>190.3</v>
      </c>
      <c r="AB340" s="386">
        <f>skemA1!F19</f>
        <v>196.8</v>
      </c>
      <c r="AC340" s="386">
        <f>skemA1!G19</f>
        <v>201.2</v>
      </c>
      <c r="AD340" s="386">
        <f>skemA1!H19</f>
        <v>200</v>
      </c>
      <c r="AE340" s="386">
        <f>skemA1!I19</f>
        <v>191.3</v>
      </c>
      <c r="AF340" s="386">
        <f>skemA1!J19</f>
        <v>182</v>
      </c>
      <c r="AG340" s="386">
        <f>skemA1!K19</f>
        <v>172.2</v>
      </c>
      <c r="AH340" s="386">
        <f>skemA1!L19</f>
        <v>164.79999999999998</v>
      </c>
      <c r="AI340" s="386">
        <f>skemA1!M19</f>
        <v>160</v>
      </c>
      <c r="AJ340" s="386">
        <f>skemA1!N19</f>
        <v>158.1</v>
      </c>
      <c r="AK340" s="386">
        <f>skemA1!O19</f>
        <v>160.80000000000001</v>
      </c>
      <c r="AL340" s="386">
        <f>skemA1!P19</f>
        <v>166.4</v>
      </c>
      <c r="AM340" s="386">
        <f>skemA1!Q19</f>
        <v>174.3</v>
      </c>
      <c r="AN340" s="386">
        <f>skemA1!R19</f>
        <v>178</v>
      </c>
      <c r="AO340" s="386">
        <f>skemA1!S19</f>
        <v>171.8</v>
      </c>
      <c r="AP340" s="386">
        <f>skemA1!T19</f>
        <v>161.69999999999999</v>
      </c>
      <c r="AQ340" s="386">
        <f>skemA1!U19</f>
        <v>149.30000000000001</v>
      </c>
      <c r="AR340" s="386">
        <f>skemA1!V19</f>
        <v>136.80000000000001</v>
      </c>
      <c r="AS340" s="386">
        <f>skemA1!W19</f>
        <v>124.30000000000001</v>
      </c>
      <c r="AT340" s="386">
        <f>skemA1!X19</f>
        <v>119.8</v>
      </c>
      <c r="AU340" s="386">
        <f>skemA1!Y19</f>
        <v>123.8</v>
      </c>
      <c r="AV340" s="386">
        <f>skemA1!Z19</f>
        <v>138.79999999999998</v>
      </c>
    </row>
    <row r="341" spans="24:48">
      <c r="X341" s="15"/>
      <c r="Y341" s="386">
        <f>Z340</f>
        <v>181.6</v>
      </c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</row>
    <row r="342" spans="24:48">
      <c r="X342" s="15"/>
      <c r="Y342" s="386">
        <f>AA340</f>
        <v>190.3</v>
      </c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</row>
    <row r="343" spans="24:48">
      <c r="X343" s="15"/>
      <c r="Y343" s="386">
        <f>AB340</f>
        <v>196.8</v>
      </c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</row>
    <row r="344" spans="24:48">
      <c r="X344" s="15"/>
      <c r="Y344" s="386">
        <f>AC340</f>
        <v>201.2</v>
      </c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</row>
    <row r="345" spans="24:48">
      <c r="X345" s="15"/>
      <c r="Y345" s="386">
        <f>AD340</f>
        <v>200</v>
      </c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</row>
    <row r="346" spans="24:48">
      <c r="X346" s="15"/>
      <c r="Y346" s="386">
        <f>AE340</f>
        <v>191.3</v>
      </c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</row>
    <row r="347" spans="24:48">
      <c r="X347" s="15"/>
      <c r="Y347" s="386">
        <f>AF340</f>
        <v>182</v>
      </c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</row>
    <row r="348" spans="24:48">
      <c r="X348" s="15"/>
      <c r="Y348" s="386">
        <f>AG340</f>
        <v>172.2</v>
      </c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</row>
    <row r="349" spans="24:48">
      <c r="X349" s="15"/>
      <c r="Y349" s="386">
        <f>AH340</f>
        <v>164.79999999999998</v>
      </c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</row>
    <row r="350" spans="24:48">
      <c r="X350" s="15"/>
      <c r="Y350" s="386">
        <f>AI340</f>
        <v>160</v>
      </c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</row>
    <row r="351" spans="24:48">
      <c r="X351" s="15"/>
      <c r="Y351" s="386">
        <f>AJ340</f>
        <v>158.1</v>
      </c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</row>
    <row r="352" spans="24:48">
      <c r="X352" s="15"/>
      <c r="Y352" s="386">
        <f>AK340</f>
        <v>160.80000000000001</v>
      </c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</row>
    <row r="353" spans="24:48">
      <c r="X353" s="15"/>
      <c r="Y353" s="386">
        <f>AL340</f>
        <v>166.4</v>
      </c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</row>
    <row r="354" spans="24:48">
      <c r="X354" s="15"/>
      <c r="Y354" s="386">
        <f>AM340</f>
        <v>174.3</v>
      </c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</row>
    <row r="355" spans="24:48">
      <c r="X355" s="15"/>
      <c r="Y355" s="386">
        <f>AN340</f>
        <v>178</v>
      </c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</row>
    <row r="356" spans="24:48">
      <c r="X356" s="15"/>
      <c r="Y356" s="386">
        <f>AO340</f>
        <v>171.8</v>
      </c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</row>
    <row r="357" spans="24:48">
      <c r="X357" s="15"/>
      <c r="Y357" s="386">
        <f>AP340</f>
        <v>161.69999999999999</v>
      </c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</row>
    <row r="358" spans="24:48">
      <c r="Y358" s="386">
        <f>AQ340</f>
        <v>149.30000000000001</v>
      </c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</row>
    <row r="359" spans="24:48">
      <c r="Y359" s="386">
        <f>AR340</f>
        <v>136.80000000000001</v>
      </c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</row>
    <row r="360" spans="24:48">
      <c r="Y360" s="386">
        <f>AS340</f>
        <v>124.30000000000001</v>
      </c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</row>
    <row r="361" spans="24:48">
      <c r="Y361" s="386">
        <f>AT340</f>
        <v>119.8</v>
      </c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</row>
    <row r="362" spans="24:48">
      <c r="Y362" s="386">
        <f>AU340</f>
        <v>123.8</v>
      </c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</row>
    <row r="363" spans="24:48">
      <c r="Y363" s="386">
        <f>AV340</f>
        <v>138.79999999999998</v>
      </c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</row>
  </sheetData>
  <sheetProtection selectLockedCells="1" selectUnlockedCells="1"/>
  <mergeCells count="4">
    <mergeCell ref="A1:T1"/>
    <mergeCell ref="A43:B44"/>
    <mergeCell ref="C44:K44"/>
    <mergeCell ref="L44:T44"/>
  </mergeCells>
  <phoneticPr fontId="26" type="noConversion"/>
  <pageMargins left="2.0701388888888888" right="0.52986111111111112" top="0.72986111111111107" bottom="0.44027777777777777" header="0.51180555555555551" footer="0.51180555555555551"/>
  <pageSetup paperSize="9" scale="80" firstPageNumber="0" orientation="landscape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7:AP382"/>
  <sheetViews>
    <sheetView topLeftCell="A13" zoomScaleSheetLayoutView="85" workbookViewId="0">
      <selection activeCell="B18" sqref="B18"/>
    </sheetView>
  </sheetViews>
  <sheetFormatPr defaultColWidth="9.140625" defaultRowHeight="14.25"/>
  <cols>
    <col min="1" max="1" width="5.28515625" style="43" customWidth="1"/>
    <col min="2" max="2" width="4.5703125" style="43" customWidth="1"/>
    <col min="3" max="3" width="8.42578125" style="117" customWidth="1"/>
    <col min="4" max="4" width="5.85546875" style="1" customWidth="1"/>
    <col min="5" max="5" width="6.85546875" style="1" customWidth="1"/>
    <col min="6" max="16" width="5.85546875" style="1" customWidth="1"/>
    <col min="17" max="40" width="7.140625" style="39" customWidth="1"/>
    <col min="41" max="41" width="8.5703125" style="1" customWidth="1"/>
    <col min="42" max="42" width="9.7109375" style="1" customWidth="1"/>
    <col min="43" max="16384" width="9.140625" style="1"/>
  </cols>
  <sheetData>
    <row r="7" spans="1:42" ht="15">
      <c r="E7" s="43"/>
      <c r="F7" s="24" t="s">
        <v>442</v>
      </c>
      <c r="G7" s="43" t="s">
        <v>3</v>
      </c>
      <c r="H7" s="1" t="s">
        <v>443</v>
      </c>
      <c r="Q7" s="1"/>
      <c r="R7" s="1"/>
      <c r="S7" s="1"/>
      <c r="T7" s="1"/>
    </row>
    <row r="8" spans="1:42" ht="16.5">
      <c r="E8" s="43"/>
      <c r="F8" s="24" t="s">
        <v>145</v>
      </c>
      <c r="G8" s="43" t="s">
        <v>3</v>
      </c>
      <c r="H8" s="1" t="s">
        <v>444</v>
      </c>
      <c r="Q8" s="1"/>
      <c r="R8" s="1"/>
      <c r="S8" s="1"/>
      <c r="T8" s="1"/>
    </row>
    <row r="9" spans="1:42" ht="16.5">
      <c r="E9" s="43"/>
      <c r="F9" s="24" t="s">
        <v>445</v>
      </c>
      <c r="G9" s="43" t="s">
        <v>3</v>
      </c>
      <c r="H9" s="1" t="s">
        <v>446</v>
      </c>
      <c r="Q9" s="1"/>
      <c r="R9" s="1"/>
      <c r="S9" s="1"/>
      <c r="T9" s="1"/>
    </row>
    <row r="10" spans="1:42" ht="15">
      <c r="E10" s="43"/>
      <c r="F10" s="24" t="s">
        <v>447</v>
      </c>
      <c r="G10" s="43" t="s">
        <v>3</v>
      </c>
      <c r="H10" s="1" t="s">
        <v>448</v>
      </c>
      <c r="Q10" s="1"/>
      <c r="R10" s="1"/>
      <c r="S10" s="1"/>
      <c r="T10" s="1"/>
    </row>
    <row r="11" spans="1:42" ht="18">
      <c r="A11" s="1"/>
      <c r="B11" s="1"/>
      <c r="C11" s="1"/>
      <c r="E11" s="43"/>
      <c r="F11" s="737" t="s">
        <v>449</v>
      </c>
      <c r="G11" s="722" t="s">
        <v>3</v>
      </c>
      <c r="H11" s="398" t="s">
        <v>450</v>
      </c>
      <c r="I11" s="737" t="s">
        <v>451</v>
      </c>
      <c r="J11" s="738" t="s">
        <v>452</v>
      </c>
      <c r="K11" s="736" t="s">
        <v>453</v>
      </c>
      <c r="L11" s="736"/>
      <c r="M11" s="736"/>
      <c r="N11" s="736"/>
      <c r="O11" s="736"/>
      <c r="Q11" s="1"/>
      <c r="R11" s="1"/>
      <c r="S11" s="1"/>
      <c r="T11" s="1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</row>
    <row r="12" spans="1:42" ht="16.5">
      <c r="A12" s="1"/>
      <c r="B12" s="1"/>
      <c r="C12" s="1"/>
      <c r="E12" s="43"/>
      <c r="F12" s="737"/>
      <c r="G12" s="722"/>
      <c r="H12" s="24" t="s">
        <v>454</v>
      </c>
      <c r="I12" s="737"/>
      <c r="J12" s="737"/>
      <c r="K12" s="736"/>
      <c r="L12" s="736"/>
      <c r="M12" s="736"/>
      <c r="N12" s="736"/>
      <c r="O12" s="736"/>
      <c r="Q12" s="1"/>
      <c r="R12" s="1"/>
      <c r="S12" s="1"/>
      <c r="T12" s="1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</row>
    <row r="13" spans="1:42" ht="15">
      <c r="A13" s="1"/>
      <c r="B13" s="1"/>
      <c r="C13" s="1"/>
      <c r="E13" s="43"/>
      <c r="F13" s="24" t="s">
        <v>455</v>
      </c>
      <c r="G13" s="43" t="s">
        <v>3</v>
      </c>
      <c r="H13" s="1" t="s">
        <v>86</v>
      </c>
      <c r="Q13" s="1"/>
      <c r="R13" s="1"/>
      <c r="S13" s="1"/>
      <c r="T13" s="1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2" ht="16.5">
      <c r="A14" s="1"/>
      <c r="B14" s="1"/>
      <c r="C14" s="1"/>
      <c r="E14" s="43" t="s">
        <v>294</v>
      </c>
      <c r="F14" s="24" t="s">
        <v>456</v>
      </c>
      <c r="G14" s="43" t="s">
        <v>3</v>
      </c>
      <c r="H14" s="1" t="s">
        <v>457</v>
      </c>
      <c r="Q14" s="1"/>
      <c r="R14" s="1"/>
      <c r="S14" s="1"/>
      <c r="T14" s="1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2">
      <c r="A15" s="1"/>
      <c r="B15" s="1"/>
      <c r="C15" s="1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2" ht="14.85" customHeight="1">
      <c r="A16" s="732" t="s">
        <v>0</v>
      </c>
      <c r="B16" s="733" t="s">
        <v>34</v>
      </c>
      <c r="C16" s="733"/>
      <c r="D16" s="733"/>
      <c r="E16" s="733" t="s">
        <v>458</v>
      </c>
      <c r="F16" s="734" t="s">
        <v>459</v>
      </c>
      <c r="G16" s="734"/>
      <c r="H16" s="734"/>
      <c r="I16" s="734"/>
      <c r="J16" s="734"/>
      <c r="K16" s="734"/>
      <c r="L16" s="734"/>
      <c r="M16" s="734"/>
      <c r="N16" s="734"/>
      <c r="O16" s="734"/>
      <c r="P16" s="39"/>
      <c r="Q16" s="722" t="s">
        <v>35</v>
      </c>
      <c r="R16" s="722"/>
      <c r="S16" s="722"/>
      <c r="T16" s="722"/>
      <c r="U16" s="722"/>
      <c r="V16" s="722"/>
      <c r="W16" s="722"/>
      <c r="X16" s="722"/>
      <c r="Y16" s="722"/>
      <c r="Z16" s="722"/>
      <c r="AA16" s="722"/>
      <c r="AB16" s="722"/>
      <c r="AC16" s="722"/>
      <c r="AD16" s="722"/>
      <c r="AE16" s="722"/>
      <c r="AF16" s="722"/>
      <c r="AG16" s="722"/>
      <c r="AH16" s="722"/>
      <c r="AI16" s="722"/>
      <c r="AJ16" s="722"/>
      <c r="AK16" s="722"/>
      <c r="AL16" s="722"/>
      <c r="AM16" s="722"/>
      <c r="AN16" s="722"/>
      <c r="AO16" s="735" t="s">
        <v>36</v>
      </c>
      <c r="AP16" s="43" t="s">
        <v>460</v>
      </c>
    </row>
    <row r="17" spans="1:42" ht="18">
      <c r="A17" s="732"/>
      <c r="B17" s="733"/>
      <c r="C17" s="733"/>
      <c r="D17" s="733"/>
      <c r="E17" s="733"/>
      <c r="F17" s="399" t="s">
        <v>146</v>
      </c>
      <c r="G17" s="399" t="s">
        <v>147</v>
      </c>
      <c r="H17" s="399" t="s">
        <v>148</v>
      </c>
      <c r="I17" s="399" t="s">
        <v>149</v>
      </c>
      <c r="J17" s="399" t="s">
        <v>150</v>
      </c>
      <c r="K17" s="399" t="s">
        <v>151</v>
      </c>
      <c r="L17" s="399" t="s">
        <v>152</v>
      </c>
      <c r="M17" s="399" t="s">
        <v>324</v>
      </c>
      <c r="N17" s="399" t="s">
        <v>325</v>
      </c>
      <c r="O17" s="400" t="s">
        <v>442</v>
      </c>
      <c r="P17" s="43"/>
      <c r="Q17" s="401" t="s">
        <v>37</v>
      </c>
      <c r="R17" s="401" t="s">
        <v>38</v>
      </c>
      <c r="S17" s="401" t="s">
        <v>39</v>
      </c>
      <c r="T17" s="401" t="s">
        <v>40</v>
      </c>
      <c r="U17" s="401" t="s">
        <v>41</v>
      </c>
      <c r="V17" s="401" t="s">
        <v>42</v>
      </c>
      <c r="W17" s="401" t="s">
        <v>2</v>
      </c>
      <c r="X17" s="401" t="s">
        <v>43</v>
      </c>
      <c r="Y17" s="401" t="s">
        <v>44</v>
      </c>
      <c r="Z17" s="401" t="s">
        <v>45</v>
      </c>
      <c r="AA17" s="401" t="s">
        <v>46</v>
      </c>
      <c r="AB17" s="401" t="s">
        <v>47</v>
      </c>
      <c r="AC17" s="401" t="s">
        <v>48</v>
      </c>
      <c r="AD17" s="401" t="s">
        <v>49</v>
      </c>
      <c r="AE17" s="401" t="s">
        <v>50</v>
      </c>
      <c r="AF17" s="401" t="s">
        <v>51</v>
      </c>
      <c r="AG17" s="401" t="s">
        <v>52</v>
      </c>
      <c r="AH17" s="401" t="s">
        <v>53</v>
      </c>
      <c r="AI17" s="401" t="s">
        <v>54</v>
      </c>
      <c r="AJ17" s="401" t="s">
        <v>55</v>
      </c>
      <c r="AK17" s="401" t="s">
        <v>56</v>
      </c>
      <c r="AL17" s="401" t="s">
        <v>57</v>
      </c>
      <c r="AM17" s="401" t="s">
        <v>58</v>
      </c>
      <c r="AN17" s="401" t="s">
        <v>59</v>
      </c>
      <c r="AO17" s="735"/>
      <c r="AP17" s="282" t="s">
        <v>461</v>
      </c>
    </row>
    <row r="18" spans="1:42">
      <c r="A18" s="402">
        <v>1</v>
      </c>
      <c r="B18" s="77">
        <f>skemA1!B5</f>
        <v>44709</v>
      </c>
      <c r="C18" s="43" t="e">
        <f>skemA1!#REF!</f>
        <v>#REF!</v>
      </c>
      <c r="D18" s="139" t="e">
        <f>skemA1!#REF!</f>
        <v>#REF!</v>
      </c>
      <c r="E18" s="76">
        <v>0</v>
      </c>
      <c r="F18" s="403">
        <f>skemA7!$E$21*COS(RADIANS(skemA7!$E$28*E18-skemA7!$E$22))</f>
        <v>17.72321669502535</v>
      </c>
      <c r="G18" s="403">
        <f>skemA7!$F$21*COS(RADIANS(skemA7!$F$28*E18-skemA7!$F$22))</f>
        <v>17.131329356559174</v>
      </c>
      <c r="H18" s="403">
        <f>skemA7!$G$21*COS(RADIANS(skemA7!$G$28*E18-skemA7!$G$22))</f>
        <v>-17.556873459974284</v>
      </c>
      <c r="I18" s="403">
        <f>skemA7!$H$21*COS(RADIANS(skemA7!$H$28*E18-skemA7!$H$22))</f>
        <v>-32.180568625571837</v>
      </c>
      <c r="J18" s="403">
        <f>skemA7!$I$21*COS(RADIANS(skemA7!$I$28*E18-skemA7!$I$22))</f>
        <v>6.964831301835364</v>
      </c>
      <c r="K18" s="403">
        <f>skemA7!$J$21*COS(RADIANS(skemA7!$J$28*E18-skemA7!$J$22))</f>
        <v>0.40127747774350475</v>
      </c>
      <c r="L18" s="403">
        <f>skemA7!$K$21*COS(RADIANS(skemA7!$K$28*E18-skemA7!$K$22))</f>
        <v>2.3366969458533875</v>
      </c>
      <c r="M18" s="403">
        <f>skemA7!$L$21*COS(RADIANS(skemA7!$L$28*E18-skemA7!$L$22))</f>
        <v>4.6254589262709773</v>
      </c>
      <c r="N18" s="403">
        <f>skemA7!$M$21*COS(RADIANS(skemA7!$M$28*E18-skemA7!$M$22))</f>
        <v>-10.619587646438708</v>
      </c>
      <c r="O18" s="404">
        <f>skemA7!$D$21+'Forcasting Pasut'!F18+'Forcasting Pasut'!G18+K18+L18+'Forcasting Pasut'!H18+'Forcasting Pasut'!I18+'Forcasting Pasut'!J18+'Forcasting Pasut'!M18+'Forcasting Pasut'!N18</f>
        <v>154.99409993682019</v>
      </c>
      <c r="P18" s="405"/>
      <c r="Q18" s="406">
        <f>skemA1!C5</f>
        <v>136</v>
      </c>
      <c r="R18" s="406">
        <f>skemA1!D5</f>
        <v>165.5</v>
      </c>
      <c r="S18" s="406">
        <f>skemA1!E5</f>
        <v>198.3</v>
      </c>
      <c r="T18" s="406">
        <f>skemA1!F5</f>
        <v>224.7</v>
      </c>
      <c r="U18" s="406">
        <f>skemA1!G5</f>
        <v>239</v>
      </c>
      <c r="V18" s="406">
        <f>skemA1!H5</f>
        <v>243.00000000000003</v>
      </c>
      <c r="W18" s="406">
        <f>skemA1!I5</f>
        <v>231.70000000000002</v>
      </c>
      <c r="X18" s="406">
        <f>skemA1!J5</f>
        <v>212.1</v>
      </c>
      <c r="Y18" s="406">
        <f>skemA1!K5</f>
        <v>188.39999999999998</v>
      </c>
      <c r="Z18" s="406">
        <f>skemA1!L5</f>
        <v>163.69999999999999</v>
      </c>
      <c r="AA18" s="406">
        <f>skemA1!M5</f>
        <v>145.4</v>
      </c>
      <c r="AB18" s="406">
        <f>skemA1!N5</f>
        <v>135.4</v>
      </c>
      <c r="AC18" s="406">
        <f>skemA1!O5</f>
        <v>142</v>
      </c>
      <c r="AD18" s="406">
        <f>skemA1!P5</f>
        <v>156.1</v>
      </c>
      <c r="AE18" s="406">
        <f>skemA1!Q5</f>
        <v>173.10000000000002</v>
      </c>
      <c r="AF18" s="406">
        <f>skemA1!R5</f>
        <v>188.9</v>
      </c>
      <c r="AG18" s="406">
        <f>skemA1!S5</f>
        <v>194.9</v>
      </c>
      <c r="AH18" s="406">
        <f>skemA1!T5</f>
        <v>190</v>
      </c>
      <c r="AI18" s="406">
        <f>skemA1!U5</f>
        <v>173.3</v>
      </c>
      <c r="AJ18" s="406">
        <f>skemA1!V5</f>
        <v>155</v>
      </c>
      <c r="AK18" s="406">
        <f>skemA1!W5</f>
        <v>132.4</v>
      </c>
      <c r="AL18" s="406">
        <f>skemA1!X5</f>
        <v>110.80000000000001</v>
      </c>
      <c r="AM18" s="406">
        <f>skemA1!Y5</f>
        <v>96.899999999999991</v>
      </c>
      <c r="AN18" s="406">
        <f>skemA1!Z5</f>
        <v>99.1</v>
      </c>
      <c r="AO18" s="407">
        <f>SUM(Q18:AN18)</f>
        <v>4095.7000000000003</v>
      </c>
      <c r="AP18" s="407">
        <f>AVERAGE(Q18:AN18)</f>
        <v>170.65416666666667</v>
      </c>
    </row>
    <row r="19" spans="1:42">
      <c r="A19" s="402"/>
      <c r="B19" s="77"/>
      <c r="D19" s="131"/>
      <c r="E19" s="113">
        <f>E18+1</f>
        <v>1</v>
      </c>
      <c r="F19" s="408">
        <f>skemA7!$E$21*COS(RADIANS(skemA7!$E$28*E19-skemA7!$E$22))</f>
        <v>9.0449000337328318</v>
      </c>
      <c r="G19" s="408">
        <f>skemA7!$F$21*COS(RADIANS(skemA7!$F$28*E19-skemA7!$F$22))</f>
        <v>7.170511945343911</v>
      </c>
      <c r="H19" s="408">
        <f>skemA7!$G$21*COS(RADIANS(skemA7!$G$28*E19-skemA7!$G$22))</f>
        <v>-15.402331425658979</v>
      </c>
      <c r="I19" s="408">
        <f>skemA7!$H$21*COS(RADIANS(skemA7!$H$28*E19-skemA7!$H$22))</f>
        <v>-27.0329389290916</v>
      </c>
      <c r="J19" s="408">
        <f>skemA7!$I$21*COS(RADIANS(skemA7!$I$28*E19-skemA7!$I$22))</f>
        <v>0.35055590662432085</v>
      </c>
      <c r="K19" s="408">
        <f>skemA7!$J$21*COS(RADIANS(skemA7!$J$28*E19-skemA7!$J$22))</f>
        <v>-1.2584392636041082</v>
      </c>
      <c r="L19" s="408">
        <f>skemA7!$K$21*COS(RADIANS(skemA7!$K$28*E19-skemA7!$K$22))</f>
        <v>-0.80048444886708414</v>
      </c>
      <c r="M19" s="408">
        <f>skemA7!$L$21*COS(RADIANS(skemA7!$L$28*E19-skemA7!$L$22))</f>
        <v>1.9275957754352566</v>
      </c>
      <c r="N19" s="408">
        <f>skemA7!$M$21*COS(RADIANS(skemA7!$M$28*E19-skemA7!$M$22))</f>
        <v>-8.9319144396980725</v>
      </c>
      <c r="O19" s="409">
        <f>skemA7!$D$21+'Forcasting Pasut'!F19+'Forcasting Pasut'!G19+K19+L19+'Forcasting Pasut'!H19+'Forcasting Pasut'!I19+'Forcasting Pasut'!J19+'Forcasting Pasut'!M19+'Forcasting Pasut'!N19</f>
        <v>131.23577411973375</v>
      </c>
      <c r="P19" s="405"/>
      <c r="Q19" s="406">
        <f>R18</f>
        <v>165.5</v>
      </c>
      <c r="R19" s="406"/>
      <c r="S19" s="406"/>
      <c r="T19" s="406"/>
      <c r="U19" s="406"/>
      <c r="V19" s="406"/>
      <c r="W19" s="406"/>
      <c r="X19" s="406"/>
      <c r="Y19" s="406"/>
      <c r="Z19" s="406"/>
      <c r="AA19" s="406"/>
      <c r="AB19" s="406"/>
      <c r="AC19" s="406"/>
      <c r="AD19" s="406"/>
      <c r="AE19" s="406"/>
      <c r="AF19" s="406"/>
      <c r="AG19" s="406"/>
      <c r="AH19" s="406"/>
      <c r="AI19" s="406"/>
      <c r="AJ19" s="406"/>
      <c r="AK19" s="406"/>
      <c r="AL19" s="406"/>
      <c r="AM19" s="406"/>
      <c r="AN19" s="406"/>
      <c r="AO19" s="407"/>
      <c r="AP19" s="407"/>
    </row>
    <row r="20" spans="1:42">
      <c r="A20" s="402"/>
      <c r="B20" s="77"/>
      <c r="D20" s="131"/>
      <c r="E20" s="113">
        <f t="shared" ref="E20:E83" si="0">E19+1</f>
        <v>2</v>
      </c>
      <c r="F20" s="408">
        <f>skemA7!$E$21*COS(RADIANS(skemA7!$E$28*E20-skemA7!$E$22))</f>
        <v>-1.8990725982712189</v>
      </c>
      <c r="G20" s="408">
        <f>skemA7!$F$21*COS(RADIANS(skemA7!$F$28*E20-skemA7!$F$22))</f>
        <v>-4.7116383509439546</v>
      </c>
      <c r="H20" s="408">
        <f>skemA7!$G$21*COS(RADIANS(skemA7!$G$28*E20-skemA7!$G$22))</f>
        <v>-9.5301690151107241</v>
      </c>
      <c r="I20" s="408">
        <f>skemA7!$H$21*COS(RADIANS(skemA7!$H$28*E20-skemA7!$H$22))</f>
        <v>-20.033032368254421</v>
      </c>
      <c r="J20" s="408">
        <f>skemA7!$I$21*COS(RADIANS(skemA7!$I$28*E20-skemA7!$I$22))</f>
        <v>-6.2843771037720062</v>
      </c>
      <c r="K20" s="408">
        <f>skemA7!$J$21*COS(RADIANS(skemA7!$J$28*E20-skemA7!$J$22))</f>
        <v>-1.7362117798231922</v>
      </c>
      <c r="L20" s="408">
        <f>skemA7!$K$21*COS(RADIANS(skemA7!$K$28*E20-skemA7!$K$22))</f>
        <v>-3.1616400707252024</v>
      </c>
      <c r="M20" s="408">
        <f>skemA7!$L$21*COS(RADIANS(skemA7!$L$28*E20-skemA7!$L$22))</f>
        <v>-1.2895272422754991</v>
      </c>
      <c r="N20" s="408">
        <f>skemA7!$M$21*COS(RADIANS(skemA7!$M$28*E20-skemA7!$M$22))</f>
        <v>-6.638850113044036</v>
      </c>
      <c r="O20" s="409">
        <f>skemA7!$D$21+'Forcasting Pasut'!F20+'Forcasting Pasut'!G20+K20+L20+'Forcasting Pasut'!H20+'Forcasting Pasut'!I20+'Forcasting Pasut'!J20+'Forcasting Pasut'!M20+'Forcasting Pasut'!N20</f>
        <v>110.88380032329698</v>
      </c>
      <c r="P20" s="405"/>
      <c r="Q20" s="406">
        <f>S18</f>
        <v>198.3</v>
      </c>
      <c r="R20" s="406"/>
      <c r="S20" s="406"/>
      <c r="T20" s="406"/>
      <c r="U20" s="406"/>
      <c r="V20" s="406"/>
      <c r="W20" s="406"/>
      <c r="X20" s="406"/>
      <c r="Y20" s="406"/>
      <c r="Z20" s="406"/>
      <c r="AA20" s="406"/>
      <c r="AB20" s="406"/>
      <c r="AC20" s="406"/>
      <c r="AD20" s="406"/>
      <c r="AE20" s="406"/>
      <c r="AF20" s="406"/>
      <c r="AG20" s="406"/>
      <c r="AH20" s="406"/>
      <c r="AI20" s="406"/>
      <c r="AJ20" s="406"/>
      <c r="AK20" s="406"/>
      <c r="AL20" s="406"/>
      <c r="AM20" s="406"/>
      <c r="AN20" s="406"/>
      <c r="AO20" s="407"/>
      <c r="AP20" s="407"/>
    </row>
    <row r="21" spans="1:42">
      <c r="A21" s="402"/>
      <c r="B21" s="77"/>
      <c r="D21" s="131"/>
      <c r="E21" s="113">
        <f t="shared" si="0"/>
        <v>3</v>
      </c>
      <c r="F21" s="408">
        <f>skemA7!$E$21*COS(RADIANS(skemA7!$E$28*E21-skemA7!$E$22))</f>
        <v>-12.367346753228377</v>
      </c>
      <c r="G21" s="408">
        <f>skemA7!$F$21*COS(RADIANS(skemA7!$F$28*E21-skemA7!$F$22))</f>
        <v>-15.3313089560689</v>
      </c>
      <c r="H21" s="408">
        <f>skemA7!$G$21*COS(RADIANS(skemA7!$G$28*E21-skemA7!$G$22))</f>
        <v>-1.357734682060074</v>
      </c>
      <c r="I21" s="408">
        <f>skemA7!$H$21*COS(RADIANS(skemA7!$H$28*E21-skemA7!$H$22))</f>
        <v>-11.660477333051828</v>
      </c>
      <c r="J21" s="408">
        <f>skemA7!$I$21*COS(RADIANS(skemA7!$I$28*E21-skemA7!$I$22))</f>
        <v>-12.54898332338937</v>
      </c>
      <c r="K21" s="408">
        <f>skemA7!$J$21*COS(RADIANS(skemA7!$J$28*E21-skemA7!$J$22))</f>
        <v>-0.58330926379239434</v>
      </c>
      <c r="L21" s="408">
        <f>skemA7!$K$21*COS(RADIANS(skemA7!$K$28*E21-skemA7!$K$22))</f>
        <v>-2.457759035257193</v>
      </c>
      <c r="M21" s="408">
        <f>skemA7!$L$21*COS(RADIANS(skemA7!$L$28*E21-skemA7!$L$22))</f>
        <v>-4.1592746573371482</v>
      </c>
      <c r="N21" s="408">
        <f>skemA7!$M$21*COS(RADIANS(skemA7!$M$28*E21-skemA7!$M$22))</f>
        <v>-3.8958149618812095</v>
      </c>
      <c r="O21" s="409">
        <f>skemA7!$D$21+'Forcasting Pasut'!F21+'Forcasting Pasut'!G21+K21+L21+'Forcasting Pasut'!H21+'Forcasting Pasut'!I21+'Forcasting Pasut'!J21+'Forcasting Pasut'!M21+'Forcasting Pasut'!N21</f>
        <v>101.80630999945072</v>
      </c>
      <c r="P21" s="405"/>
      <c r="Q21" s="406">
        <f>T18</f>
        <v>224.7</v>
      </c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7"/>
      <c r="AP21" s="407"/>
    </row>
    <row r="22" spans="1:42">
      <c r="A22" s="402"/>
      <c r="B22" s="77"/>
      <c r="D22" s="131"/>
      <c r="E22" s="113">
        <f t="shared" si="0"/>
        <v>4</v>
      </c>
      <c r="F22" s="408">
        <f>skemA7!$E$21*COS(RADIANS(skemA7!$E$28*E22-skemA7!$E$22))</f>
        <v>-19.737725640265442</v>
      </c>
      <c r="G22" s="408">
        <f>skemA7!$F$21*COS(RADIANS(skemA7!$F$28*E22-skemA7!$F$22))</f>
        <v>-21.842967707503135</v>
      </c>
      <c r="H22" s="408">
        <f>skemA7!$G$21*COS(RADIANS(skemA7!$G$28*E22-skemA7!$G$22))</f>
        <v>7.1424125134170957</v>
      </c>
      <c r="I22" s="408">
        <f>skemA7!$H$21*COS(RADIANS(skemA7!$H$28*E22-skemA7!$H$22))</f>
        <v>-2.4889550657616062</v>
      </c>
      <c r="J22" s="408">
        <f>skemA7!$I$21*COS(RADIANS(skemA7!$I$28*E22-skemA7!$I$22))</f>
        <v>-18.074101023309307</v>
      </c>
      <c r="K22" s="408">
        <f>skemA7!$J$21*COS(RADIANS(skemA7!$J$28*E22-skemA7!$J$22))</f>
        <v>1.1174456879839916</v>
      </c>
      <c r="L22" s="408">
        <f>skemA7!$K$21*COS(RADIANS(skemA7!$K$28*E22-skemA7!$K$22))</f>
        <v>0.62878459602295811</v>
      </c>
      <c r="M22" s="408">
        <f>skemA7!$L$21*COS(RADIANS(skemA7!$L$28*E22-skemA7!$L$22))</f>
        <v>-5.9085877819792048</v>
      </c>
      <c r="N22" s="408">
        <f>skemA7!$M$21*COS(RADIANS(skemA7!$M$28*E22-skemA7!$M$22))</f>
        <v>-0.88872759675333535</v>
      </c>
      <c r="O22" s="409">
        <f>skemA7!$D$21+'Forcasting Pasut'!F22+'Forcasting Pasut'!G22+K22+L22+'Forcasting Pasut'!H22+'Forcasting Pasut'!I22+'Forcasting Pasut'!J22+'Forcasting Pasut'!M22+'Forcasting Pasut'!N22</f>
        <v>106.11589694736924</v>
      </c>
      <c r="P22" s="405"/>
      <c r="Q22" s="406">
        <f>U18</f>
        <v>239</v>
      </c>
      <c r="R22" s="406"/>
      <c r="S22" s="406"/>
      <c r="T22" s="406"/>
      <c r="U22" s="406"/>
      <c r="V22" s="406"/>
      <c r="W22" s="406"/>
      <c r="X22" s="406"/>
      <c r="Y22" s="406"/>
      <c r="Z22" s="406"/>
      <c r="AA22" s="406"/>
      <c r="AB22" s="406"/>
      <c r="AC22" s="406"/>
      <c r="AD22" s="406"/>
      <c r="AE22" s="406"/>
      <c r="AF22" s="406"/>
      <c r="AG22" s="406"/>
      <c r="AH22" s="406"/>
      <c r="AI22" s="406"/>
      <c r="AJ22" s="406"/>
      <c r="AK22" s="406"/>
      <c r="AL22" s="406"/>
      <c r="AM22" s="406"/>
      <c r="AN22" s="406"/>
      <c r="AO22" s="407"/>
      <c r="AP22" s="407"/>
    </row>
    <row r="23" spans="1:42">
      <c r="A23" s="402"/>
      <c r="B23" s="77"/>
      <c r="D23" s="131"/>
      <c r="E23" s="113">
        <f t="shared" si="0"/>
        <v>5</v>
      </c>
      <c r="F23" s="408">
        <f>skemA7!$E$21*COS(RADIANS(skemA7!$E$28*E23-skemA7!$E$22))</f>
        <v>-22.164003898400665</v>
      </c>
      <c r="G23" s="408">
        <f>skemA7!$F$21*COS(RADIANS(skemA7!$F$28*E23-skemA7!$F$22))</f>
        <v>-22.501820901412817</v>
      </c>
      <c r="H23" s="408">
        <f>skemA7!$G$21*COS(RADIANS(skemA7!$G$28*E23-skemA7!$G$22))</f>
        <v>13.918614316373629</v>
      </c>
      <c r="I23" s="408">
        <f>skemA7!$H$21*COS(RADIANS(skemA7!$H$28*E23-skemA7!$H$22))</f>
        <v>6.8531085509848033</v>
      </c>
      <c r="J23" s="408">
        <f>skemA7!$I$21*COS(RADIANS(skemA7!$I$28*E23-skemA7!$I$22))</f>
        <v>-22.534145173750716</v>
      </c>
      <c r="K23" s="408">
        <f>skemA7!$J$21*COS(RADIANS(skemA7!$J$28*E23-skemA7!$J$22))</f>
        <v>1.7686796052490508</v>
      </c>
      <c r="L23" s="408">
        <f>skemA7!$K$21*COS(RADIANS(skemA7!$K$28*E23-skemA7!$K$22))</f>
        <v>3.1057560453784592</v>
      </c>
      <c r="M23" s="408">
        <f>skemA7!$L$21*COS(RADIANS(skemA7!$L$28*E23-skemA7!$L$22))</f>
        <v>-6.0662329105668524</v>
      </c>
      <c r="N23" s="408">
        <f>skemA7!$M$21*COS(RADIANS(skemA7!$M$28*E23-skemA7!$M$22))</f>
        <v>2.1785963278186338</v>
      </c>
      <c r="O23" s="409">
        <f>skemA7!$D$21+'Forcasting Pasut'!F23+'Forcasting Pasut'!G23+K23+L23+'Forcasting Pasut'!H23+'Forcasting Pasut'!I23+'Forcasting Pasut'!J23+'Forcasting Pasut'!M23+'Forcasting Pasut'!N23</f>
        <v>120.72687092719077</v>
      </c>
      <c r="P23" s="405"/>
      <c r="Q23" s="406">
        <f>V18</f>
        <v>243.00000000000003</v>
      </c>
      <c r="R23" s="406"/>
      <c r="S23" s="406"/>
      <c r="T23" s="406"/>
      <c r="U23" s="406"/>
      <c r="V23" s="406"/>
      <c r="W23" s="406"/>
      <c r="X23" s="406"/>
      <c r="Y23" s="406"/>
      <c r="Z23" s="406"/>
      <c r="AA23" s="406"/>
      <c r="AB23" s="406"/>
      <c r="AC23" s="406"/>
      <c r="AD23" s="406"/>
      <c r="AE23" s="406"/>
      <c r="AF23" s="406"/>
      <c r="AG23" s="406"/>
      <c r="AH23" s="406"/>
      <c r="AI23" s="406"/>
      <c r="AJ23" s="406"/>
      <c r="AK23" s="406"/>
      <c r="AL23" s="406"/>
      <c r="AM23" s="406"/>
      <c r="AN23" s="406"/>
      <c r="AO23" s="407"/>
      <c r="AP23" s="407"/>
    </row>
    <row r="24" spans="1:42">
      <c r="A24" s="402"/>
      <c r="B24" s="77"/>
      <c r="D24" s="131"/>
      <c r="E24" s="113">
        <f t="shared" si="0"/>
        <v>6</v>
      </c>
      <c r="F24" s="408">
        <f>skemA7!$E$21*COS(RADIANS(skemA7!$E$28*E24-skemA7!$E$22))</f>
        <v>-19.03842336539342</v>
      </c>
      <c r="G24" s="408">
        <f>skemA7!$F$21*COS(RADIANS(skemA7!$F$28*E24-skemA7!$F$22))</f>
        <v>-17.131329356559178</v>
      </c>
      <c r="H24" s="408">
        <f>skemA7!$G$21*COS(RADIANS(skemA7!$G$28*E24-skemA7!$G$22))</f>
        <v>17.335316653861124</v>
      </c>
      <c r="I24" s="408">
        <f>skemA7!$H$21*COS(RADIANS(skemA7!$H$28*E24-skemA7!$H$22))</f>
        <v>15.725602268164916</v>
      </c>
      <c r="J24" s="408">
        <f>skemA7!$I$21*COS(RADIANS(skemA7!$I$28*E24-skemA7!$I$22))</f>
        <v>-25.666293571384347</v>
      </c>
      <c r="K24" s="408">
        <f>skemA7!$J$21*COS(RADIANS(skemA7!$J$28*E24-skemA7!$J$22))</f>
        <v>0.7587442424491454</v>
      </c>
      <c r="L24" s="408">
        <f>skemA7!$K$21*COS(RADIANS(skemA7!$K$28*E24-skemA7!$K$22))</f>
        <v>2.5718673351795802</v>
      </c>
      <c r="M24" s="408">
        <f>skemA7!$L$21*COS(RADIANS(skemA7!$L$28*E24-skemA7!$L$22))</f>
        <v>-4.5897432616684721</v>
      </c>
      <c r="N24" s="408">
        <f>skemA7!$M$21*COS(RADIANS(skemA7!$M$28*E24-skemA7!$M$22))</f>
        <v>5.0982584180054147</v>
      </c>
      <c r="O24" s="409">
        <f>skemA7!$D$21+'Forcasting Pasut'!F24+'Forcasting Pasut'!G24+K24+L24+'Forcasting Pasut'!H24+'Forcasting Pasut'!I24+'Forcasting Pasut'!J24+'Forcasting Pasut'!M24+'Forcasting Pasut'!N24</f>
        <v>141.23231832817203</v>
      </c>
      <c r="P24" s="405"/>
      <c r="Q24" s="406">
        <f>W18</f>
        <v>231.70000000000002</v>
      </c>
      <c r="R24" s="406"/>
      <c r="S24" s="406"/>
      <c r="T24" s="406"/>
      <c r="U24" s="406"/>
      <c r="V24" s="406"/>
      <c r="W24" s="406"/>
      <c r="X24" s="406"/>
      <c r="Y24" s="406"/>
      <c r="Z24" s="406"/>
      <c r="AA24" s="406"/>
      <c r="AB24" s="406"/>
      <c r="AC24" s="406"/>
      <c r="AD24" s="406"/>
      <c r="AE24" s="406"/>
      <c r="AF24" s="406"/>
      <c r="AG24" s="406"/>
      <c r="AH24" s="406"/>
      <c r="AI24" s="406"/>
      <c r="AJ24" s="406"/>
      <c r="AK24" s="406"/>
      <c r="AL24" s="406"/>
      <c r="AM24" s="406"/>
      <c r="AN24" s="406"/>
      <c r="AO24" s="407"/>
      <c r="AP24" s="407"/>
    </row>
    <row r="25" spans="1:42">
      <c r="A25" s="402"/>
      <c r="B25" s="77"/>
      <c r="D25" s="131"/>
      <c r="E25" s="113">
        <f t="shared" si="0"/>
        <v>7</v>
      </c>
      <c r="F25" s="408">
        <f>skemA7!$E$21*COS(RADIANS(skemA7!$E$28*E25-skemA7!$E$22))</f>
        <v>-11.143910350007461</v>
      </c>
      <c r="G25" s="408">
        <f>skemA7!$F$21*COS(RADIANS(skemA7!$F$28*E25-skemA7!$F$22))</f>
        <v>-7.170511945343919</v>
      </c>
      <c r="H25" s="408">
        <f>skemA7!$G$21*COS(RADIANS(skemA7!$G$28*E25-skemA7!$G$22))</f>
        <v>16.567839035742502</v>
      </c>
      <c r="I25" s="408">
        <f>skemA7!$H$21*COS(RADIANS(skemA7!$H$28*E25-skemA7!$H$22))</f>
        <v>23.520589416939522</v>
      </c>
      <c r="J25" s="408">
        <f>skemA7!$I$21*COS(RADIANS(skemA7!$I$28*E25-skemA7!$I$22))</f>
        <v>-27.285974468655013</v>
      </c>
      <c r="K25" s="408">
        <f>skemA7!$J$21*COS(RADIANS(skemA7!$J$28*E25-skemA7!$J$22))</f>
        <v>-0.96381460695742882</v>
      </c>
      <c r="L25" s="408">
        <f>skemA7!$K$21*COS(RADIANS(skemA7!$K$28*E25-skemA7!$K$22))</f>
        <v>-0.45530570965798051</v>
      </c>
      <c r="M25" s="408">
        <f>skemA7!$L$21*COS(RADIANS(skemA7!$L$28*E25-skemA7!$L$22))</f>
        <v>-1.8768587703366928</v>
      </c>
      <c r="N25" s="408">
        <f>skemA7!$M$21*COS(RADIANS(skemA7!$M$28*E25-skemA7!$M$22))</f>
        <v>7.6723685669906061</v>
      </c>
      <c r="O25" s="409">
        <f>skemA7!$D$21+'Forcasting Pasut'!F25+'Forcasting Pasut'!G25+K25+L25+'Forcasting Pasut'!H25+'Forcasting Pasut'!I25+'Forcasting Pasut'!J25+'Forcasting Pasut'!M25+'Forcasting Pasut'!N25</f>
        <v>165.03274013423135</v>
      </c>
      <c r="P25" s="405"/>
      <c r="Q25" s="406">
        <f>X18</f>
        <v>212.1</v>
      </c>
      <c r="R25" s="406"/>
      <c r="S25" s="406"/>
      <c r="T25" s="406"/>
      <c r="U25" s="406"/>
      <c r="V25" s="406"/>
      <c r="W25" s="406"/>
      <c r="X25" s="406"/>
      <c r="Y25" s="406"/>
      <c r="Z25" s="406"/>
      <c r="AA25" s="406"/>
      <c r="AB25" s="406"/>
      <c r="AC25" s="406"/>
      <c r="AD25" s="406"/>
      <c r="AE25" s="406"/>
      <c r="AF25" s="406"/>
      <c r="AG25" s="406"/>
      <c r="AH25" s="406"/>
      <c r="AI25" s="406"/>
      <c r="AJ25" s="406"/>
      <c r="AK25" s="406"/>
      <c r="AL25" s="406"/>
      <c r="AM25" s="406"/>
      <c r="AN25" s="406"/>
      <c r="AO25" s="407"/>
      <c r="AP25" s="407"/>
    </row>
    <row r="26" spans="1:42">
      <c r="A26" s="402"/>
      <c r="B26" s="77"/>
      <c r="D26" s="131"/>
      <c r="E26" s="113">
        <f t="shared" si="0"/>
        <v>8</v>
      </c>
      <c r="F26" s="408">
        <f>skemA7!$E$21*COS(RADIANS(skemA7!$E$28*E26-skemA7!$E$22))</f>
        <v>-0.45796051084179179</v>
      </c>
      <c r="G26" s="408">
        <f>skemA7!$F$21*COS(RADIANS(skemA7!$F$28*E26-skemA7!$F$22))</f>
        <v>4.7116383509439617</v>
      </c>
      <c r="H26" s="408">
        <f>skemA7!$G$21*COS(RADIANS(skemA7!$G$28*E26-skemA7!$G$22))</f>
        <v>11.801425523619196</v>
      </c>
      <c r="I26" s="408">
        <f>skemA7!$H$21*COS(RADIANS(skemA7!$H$28*E26-skemA7!$H$22))</f>
        <v>29.703963276929205</v>
      </c>
      <c r="J26" s="408">
        <f>skemA7!$I$21*COS(RADIANS(skemA7!$I$28*E26-skemA7!$I$22))</f>
        <v>-27.297743047585111</v>
      </c>
      <c r="K26" s="408">
        <f>skemA7!$J$21*COS(RADIANS(skemA7!$J$28*E26-skemA7!$J$22))</f>
        <v>-1.7811449389977261</v>
      </c>
      <c r="L26" s="408">
        <f>skemA7!$K$21*COS(RADIANS(skemA7!$K$28*E26-skemA7!$K$22))</f>
        <v>-3.0410848389409781</v>
      </c>
      <c r="M26" s="408">
        <f>skemA7!$L$21*COS(RADIANS(skemA7!$L$28*E26-skemA7!$L$22))</f>
        <v>1.3416179450744372</v>
      </c>
      <c r="N26" s="408">
        <f>skemA7!$M$21*COS(RADIANS(skemA7!$M$28*E26-skemA7!$M$22))</f>
        <v>9.7264576353309824</v>
      </c>
      <c r="O26" s="409">
        <f>skemA7!$D$21+'Forcasting Pasut'!F26+'Forcasting Pasut'!G26+K26+L26+'Forcasting Pasut'!H26+'Forcasting Pasut'!I26+'Forcasting Pasut'!J26+'Forcasting Pasut'!M26+'Forcasting Pasut'!N26</f>
        <v>190.87548836104943</v>
      </c>
      <c r="P26" s="405"/>
      <c r="Q26" s="406">
        <f>Y18</f>
        <v>188.39999999999998</v>
      </c>
      <c r="R26" s="406"/>
      <c r="S26" s="406"/>
      <c r="T26" s="406"/>
      <c r="U26" s="406"/>
      <c r="V26" s="406"/>
      <c r="W26" s="406"/>
      <c r="X26" s="406"/>
      <c r="Y26" s="406"/>
      <c r="Z26" s="406"/>
      <c r="AA26" s="406"/>
      <c r="AB26" s="406"/>
      <c r="AC26" s="406"/>
      <c r="AD26" s="406"/>
      <c r="AE26" s="406"/>
      <c r="AF26" s="406"/>
      <c r="AG26" s="406"/>
      <c r="AH26" s="406"/>
      <c r="AI26" s="406"/>
      <c r="AJ26" s="406"/>
      <c r="AK26" s="406"/>
      <c r="AL26" s="406"/>
      <c r="AM26" s="406"/>
      <c r="AN26" s="406"/>
      <c r="AO26" s="407"/>
      <c r="AP26" s="407"/>
    </row>
    <row r="27" spans="1:42">
      <c r="A27" s="402"/>
      <c r="B27" s="77"/>
      <c r="D27" s="131"/>
      <c r="E27" s="113">
        <f t="shared" si="0"/>
        <v>9</v>
      </c>
      <c r="F27" s="408">
        <f>skemA7!$E$21*COS(RADIANS(skemA7!$E$28*E27-skemA7!$E$22))</f>
        <v>10.342703804091329</v>
      </c>
      <c r="G27" s="408">
        <f>skemA7!$F$21*COS(RADIANS(skemA7!$F$28*E27-skemA7!$F$22))</f>
        <v>15.3313089560689</v>
      </c>
      <c r="H27" s="408">
        <f>skemA7!$G$21*COS(RADIANS(skemA7!$G$28*E27-skemA7!$G$22))</f>
        <v>4.1865328570924643</v>
      </c>
      <c r="I27" s="408">
        <f>skemA7!$H$21*COS(RADIANS(skemA7!$H$28*E27-skemA7!$H$22))</f>
        <v>33.852043671347751</v>
      </c>
      <c r="J27" s="408">
        <f>skemA7!$I$21*COS(RADIANS(skemA7!$I$28*E27-skemA7!$I$22))</f>
        <v>-25.700905807451303</v>
      </c>
      <c r="K27" s="408">
        <f>skemA7!$J$21*COS(RADIANS(skemA7!$J$28*E27-skemA7!$J$22))</f>
        <v>-0.92559837053824234</v>
      </c>
      <c r="L27" s="408">
        <f>skemA7!$K$21*COS(RADIANS(skemA7!$K$28*E27-skemA7!$K$22))</f>
        <v>-2.6786989966006249</v>
      </c>
      <c r="M27" s="408">
        <f>skemA7!$L$21*COS(RADIANS(skemA7!$L$28*E27-skemA7!$L$22))</f>
        <v>4.1986867530630656</v>
      </c>
      <c r="N27" s="408">
        <f>skemA7!$M$21*COS(RADIANS(skemA7!$M$28*E27-skemA7!$M$22))</f>
        <v>11.121302694965618</v>
      </c>
      <c r="O27" s="409">
        <f>skemA7!$D$21+'Forcasting Pasut'!F27+'Forcasting Pasut'!G27+K27+L27+'Forcasting Pasut'!H27+'Forcasting Pasut'!I27+'Forcasting Pasut'!J27+'Forcasting Pasut'!M27+'Forcasting Pasut'!N27</f>
        <v>215.89569452755623</v>
      </c>
      <c r="P27" s="405"/>
      <c r="Q27" s="406">
        <f>Z18</f>
        <v>163.69999999999999</v>
      </c>
      <c r="R27" s="406"/>
      <c r="S27" s="406"/>
      <c r="T27" s="406"/>
      <c r="U27" s="406"/>
      <c r="V27" s="406"/>
      <c r="W27" s="406"/>
      <c r="X27" s="406"/>
      <c r="Y27" s="406"/>
      <c r="Z27" s="406"/>
      <c r="AA27" s="406"/>
      <c r="AB27" s="406"/>
      <c r="AC27" s="406"/>
      <c r="AD27" s="406"/>
      <c r="AE27" s="406"/>
      <c r="AF27" s="406"/>
      <c r="AG27" s="406"/>
      <c r="AH27" s="406"/>
      <c r="AI27" s="406"/>
      <c r="AJ27" s="406"/>
      <c r="AK27" s="406"/>
      <c r="AL27" s="406"/>
      <c r="AM27" s="406"/>
      <c r="AN27" s="406"/>
      <c r="AO27" s="407"/>
      <c r="AP27" s="407"/>
    </row>
    <row r="28" spans="1:42">
      <c r="A28" s="402"/>
      <c r="B28" s="77"/>
      <c r="D28" s="131"/>
      <c r="E28" s="113">
        <f t="shared" si="0"/>
        <v>10</v>
      </c>
      <c r="F28" s="408">
        <f>skemA7!$E$21*COS(RADIANS(skemA7!$E$28*E28-skemA7!$E$22))</f>
        <v>18.552625430918795</v>
      </c>
      <c r="G28" s="408">
        <f>skemA7!$F$21*COS(RADIANS(skemA7!$F$28*E28-skemA7!$F$22))</f>
        <v>21.842967707503135</v>
      </c>
      <c r="H28" s="408">
        <f>skemA7!$G$21*COS(RADIANS(skemA7!$G$28*E28-skemA7!$G$22))</f>
        <v>-4.4388522748390553</v>
      </c>
      <c r="I28" s="408">
        <f>skemA7!$H$21*COS(RADIANS(skemA7!$H$28*E28-skemA7!$H$22))</f>
        <v>35.680607217520127</v>
      </c>
      <c r="J28" s="408">
        <f>skemA7!$I$21*COS(RADIANS(skemA7!$I$28*E28-skemA7!$I$22))</f>
        <v>-22.589561431507335</v>
      </c>
      <c r="K28" s="408">
        <f>skemA7!$J$21*COS(RADIANS(skemA7!$J$28*E28-skemA7!$J$22))</f>
        <v>0.79928347733145022</v>
      </c>
      <c r="L28" s="408">
        <f>skemA7!$K$21*COS(RADIANS(skemA7!$K$28*E28-skemA7!$K$22))</f>
        <v>0.28053861724463225</v>
      </c>
      <c r="M28" s="408">
        <f>skemA7!$L$21*COS(RADIANS(skemA7!$L$28*E28-skemA7!$L$22))</f>
        <v>5.9247043561105528</v>
      </c>
      <c r="N28" s="408">
        <f>skemA7!$M$21*COS(RADIANS(skemA7!$M$28*E28-skemA7!$M$22))</f>
        <v>11.762363340423894</v>
      </c>
      <c r="O28" s="409">
        <f>skemA7!$D$21+'Forcasting Pasut'!F28+'Forcasting Pasut'!G28+K28+L28+'Forcasting Pasut'!H28+'Forcasting Pasut'!I28+'Forcasting Pasut'!J28+'Forcasting Pasut'!M28+'Forcasting Pasut'!N28</f>
        <v>233.98299540622347</v>
      </c>
      <c r="P28" s="405"/>
      <c r="Q28" s="406">
        <f>AA18</f>
        <v>145.4</v>
      </c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  <c r="AC28" s="406"/>
      <c r="AD28" s="406"/>
      <c r="AE28" s="406"/>
      <c r="AF28" s="406"/>
      <c r="AG28" s="406"/>
      <c r="AH28" s="406"/>
      <c r="AI28" s="406"/>
      <c r="AJ28" s="406"/>
      <c r="AK28" s="406"/>
      <c r="AL28" s="406"/>
      <c r="AM28" s="406"/>
      <c r="AN28" s="406"/>
      <c r="AO28" s="407"/>
      <c r="AP28" s="407"/>
    </row>
    <row r="29" spans="1:42">
      <c r="A29" s="402"/>
      <c r="B29" s="77"/>
      <c r="D29" s="131"/>
      <c r="E29" s="113">
        <f t="shared" si="0"/>
        <v>11</v>
      </c>
      <c r="F29" s="408">
        <f>skemA7!$E$21*COS(RADIANS(skemA7!$E$28*E29-skemA7!$E$22))</f>
        <v>22.115302044183867</v>
      </c>
      <c r="G29" s="408">
        <f>skemA7!$F$21*COS(RADIANS(skemA7!$F$28*E29-skemA7!$F$22))</f>
        <v>22.501820901412817</v>
      </c>
      <c r="H29" s="408">
        <f>skemA7!$G$21*COS(RADIANS(skemA7!$G$28*E29-skemA7!$G$22))</f>
        <v>-11.992843264677322</v>
      </c>
      <c r="I29" s="408">
        <f>skemA7!$H$21*COS(RADIANS(skemA7!$H$28*E29-skemA7!$H$22))</f>
        <v>35.064362101616332</v>
      </c>
      <c r="J29" s="408">
        <f>skemA7!$I$21*COS(RADIANS(skemA7!$I$28*E29-skemA7!$I$22))</f>
        <v>-18.14705572455221</v>
      </c>
      <c r="K29" s="408">
        <f>skemA7!$J$21*COS(RADIANS(skemA7!$J$28*E29-skemA7!$J$22))</f>
        <v>1.7734668071280806</v>
      </c>
      <c r="L29" s="408">
        <f>skemA7!$K$21*COS(RADIANS(skemA7!$K$28*E29-skemA7!$K$22))</f>
        <v>2.9678094270212823</v>
      </c>
      <c r="M29" s="408">
        <f>skemA7!$L$21*COS(RADIANS(skemA7!$L$28*E29-skemA7!$L$22))</f>
        <v>6.0547124459429424</v>
      </c>
      <c r="N29" s="408">
        <f>skemA7!$M$21*COS(RADIANS(skemA7!$M$28*E29-skemA7!$M$22))</f>
        <v>11.606189488892495</v>
      </c>
      <c r="O29" s="409">
        <f>skemA7!$D$21+'Forcasting Pasut'!F29+'Forcasting Pasut'!G29+K29+L29+'Forcasting Pasut'!H29+'Forcasting Pasut'!I29+'Forcasting Pasut'!J29+'Forcasting Pasut'!M29+'Forcasting Pasut'!N29</f>
        <v>238.1120831924855</v>
      </c>
      <c r="P29" s="405"/>
      <c r="Q29" s="406">
        <f>AB18</f>
        <v>135.4</v>
      </c>
      <c r="R29" s="406"/>
      <c r="S29" s="406"/>
      <c r="T29" s="406"/>
      <c r="U29" s="406"/>
      <c r="V29" s="406"/>
      <c r="W29" s="406"/>
      <c r="X29" s="406"/>
      <c r="Y29" s="406"/>
      <c r="Z29" s="406"/>
      <c r="AA29" s="406"/>
      <c r="AB29" s="406"/>
      <c r="AC29" s="406"/>
      <c r="AD29" s="406"/>
      <c r="AE29" s="406"/>
      <c r="AF29" s="406"/>
      <c r="AG29" s="406"/>
      <c r="AH29" s="406"/>
      <c r="AI29" s="406"/>
      <c r="AJ29" s="406"/>
      <c r="AK29" s="406"/>
      <c r="AL29" s="406"/>
      <c r="AM29" s="406"/>
      <c r="AN29" s="406"/>
      <c r="AO29" s="407"/>
      <c r="AP29" s="407"/>
    </row>
    <row r="30" spans="1:42">
      <c r="A30" s="402"/>
      <c r="B30" s="77"/>
      <c r="D30" s="131"/>
      <c r="E30" s="113">
        <f t="shared" si="0"/>
        <v>12</v>
      </c>
      <c r="F30" s="408">
        <f>skemA7!$E$21*COS(RADIANS(skemA7!$E$28*E30-skemA7!$E$22))</f>
        <v>20.138319188176212</v>
      </c>
      <c r="G30" s="408">
        <f>skemA7!$F$21*COS(RADIANS(skemA7!$F$28*E30-skemA7!$F$22))</f>
        <v>17.131329356559178</v>
      </c>
      <c r="H30" s="408">
        <f>skemA7!$G$21*COS(RADIANS(skemA7!$G$28*E30-skemA7!$G$22))</f>
        <v>-16.652153101540407</v>
      </c>
      <c r="I30" s="408">
        <f>skemA7!$H$21*COS(RADIANS(skemA7!$H$28*E30-skemA7!$H$22))</f>
        <v>32.045532980524591</v>
      </c>
      <c r="J30" s="408">
        <f>skemA7!$I$21*COS(RADIANS(skemA7!$I$28*E30-skemA7!$I$22))</f>
        <v>-12.635177381679688</v>
      </c>
      <c r="K30" s="408">
        <f>skemA7!$J$21*COS(RADIANS(skemA7!$J$28*E30-skemA7!$J$22))</f>
        <v>1.0819846481200115</v>
      </c>
      <c r="L30" s="408">
        <f>skemA7!$K$21*COS(RADIANS(skemA7!$K$28*E30-skemA7!$K$22))</f>
        <v>2.7779517584472071</v>
      </c>
      <c r="M30" s="408">
        <f>skemA7!$L$21*COS(RADIANS(skemA7!$L$28*E30-skemA7!$L$22))</f>
        <v>4.5536891656546752</v>
      </c>
      <c r="N30" s="408">
        <f>skemA7!$M$21*COS(RADIANS(skemA7!$M$28*E30-skemA7!$M$22))</f>
        <v>10.663366358525723</v>
      </c>
      <c r="O30" s="409">
        <f>skemA7!$D$21+'Forcasting Pasut'!F30+'Forcasting Pasut'!G30+K30+L30+'Forcasting Pasut'!H30+'Forcasting Pasut'!I30+'Forcasting Pasut'!J30+'Forcasting Pasut'!M30+'Forcasting Pasut'!N30</f>
        <v>225.27316193830475</v>
      </c>
      <c r="P30" s="405"/>
      <c r="Q30" s="406">
        <f>AC18</f>
        <v>142</v>
      </c>
      <c r="R30" s="406"/>
      <c r="S30" s="406"/>
      <c r="T30" s="406"/>
      <c r="U30" s="406"/>
      <c r="V30" s="406"/>
      <c r="W30" s="406"/>
      <c r="X30" s="406"/>
      <c r="Y30" s="406"/>
      <c r="Z30" s="406"/>
      <c r="AA30" s="406"/>
      <c r="AB30" s="406"/>
      <c r="AC30" s="406"/>
      <c r="AD30" s="406"/>
      <c r="AE30" s="406"/>
      <c r="AF30" s="406"/>
      <c r="AG30" s="406"/>
      <c r="AH30" s="406"/>
      <c r="AI30" s="406"/>
      <c r="AJ30" s="406"/>
      <c r="AK30" s="406"/>
      <c r="AL30" s="406"/>
      <c r="AM30" s="406"/>
      <c r="AN30" s="406"/>
      <c r="AO30" s="407"/>
      <c r="AP30" s="407"/>
    </row>
    <row r="31" spans="1:42">
      <c r="A31" s="402"/>
      <c r="B31" s="77"/>
      <c r="D31" s="131"/>
      <c r="E31" s="113">
        <f t="shared" si="0"/>
        <v>13</v>
      </c>
      <c r="F31" s="408">
        <f>skemA7!$E$21*COS(RADIANS(skemA7!$E$28*E31-skemA7!$E$22))</f>
        <v>13.116891071455662</v>
      </c>
      <c r="G31" s="408">
        <f>skemA7!$F$21*COS(RADIANS(skemA7!$F$28*E31-skemA7!$F$22))</f>
        <v>7.1705119453439217</v>
      </c>
      <c r="H31" s="408">
        <f>skemA7!$G$21*COS(RADIANS(skemA7!$G$28*E31-skemA7!$G$22))</f>
        <v>-17.292176379272153</v>
      </c>
      <c r="I31" s="408">
        <f>skemA7!$H$21*COS(RADIANS(skemA7!$H$28*E31-skemA7!$H$22))</f>
        <v>26.830967779774301</v>
      </c>
      <c r="J31" s="408">
        <f>skemA7!$I$21*COS(RADIANS(skemA7!$I$28*E31-skemA7!$I$22))</f>
        <v>-6.3787312616966476</v>
      </c>
      <c r="K31" s="408">
        <f>skemA7!$J$21*COS(RADIANS(skemA7!$J$28*E31-skemA7!$J$22))</f>
        <v>-0.62571302760725422</v>
      </c>
      <c r="L31" s="408">
        <f>skemA7!$K$21*COS(RADIANS(skemA7!$K$28*E31-skemA7!$K$22))</f>
        <v>-0.1049777910039482</v>
      </c>
      <c r="M31" s="408">
        <f>skemA7!$L$21*COS(RADIANS(skemA7!$L$28*E31-skemA7!$L$22))</f>
        <v>1.8259833723202217</v>
      </c>
      <c r="N31" s="408">
        <f>skemA7!$M$21*COS(RADIANS(skemA7!$M$28*E31-skemA7!$M$22))</f>
        <v>8.9977970189987815</v>
      </c>
      <c r="O31" s="409">
        <f>skemA7!$D$21+'Forcasting Pasut'!F31+'Forcasting Pasut'!G31+K31+L31+'Forcasting Pasut'!H31+'Forcasting Pasut'!I31+'Forcasting Pasut'!J31+'Forcasting Pasut'!M31+'Forcasting Pasut'!N31</f>
        <v>199.70887169383013</v>
      </c>
      <c r="P31" s="405"/>
      <c r="Q31" s="406">
        <f>AD18</f>
        <v>156.1</v>
      </c>
      <c r="R31" s="406"/>
      <c r="S31" s="406"/>
      <c r="T31" s="406"/>
      <c r="U31" s="406"/>
      <c r="V31" s="406"/>
      <c r="W31" s="406"/>
      <c r="X31" s="406"/>
      <c r="Y31" s="406"/>
      <c r="Z31" s="406"/>
      <c r="AA31" s="406"/>
      <c r="AB31" s="406"/>
      <c r="AC31" s="406"/>
      <c r="AD31" s="406"/>
      <c r="AE31" s="406"/>
      <c r="AF31" s="406"/>
      <c r="AG31" s="406"/>
      <c r="AH31" s="406"/>
      <c r="AI31" s="406"/>
      <c r="AJ31" s="406"/>
      <c r="AK31" s="406"/>
      <c r="AL31" s="406"/>
      <c r="AM31" s="406"/>
      <c r="AN31" s="406"/>
      <c r="AO31" s="407"/>
      <c r="AP31" s="407"/>
    </row>
    <row r="32" spans="1:42">
      <c r="A32" s="402"/>
      <c r="B32" s="77"/>
      <c r="D32" s="131"/>
      <c r="E32" s="113">
        <f t="shared" si="0"/>
        <v>14</v>
      </c>
      <c r="F32" s="408">
        <f>skemA7!$E$21*COS(RADIANS(skemA7!$E$28*E32-skemA7!$E$22))</f>
        <v>2.8098144166217542</v>
      </c>
      <c r="G32" s="408">
        <f>skemA7!$F$21*COS(RADIANS(skemA7!$F$28*E32-skemA7!$F$22))</f>
        <v>-4.7116383509439599</v>
      </c>
      <c r="H32" s="408">
        <f>skemA7!$G$21*COS(RADIANS(skemA7!$G$28*E32-skemA7!$G$22))</f>
        <v>-13.758432356431355</v>
      </c>
      <c r="I32" s="408">
        <f>skemA7!$H$21*COS(RADIANS(skemA7!$H$28*E32-skemA7!$H$22))</f>
        <v>19.777964627562547</v>
      </c>
      <c r="J32" s="408">
        <f>skemA7!$I$21*COS(RADIANS(skemA7!$I$28*E32-skemA7!$I$22))</f>
        <v>0.25360176614993979</v>
      </c>
      <c r="K32" s="408">
        <f>skemA7!$J$21*COS(RADIANS(skemA7!$J$28*E32-skemA7!$J$22))</f>
        <v>-1.7457320437780561</v>
      </c>
      <c r="L32" s="408">
        <f>skemA7!$K$21*COS(RADIANS(skemA7!$K$28*E32-skemA7!$K$22))</f>
        <v>-2.8861371292879561</v>
      </c>
      <c r="M32" s="408">
        <f>skemA7!$L$21*COS(RADIANS(skemA7!$L$28*E32-skemA7!$L$22))</f>
        <v>-1.3936097217180985</v>
      </c>
      <c r="N32" s="408">
        <f>skemA7!$M$21*COS(RADIANS(skemA7!$M$28*E32-skemA7!$M$22))</f>
        <v>6.7223711418996697</v>
      </c>
      <c r="O32" s="409">
        <f>skemA7!$D$21+'Forcasting Pasut'!F32+'Forcasting Pasut'!G32+K32+L32+'Forcasting Pasut'!H32+'Forcasting Pasut'!I32+'Forcasting Pasut'!J32+'Forcasting Pasut'!M32+'Forcasting Pasut'!N32</f>
        <v>171.23652131559172</v>
      </c>
      <c r="P32" s="405"/>
      <c r="Q32" s="406">
        <f>AE18</f>
        <v>173.10000000000002</v>
      </c>
      <c r="R32" s="406"/>
      <c r="S32" s="406"/>
      <c r="T32" s="406"/>
      <c r="U32" s="406"/>
      <c r="V32" s="406"/>
      <c r="W32" s="406"/>
      <c r="X32" s="406"/>
      <c r="Y32" s="406"/>
      <c r="Z32" s="406"/>
      <c r="AA32" s="406"/>
      <c r="AB32" s="406"/>
      <c r="AC32" s="406"/>
      <c r="AD32" s="406"/>
      <c r="AE32" s="406"/>
      <c r="AF32" s="406"/>
      <c r="AG32" s="406"/>
      <c r="AH32" s="406"/>
      <c r="AI32" s="406"/>
      <c r="AJ32" s="406"/>
      <c r="AK32" s="406"/>
      <c r="AL32" s="406"/>
      <c r="AM32" s="406"/>
      <c r="AN32" s="406"/>
      <c r="AO32" s="407"/>
      <c r="AP32" s="407"/>
    </row>
    <row r="33" spans="1:42">
      <c r="A33" s="402"/>
      <c r="B33" s="77"/>
      <c r="D33" s="131"/>
      <c r="E33" s="113">
        <f t="shared" si="0"/>
        <v>15</v>
      </c>
      <c r="F33" s="408">
        <f>skemA7!$E$21*COS(RADIANS(skemA7!$E$28*E33-skemA7!$E$22))</f>
        <v>-8.2010923287458546</v>
      </c>
      <c r="G33" s="408">
        <f>skemA7!$F$21*COS(RADIANS(skemA7!$F$28*E33-skemA7!$F$22))</f>
        <v>-15.331308956068895</v>
      </c>
      <c r="H33" s="408">
        <f>skemA7!$G$21*COS(RADIANS(skemA7!$G$28*E33-skemA7!$G$22))</f>
        <v>-6.9038515680550105</v>
      </c>
      <c r="I33" s="408">
        <f>skemA7!$H$21*COS(RADIANS(skemA7!$H$28*E33-skemA7!$H$22))</f>
        <v>11.369790052820795</v>
      </c>
      <c r="J33" s="408">
        <f>skemA7!$I$21*COS(RADIANS(skemA7!$I$28*E33-skemA7!$I$22))</f>
        <v>6.8709905080882363</v>
      </c>
      <c r="K33" s="408">
        <f>skemA7!$J$21*COS(RADIANS(skemA7!$J$28*E33-skemA7!$J$22))</f>
        <v>-1.2261344591000072</v>
      </c>
      <c r="L33" s="408">
        <f>skemA7!$K$21*COS(RADIANS(skemA7!$K$28*E33-skemA7!$K$22))</f>
        <v>-2.8693448027866331</v>
      </c>
      <c r="M33" s="408">
        <f>skemA7!$L$21*COS(RADIANS(skemA7!$L$28*E33-skemA7!$L$22))</f>
        <v>-4.2377892524995202</v>
      </c>
      <c r="N33" s="408">
        <f>skemA7!$M$21*COS(RADIANS(skemA7!$M$28*E33-skemA7!$M$22))</f>
        <v>3.9913135162494924</v>
      </c>
      <c r="O33" s="409">
        <f>skemA7!$D$21+'Forcasting Pasut'!F33+'Forcasting Pasut'!G33+K33+L33+'Forcasting Pasut'!H33+'Forcasting Pasut'!I33+'Forcasting Pasut'!J33+'Forcasting Pasut'!M33+'Forcasting Pasut'!N33</f>
        <v>149.63089167541989</v>
      </c>
      <c r="P33" s="405"/>
      <c r="Q33" s="406">
        <f>AF18</f>
        <v>188.9</v>
      </c>
      <c r="R33" s="406"/>
      <c r="S33" s="406"/>
      <c r="T33" s="406"/>
      <c r="U33" s="406"/>
      <c r="V33" s="406"/>
      <c r="W33" s="406"/>
      <c r="X33" s="406"/>
      <c r="Y33" s="406"/>
      <c r="Z33" s="406"/>
      <c r="AA33" s="406"/>
      <c r="AB33" s="406"/>
      <c r="AC33" s="406"/>
      <c r="AD33" s="406"/>
      <c r="AE33" s="406"/>
      <c r="AF33" s="406"/>
      <c r="AG33" s="406"/>
      <c r="AH33" s="406"/>
      <c r="AI33" s="406"/>
      <c r="AJ33" s="406"/>
      <c r="AK33" s="406"/>
      <c r="AL33" s="406"/>
      <c r="AM33" s="406"/>
      <c r="AN33" s="406"/>
      <c r="AO33" s="407"/>
      <c r="AP33" s="407"/>
    </row>
    <row r="34" spans="1:42">
      <c r="A34" s="402"/>
      <c r="B34" s="77"/>
      <c r="D34" s="131"/>
      <c r="E34" s="113">
        <f t="shared" si="0"/>
        <v>16</v>
      </c>
      <c r="F34" s="408">
        <f>skemA7!$E$21*COS(RADIANS(skemA7!$E$28*E34-skemA7!$E$22))</f>
        <v>-17.157708398519219</v>
      </c>
      <c r="G34" s="408">
        <f>skemA7!$F$21*COS(RADIANS(skemA7!$F$28*E34-skemA7!$F$22))</f>
        <v>-21.842967707503139</v>
      </c>
      <c r="H34" s="408">
        <f>skemA7!$G$21*COS(RADIANS(skemA7!$G$28*E34-skemA7!$G$22))</f>
        <v>1.6170937825805254</v>
      </c>
      <c r="I34" s="408">
        <f>skemA7!$H$21*COS(RADIANS(skemA7!$H$28*E34-skemA7!$H$22))</f>
        <v>2.1825659221770066</v>
      </c>
      <c r="J34" s="408">
        <f>skemA7!$I$21*COS(RADIANS(skemA7!$I$28*E34-skemA7!$I$22))</f>
        <v>13.083484409644447</v>
      </c>
      <c r="K34" s="408">
        <f>skemA7!$J$21*COS(RADIANS(skemA7!$J$28*E34-skemA7!$J$22))</f>
        <v>0.4450662144818659</v>
      </c>
      <c r="L34" s="408">
        <f>skemA7!$K$21*COS(RADIANS(skemA7!$K$28*E34-skemA7!$K$22))</f>
        <v>-7.0880051115178949E-2</v>
      </c>
      <c r="M34" s="408">
        <f>skemA7!$L$21*COS(RADIANS(skemA7!$L$28*E34-skemA7!$L$22))</f>
        <v>-5.9403840635279268</v>
      </c>
      <c r="N34" s="408">
        <f>skemA7!$M$21*COS(RADIANS(skemA7!$M$28*E34-skemA7!$M$22))</f>
        <v>0.989730934741201</v>
      </c>
      <c r="O34" s="409">
        <f>skemA7!$D$21+'Forcasting Pasut'!F34+'Forcasting Pasut'!G34+K34+L34+'Forcasting Pasut'!H34+'Forcasting Pasut'!I34+'Forcasting Pasut'!J34+'Forcasting Pasut'!M34+'Forcasting Pasut'!N34</f>
        <v>139.47432000847687</v>
      </c>
      <c r="P34" s="405"/>
      <c r="Q34" s="406">
        <f>AG18</f>
        <v>194.9</v>
      </c>
      <c r="R34" s="406"/>
      <c r="S34" s="406"/>
      <c r="T34" s="406"/>
      <c r="U34" s="406"/>
      <c r="V34" s="406"/>
      <c r="W34" s="406"/>
      <c r="X34" s="406"/>
      <c r="Y34" s="406"/>
      <c r="Z34" s="406"/>
      <c r="AA34" s="406"/>
      <c r="AB34" s="406"/>
      <c r="AC34" s="406"/>
      <c r="AD34" s="406"/>
      <c r="AE34" s="406"/>
      <c r="AF34" s="406"/>
      <c r="AG34" s="406"/>
      <c r="AH34" s="406"/>
      <c r="AI34" s="406"/>
      <c r="AJ34" s="406"/>
      <c r="AK34" s="406"/>
      <c r="AL34" s="406"/>
      <c r="AM34" s="406"/>
      <c r="AN34" s="406"/>
      <c r="AO34" s="407"/>
      <c r="AP34" s="407"/>
    </row>
    <row r="35" spans="1:42">
      <c r="A35" s="402"/>
      <c r="B35" s="77"/>
      <c r="D35" s="131"/>
      <c r="E35" s="113">
        <f t="shared" si="0"/>
        <v>17</v>
      </c>
      <c r="F35" s="408">
        <f>skemA7!$E$21*COS(RADIANS(skemA7!$E$28*E35-skemA7!$E$22))</f>
        <v>-21.816492061980316</v>
      </c>
      <c r="G35" s="408">
        <f>skemA7!$F$21*COS(RADIANS(skemA7!$F$28*E35-skemA7!$F$22))</f>
        <v>-22.501820901412817</v>
      </c>
      <c r="H35" s="408">
        <f>skemA7!$G$21*COS(RADIANS(skemA7!$G$28*E35-skemA7!$G$22))</f>
        <v>9.7477254443166057</v>
      </c>
      <c r="I35" s="408">
        <f>skemA7!$H$21*COS(RADIANS(skemA7!$H$28*E35-skemA7!$H$22))</f>
        <v>-7.1542060017417306</v>
      </c>
      <c r="J35" s="408">
        <f>skemA7!$I$21*COS(RADIANS(skemA7!$I$28*E35-skemA7!$I$22))</f>
        <v>18.524992625010462</v>
      </c>
      <c r="K35" s="408">
        <f>skemA7!$J$21*COS(RADIANS(skemA7!$J$28*E35-skemA7!$J$22))</f>
        <v>1.698254309133157</v>
      </c>
      <c r="L35" s="408">
        <f>skemA7!$K$21*COS(RADIANS(skemA7!$K$28*E35-skemA7!$K$22))</f>
        <v>2.7962990228957381</v>
      </c>
      <c r="M35" s="408">
        <f>skemA7!$L$21*COS(RADIANS(skemA7!$L$28*E35-skemA7!$L$22))</f>
        <v>-6.0427455282689984</v>
      </c>
      <c r="N35" s="408">
        <f>skemA7!$M$21*COS(RADIANS(skemA7!$M$28*E35-skemA7!$M$22))</f>
        <v>-2.0789340536845669</v>
      </c>
      <c r="O35" s="409">
        <f>skemA7!$D$21+'Forcasting Pasut'!F35+'Forcasting Pasut'!G35+K35+L35+'Forcasting Pasut'!H35+'Forcasting Pasut'!I35+'Forcasting Pasut'!J35+'Forcasting Pasut'!M35+'Forcasting Pasut'!N35</f>
        <v>139.3413918197848</v>
      </c>
      <c r="P35" s="405"/>
      <c r="Q35" s="406">
        <f>AH18</f>
        <v>190</v>
      </c>
      <c r="R35" s="406"/>
      <c r="S35" s="406"/>
      <c r="T35" s="406"/>
      <c r="U35" s="406"/>
      <c r="V35" s="406"/>
      <c r="W35" s="406"/>
      <c r="X35" s="406"/>
      <c r="Y35" s="406"/>
      <c r="Z35" s="406"/>
      <c r="AA35" s="406"/>
      <c r="AB35" s="406"/>
      <c r="AC35" s="406"/>
      <c r="AD35" s="406"/>
      <c r="AE35" s="406"/>
      <c r="AF35" s="406"/>
      <c r="AG35" s="406"/>
      <c r="AH35" s="406"/>
      <c r="AI35" s="406"/>
      <c r="AJ35" s="406"/>
      <c r="AK35" s="406"/>
      <c r="AL35" s="406"/>
      <c r="AM35" s="406"/>
      <c r="AN35" s="406"/>
      <c r="AO35" s="407"/>
      <c r="AP35" s="407"/>
    </row>
    <row r="36" spans="1:42">
      <c r="A36" s="402"/>
      <c r="B36" s="77"/>
      <c r="D36" s="131"/>
      <c r="E36" s="113">
        <f t="shared" si="0"/>
        <v>18</v>
      </c>
      <c r="F36" s="408">
        <f>skemA7!$E$21*COS(RADIANS(skemA7!$E$28*E36-skemA7!$E$22))</f>
        <v>-21.01046513429479</v>
      </c>
      <c r="G36" s="408">
        <f>skemA7!$F$21*COS(RADIANS(skemA7!$F$28*E36-skemA7!$F$22))</f>
        <v>-17.131329356559181</v>
      </c>
      <c r="H36" s="408">
        <f>skemA7!$G$21*COS(RADIANS(skemA7!$G$28*E36-skemA7!$G$22))</f>
        <v>15.525574158313621</v>
      </c>
      <c r="I36" s="408">
        <f>skemA7!$H$21*COS(RADIANS(skemA7!$H$28*E36-skemA7!$H$22))</f>
        <v>-16.00077705276874</v>
      </c>
      <c r="J36" s="408">
        <f>skemA7!$I$21*COS(RADIANS(skemA7!$I$28*E36-skemA7!$I$22))</f>
        <v>22.874857077638946</v>
      </c>
      <c r="K36" s="408">
        <f>skemA7!$J$21*COS(RADIANS(skemA7!$J$28*E36-skemA7!$J$22))</f>
        <v>1.3564175730024459</v>
      </c>
      <c r="L36" s="408">
        <f>skemA7!$K$21*COS(RADIANS(skemA7!$K$28*E36-skemA7!$K$22))</f>
        <v>2.9526195493507501</v>
      </c>
      <c r="M36" s="408">
        <f>skemA7!$L$21*COS(RADIANS(skemA7!$L$28*E36-skemA7!$L$22))</f>
        <v>-4.5172992967309273</v>
      </c>
      <c r="N36" s="408">
        <f>skemA7!$M$21*COS(RADIANS(skemA7!$M$28*E36-skemA7!$M$22))</f>
        <v>-5.0066921599986509</v>
      </c>
      <c r="O36" s="409">
        <f>skemA7!$D$21+'Forcasting Pasut'!F36+'Forcasting Pasut'!G36+K36+L36+'Forcasting Pasut'!H36+'Forcasting Pasut'!I36+'Forcasting Pasut'!J36+'Forcasting Pasut'!M36+'Forcasting Pasut'!N36</f>
        <v>145.2112243234707</v>
      </c>
      <c r="P36" s="405"/>
      <c r="Q36" s="406">
        <f>AI18</f>
        <v>173.3</v>
      </c>
      <c r="R36" s="406"/>
      <c r="S36" s="406"/>
      <c r="T36" s="406"/>
      <c r="U36" s="406"/>
      <c r="V36" s="406"/>
      <c r="W36" s="406"/>
      <c r="X36" s="406"/>
      <c r="Y36" s="406"/>
      <c r="Z36" s="406"/>
      <c r="AA36" s="406"/>
      <c r="AB36" s="406"/>
      <c r="AC36" s="406"/>
      <c r="AD36" s="406"/>
      <c r="AE36" s="406"/>
      <c r="AF36" s="406"/>
      <c r="AG36" s="406"/>
      <c r="AH36" s="406"/>
      <c r="AI36" s="406"/>
      <c r="AJ36" s="406"/>
      <c r="AK36" s="406"/>
      <c r="AL36" s="406"/>
      <c r="AM36" s="406"/>
      <c r="AN36" s="406"/>
      <c r="AO36" s="407"/>
      <c r="AP36" s="407"/>
    </row>
    <row r="37" spans="1:42">
      <c r="A37" s="402"/>
      <c r="B37" s="77"/>
      <c r="D37" s="131"/>
      <c r="E37" s="113">
        <f t="shared" si="0"/>
        <v>19</v>
      </c>
      <c r="F37" s="408">
        <f>skemA7!$E$21*COS(RADIANS(skemA7!$E$28*E37-skemA7!$E$22))</f>
        <v>-14.941529208012494</v>
      </c>
      <c r="G37" s="408">
        <f>skemA7!$F$21*COS(RADIANS(skemA7!$F$28*E37-skemA7!$F$22))</f>
        <v>-7.1705119453439199</v>
      </c>
      <c r="H37" s="408">
        <f>skemA7!$G$21*COS(RADIANS(skemA7!$G$28*E37-skemA7!$G$22))</f>
        <v>17.556055720639772</v>
      </c>
      <c r="I37" s="408">
        <f>skemA7!$H$21*COS(RADIANS(skemA7!$H$28*E37-skemA7!$H$22))</f>
        <v>-23.750986763864557</v>
      </c>
      <c r="J37" s="408">
        <f>skemA7!$I$21*COS(RADIANS(skemA7!$I$28*E37-skemA7!$I$22))</f>
        <v>25.876748251260377</v>
      </c>
      <c r="K37" s="408">
        <f>skemA7!$J$21*COS(RADIANS(skemA7!$J$28*E37-skemA7!$J$22))</f>
        <v>-0.25938602322255855</v>
      </c>
      <c r="L37" s="408">
        <f>skemA7!$K$21*COS(RADIANS(skemA7!$K$28*E37-skemA7!$K$22))</f>
        <v>0.24653735081056818</v>
      </c>
      <c r="M37" s="408">
        <f>skemA7!$L$21*COS(RADIANS(skemA7!$L$28*E37-skemA7!$L$22))</f>
        <v>-1.7749733327574957</v>
      </c>
      <c r="N37" s="408">
        <f>skemA7!$M$21*COS(RADIANS(skemA7!$M$28*E37-skemA7!$M$22))</f>
        <v>-7.595104542138321</v>
      </c>
      <c r="O37" s="409">
        <f>skemA7!$D$21+'Forcasting Pasut'!F37+'Forcasting Pasut'!G37+K37+L37+'Forcasting Pasut'!H37+'Forcasting Pasut'!I37+'Forcasting Pasut'!J37+'Forcasting Pasut'!M37+'Forcasting Pasut'!N37</f>
        <v>154.35516847288861</v>
      </c>
      <c r="P37" s="405"/>
      <c r="Q37" s="406">
        <f>AJ18</f>
        <v>155</v>
      </c>
      <c r="R37" s="406"/>
      <c r="S37" s="406"/>
      <c r="T37" s="406"/>
      <c r="U37" s="406"/>
      <c r="V37" s="406"/>
      <c r="W37" s="406"/>
      <c r="X37" s="406"/>
      <c r="Y37" s="406"/>
      <c r="Z37" s="406"/>
      <c r="AA37" s="406"/>
      <c r="AB37" s="406"/>
      <c r="AC37" s="406"/>
      <c r="AD37" s="406"/>
      <c r="AE37" s="406"/>
      <c r="AF37" s="406"/>
      <c r="AG37" s="406"/>
      <c r="AH37" s="406"/>
      <c r="AI37" s="406"/>
      <c r="AJ37" s="406"/>
      <c r="AK37" s="406"/>
      <c r="AL37" s="406"/>
      <c r="AM37" s="406"/>
      <c r="AN37" s="406"/>
      <c r="AO37" s="407"/>
      <c r="AP37" s="407"/>
    </row>
    <row r="38" spans="1:42">
      <c r="A38" s="402"/>
      <c r="B38" s="77"/>
      <c r="D38" s="131"/>
      <c r="E38" s="113">
        <f t="shared" si="0"/>
        <v>20</v>
      </c>
      <c r="F38" s="408">
        <f>skemA7!$E$21*COS(RADIANS(skemA7!$E$28*E38-skemA7!$E$22))</f>
        <v>-5.1298913463365539</v>
      </c>
      <c r="G38" s="408">
        <f>skemA7!$F$21*COS(RADIANS(skemA7!$F$28*E38-skemA7!$F$22))</f>
        <v>4.7116383509439661</v>
      </c>
      <c r="H38" s="408">
        <f>skemA7!$G$21*COS(RADIANS(skemA7!$G$28*E38-skemA7!$G$22))</f>
        <v>15.349078117231912</v>
      </c>
      <c r="I38" s="408">
        <f>skemA7!$H$21*COS(RADIANS(skemA7!$H$28*E38-skemA7!$H$22))</f>
        <v>-29.873796531367489</v>
      </c>
      <c r="J38" s="408">
        <f>skemA7!$I$21*COS(RADIANS(skemA7!$I$28*E38-skemA7!$I$22))</f>
        <v>27.353770217091704</v>
      </c>
      <c r="K38" s="408">
        <f>skemA7!$J$21*COS(RADIANS(skemA7!$J$28*E38-skemA7!$J$22))</f>
        <v>-1.6315705421557984</v>
      </c>
      <c r="L38" s="408">
        <f>skemA7!$K$21*COS(RADIANS(skemA7!$K$28*E38-skemA7!$K$22))</f>
        <v>-2.6985492886940521</v>
      </c>
      <c r="M38" s="408">
        <f>skemA7!$L$21*COS(RADIANS(skemA7!$L$28*E38-skemA7!$L$22))</f>
        <v>1.4454987385170253</v>
      </c>
      <c r="N38" s="408">
        <f>skemA7!$M$21*COS(RADIANS(skemA7!$M$28*E38-skemA7!$M$22))</f>
        <v>-9.6687326777800049</v>
      </c>
      <c r="O38" s="409">
        <f>skemA7!$D$21+'Forcasting Pasut'!F38+'Forcasting Pasut'!G38+K38+L38+'Forcasting Pasut'!H38+'Forcasting Pasut'!I38+'Forcasting Pasut'!J38+'Forcasting Pasut'!M38+'Forcasting Pasut'!N38</f>
        <v>166.02576400296795</v>
      </c>
      <c r="P38" s="405"/>
      <c r="Q38" s="406">
        <f>AK18</f>
        <v>132.4</v>
      </c>
      <c r="R38" s="406"/>
      <c r="S38" s="406"/>
      <c r="T38" s="406"/>
      <c r="U38" s="406"/>
      <c r="V38" s="406"/>
      <c r="W38" s="406"/>
      <c r="X38" s="406"/>
      <c r="Y38" s="406"/>
      <c r="Z38" s="406"/>
      <c r="AA38" s="406"/>
      <c r="AB38" s="406"/>
      <c r="AC38" s="406"/>
      <c r="AD38" s="406"/>
      <c r="AE38" s="406"/>
      <c r="AF38" s="406"/>
      <c r="AG38" s="406"/>
      <c r="AH38" s="406"/>
      <c r="AI38" s="406"/>
      <c r="AJ38" s="406"/>
      <c r="AK38" s="406"/>
      <c r="AL38" s="406"/>
      <c r="AM38" s="406"/>
      <c r="AN38" s="406"/>
      <c r="AO38" s="407"/>
      <c r="AP38" s="407"/>
    </row>
    <row r="39" spans="1:42">
      <c r="A39" s="402"/>
      <c r="B39" s="77"/>
      <c r="D39" s="131"/>
      <c r="E39" s="113">
        <f t="shared" si="0"/>
        <v>21</v>
      </c>
      <c r="F39" s="408">
        <f>skemA7!$E$21*COS(RADIANS(skemA7!$E$28*E39-skemA7!$E$22))</f>
        <v>5.9667324095540319</v>
      </c>
      <c r="G39" s="408">
        <f>skemA7!$F$21*COS(RADIANS(skemA7!$F$28*E39-skemA7!$F$22))</f>
        <v>15.331308956068893</v>
      </c>
      <c r="H39" s="408">
        <f>skemA7!$G$21*COS(RADIANS(skemA7!$G$28*E39-skemA7!$G$22))</f>
        <v>9.4373337491022014</v>
      </c>
      <c r="I39" s="408">
        <f>skemA7!$H$21*COS(RADIANS(skemA7!$H$28*E39-skemA7!$H$22))</f>
        <v>-33.949675985052039</v>
      </c>
      <c r="J39" s="408">
        <f>skemA7!$I$21*COS(RADIANS(skemA7!$I$28*E39-skemA7!$I$22))</f>
        <v>27.218884785749271</v>
      </c>
      <c r="K39" s="408">
        <f>skemA7!$J$21*COS(RADIANS(skemA7!$J$28*E39-skemA7!$J$22))</f>
        <v>-1.4713605817019673</v>
      </c>
      <c r="L39" s="408">
        <f>skemA7!$K$21*COS(RADIANS(skemA7!$K$28*E39-skemA7!$K$22))</f>
        <v>-3.0275403871425395</v>
      </c>
      <c r="M39" s="408">
        <f>skemA7!$L$21*COS(RADIANS(skemA7!$L$28*E39-skemA7!$L$22))</f>
        <v>4.2765792723667007</v>
      </c>
      <c r="N39" s="408">
        <f>skemA7!$M$21*COS(RADIANS(skemA7!$M$28*E39-skemA7!$M$22))</f>
        <v>-11.087029311596153</v>
      </c>
      <c r="O39" s="409">
        <f>skemA7!$D$21+'Forcasting Pasut'!F39+'Forcasting Pasut'!G39+K39+L39+'Forcasting Pasut'!H39+'Forcasting Pasut'!I39+'Forcasting Pasut'!J39+'Forcasting Pasut'!M39+'Forcasting Pasut'!N39</f>
        <v>178.86355187286563</v>
      </c>
      <c r="P39" s="405"/>
      <c r="Q39" s="406">
        <f>AL18</f>
        <v>110.80000000000001</v>
      </c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  <c r="AC39" s="406"/>
      <c r="AD39" s="406"/>
      <c r="AE39" s="406"/>
      <c r="AF39" s="406"/>
      <c r="AG39" s="406"/>
      <c r="AH39" s="406"/>
      <c r="AI39" s="406"/>
      <c r="AJ39" s="406"/>
      <c r="AK39" s="406"/>
      <c r="AL39" s="406"/>
      <c r="AM39" s="406"/>
      <c r="AN39" s="406"/>
      <c r="AO39" s="407"/>
      <c r="AP39" s="407"/>
    </row>
    <row r="40" spans="1:42">
      <c r="A40" s="402"/>
      <c r="B40" s="77"/>
      <c r="D40" s="131"/>
      <c r="E40" s="113">
        <f t="shared" si="0"/>
        <v>22</v>
      </c>
      <c r="F40" s="408">
        <f>skemA7!$E$21*COS(RADIANS(skemA7!$E$28*E40-skemA7!$E$22))</f>
        <v>15.568750049409488</v>
      </c>
      <c r="G40" s="408">
        <f>skemA7!$F$21*COS(RADIANS(skemA7!$F$28*E40-skemA7!$F$22))</f>
        <v>21.842967707503135</v>
      </c>
      <c r="H40" s="408">
        <f>skemA7!$G$21*COS(RADIANS(skemA7!$G$28*E40-skemA7!$G$22))</f>
        <v>1.2477248633627698</v>
      </c>
      <c r="I40" s="408">
        <f>skemA7!$H$21*COS(RADIANS(skemA7!$H$28*E40-skemA7!$H$22))</f>
        <v>-35.699348896988639</v>
      </c>
      <c r="J40" s="408">
        <f>skemA7!$I$21*COS(RADIANS(skemA7!$I$28*E40-skemA7!$I$22))</f>
        <v>25.480040507755607</v>
      </c>
      <c r="K40" s="408">
        <f>skemA7!$J$21*COS(RADIANS(skemA7!$J$28*E40-skemA7!$J$22))</f>
        <v>7.0772362975827466E-2</v>
      </c>
      <c r="L40" s="408">
        <f>skemA7!$K$21*COS(RADIANS(skemA7!$K$28*E40-skemA7!$K$22))</f>
        <v>-0.42149711717896265</v>
      </c>
      <c r="M40" s="408">
        <f>skemA7!$L$21*COS(RADIANS(skemA7!$L$28*E40-skemA7!$L$22))</f>
        <v>5.955625748065235</v>
      </c>
      <c r="N40" s="408">
        <f>skemA7!$M$21*COS(RADIANS(skemA7!$M$28*E40-skemA7!$M$22))</f>
        <v>-11.753864527283584</v>
      </c>
      <c r="O40" s="409">
        <f>skemA7!$D$21+'Forcasting Pasut'!F40+'Forcasting Pasut'!G40+K40+L40+'Forcasting Pasut'!H40+'Forcasting Pasut'!I40+'Forcasting Pasut'!J40+'Forcasting Pasut'!M40+'Forcasting Pasut'!N40</f>
        <v>188.45948966313813</v>
      </c>
      <c r="P40" s="405"/>
      <c r="Q40" s="406">
        <f>AM18</f>
        <v>96.899999999999991</v>
      </c>
      <c r="R40" s="406"/>
      <c r="S40" s="406"/>
      <c r="T40" s="406"/>
      <c r="U40" s="406"/>
      <c r="V40" s="406"/>
      <c r="W40" s="406"/>
      <c r="X40" s="406"/>
      <c r="Y40" s="406"/>
      <c r="Z40" s="406"/>
      <c r="AA40" s="406"/>
      <c r="AB40" s="406"/>
      <c r="AC40" s="406"/>
      <c r="AD40" s="406"/>
      <c r="AE40" s="406"/>
      <c r="AF40" s="406"/>
      <c r="AG40" s="406"/>
      <c r="AH40" s="406"/>
      <c r="AI40" s="406"/>
      <c r="AJ40" s="406"/>
      <c r="AK40" s="406"/>
      <c r="AL40" s="406"/>
      <c r="AM40" s="406"/>
      <c r="AN40" s="406"/>
      <c r="AO40" s="407"/>
      <c r="AP40" s="407"/>
    </row>
    <row r="41" spans="1:42">
      <c r="A41" s="402"/>
      <c r="B41" s="77"/>
      <c r="D41" s="131"/>
      <c r="E41" s="113">
        <f t="shared" si="0"/>
        <v>23</v>
      </c>
      <c r="F41" s="408">
        <f>skemA7!$E$21*COS(RADIANS(skemA7!$E$28*E41-skemA7!$E$22))</f>
        <v>21.270953277341324</v>
      </c>
      <c r="G41" s="408">
        <f>skemA7!$F$21*COS(RADIANS(skemA7!$F$28*E41-skemA7!$F$22))</f>
        <v>22.501820901412817</v>
      </c>
      <c r="H41" s="408">
        <f>skemA7!$G$21*COS(RADIANS(skemA7!$G$28*E41-skemA7!$G$22))</f>
        <v>-7.243044103131842</v>
      </c>
      <c r="I41" s="408">
        <f>skemA7!$H$21*COS(RADIANS(skemA7!$H$28*E41-skemA7!$H$22))</f>
        <v>-35.002928980914696</v>
      </c>
      <c r="J41" s="408">
        <f>skemA7!$I$21*COS(RADIANS(skemA7!$I$28*E41-skemA7!$I$22))</f>
        <v>22.239704280068118</v>
      </c>
      <c r="K41" s="408">
        <f>skemA7!$J$21*COS(RADIANS(skemA7!$J$28*E41-skemA7!$J$22))</f>
        <v>1.5464348881926007</v>
      </c>
      <c r="L41" s="408">
        <f>skemA7!$K$21*COS(RADIANS(skemA7!$K$28*E41-skemA7!$K$22))</f>
        <v>2.593164492067769</v>
      </c>
      <c r="M41" s="408">
        <f>skemA7!$L$21*COS(RADIANS(skemA7!$L$28*E41-skemA7!$L$22))</f>
        <v>6.0303330399431454</v>
      </c>
      <c r="N41" s="408">
        <f>skemA7!$M$21*COS(RADIANS(skemA7!$M$28*E41-skemA7!$M$22))</f>
        <v>-11.624041282176005</v>
      </c>
      <c r="O41" s="409">
        <f>skemA7!$D$21+'Forcasting Pasut'!F41+'Forcasting Pasut'!G41+K41+L41+'Forcasting Pasut'!H41+'Forcasting Pasut'!I41+'Forcasting Pasut'!J41+'Forcasting Pasut'!M41+'Forcasting Pasut'!N41</f>
        <v>188.48071547832049</v>
      </c>
      <c r="P41" s="405"/>
      <c r="Q41" s="406">
        <f>AN18</f>
        <v>99.1</v>
      </c>
      <c r="R41" s="406"/>
      <c r="S41" s="406"/>
      <c r="T41" s="406"/>
      <c r="U41" s="406"/>
      <c r="V41" s="406"/>
      <c r="W41" s="406"/>
      <c r="X41" s="406"/>
      <c r="Y41" s="406"/>
      <c r="Z41" s="406"/>
      <c r="AA41" s="406"/>
      <c r="AB41" s="406"/>
      <c r="AC41" s="406"/>
      <c r="AD41" s="406"/>
      <c r="AE41" s="406"/>
      <c r="AF41" s="406"/>
      <c r="AG41" s="406"/>
      <c r="AH41" s="406"/>
      <c r="AI41" s="406"/>
      <c r="AJ41" s="406"/>
      <c r="AK41" s="406"/>
      <c r="AL41" s="406"/>
      <c r="AM41" s="406"/>
      <c r="AN41" s="406"/>
      <c r="AO41" s="407"/>
      <c r="AP41" s="407"/>
    </row>
    <row r="42" spans="1:42">
      <c r="A42" s="402">
        <v>2</v>
      </c>
      <c r="B42" s="77">
        <f>skemA1!B6</f>
        <v>44710</v>
      </c>
      <c r="C42" s="43" t="e">
        <f>skemA1!#REF!</f>
        <v>#REF!</v>
      </c>
      <c r="D42" s="139" t="e">
        <f>skemA1!#REF!</f>
        <v>#REF!</v>
      </c>
      <c r="E42" s="113">
        <f t="shared" si="0"/>
        <v>24</v>
      </c>
      <c r="F42" s="408">
        <f>skemA7!$E$21*COS(RADIANS(skemA7!$E$28*E42-skemA7!$E$22))</f>
        <v>21.644997861639752</v>
      </c>
      <c r="G42" s="408">
        <f>skemA7!$F$21*COS(RADIANS(skemA7!$F$28*E42-skemA7!$F$22))</f>
        <v>17.131329356559181</v>
      </c>
      <c r="H42" s="408">
        <f>skemA7!$G$21*COS(RADIANS(skemA7!$G$28*E42-skemA7!$G$22))</f>
        <v>-13.985578493989511</v>
      </c>
      <c r="I42" s="408">
        <f>skemA7!$H$21*COS(RADIANS(skemA7!$H$28*E42-skemA7!$H$22))</f>
        <v>-31.908134411380313</v>
      </c>
      <c r="J42" s="408">
        <f>skemA7!$I$21*COS(RADIANS(skemA7!$I$28*E42-skemA7!$I$22))</f>
        <v>17.688823160196087</v>
      </c>
      <c r="K42" s="408">
        <f>skemA7!$J$21*COS(RADIANS(skemA7!$J$28*E42-skemA7!$J$22))</f>
        <v>1.569663562607712</v>
      </c>
      <c r="L42" s="408">
        <f>skemA7!$K$21*COS(RADIANS(skemA7!$K$28*E42-skemA7!$K$22))</f>
        <v>3.0938953410552892</v>
      </c>
      <c r="M42" s="408">
        <f>skemA7!$L$21*COS(RADIANS(skemA7!$L$28*E42-skemA7!$L$22))</f>
        <v>4.4805763381572596</v>
      </c>
      <c r="N42" s="408">
        <f>skemA7!$M$21*COS(RADIANS(skemA7!$M$28*E42-skemA7!$M$22))</f>
        <v>-10.706358791746998</v>
      </c>
      <c r="O42" s="409">
        <f>skemA7!$D$21+'Forcasting Pasut'!F42+'Forcasting Pasut'!G42+K42+L42+'Forcasting Pasut'!H42+'Forcasting Pasut'!I42+'Forcasting Pasut'!J42+'Forcasting Pasut'!M42+'Forcasting Pasut'!N42</f>
        <v>175.17753288861567</v>
      </c>
      <c r="P42" s="405"/>
      <c r="Q42" s="406">
        <f>skemA1!C6</f>
        <v>113.79999999999998</v>
      </c>
      <c r="R42" s="406">
        <f>skemA1!D6</f>
        <v>143.9</v>
      </c>
      <c r="S42" s="406">
        <f>skemA1!E6</f>
        <v>184.7</v>
      </c>
      <c r="T42" s="406">
        <f>skemA1!F6</f>
        <v>222.29999999999998</v>
      </c>
      <c r="U42" s="406">
        <f>skemA1!G6</f>
        <v>249.10000000000002</v>
      </c>
      <c r="V42" s="406">
        <f>skemA1!H6</f>
        <v>258.10000000000002</v>
      </c>
      <c r="W42" s="406">
        <f>skemA1!I6</f>
        <v>251.9</v>
      </c>
      <c r="X42" s="406">
        <f>skemA1!J6</f>
        <v>232.6</v>
      </c>
      <c r="Y42" s="406">
        <f>skemA1!K6</f>
        <v>202.4</v>
      </c>
      <c r="Z42" s="406">
        <f>skemA1!L6</f>
        <v>171.9</v>
      </c>
      <c r="AA42" s="406">
        <f>skemA1!M6</f>
        <v>144.1</v>
      </c>
      <c r="AB42" s="406">
        <f>skemA1!N6</f>
        <v>125.29999999999998</v>
      </c>
      <c r="AC42" s="406">
        <f>skemA1!O6</f>
        <v>123.2</v>
      </c>
      <c r="AD42" s="406">
        <f>skemA1!P6</f>
        <v>133.20000000000002</v>
      </c>
      <c r="AE42" s="406">
        <f>skemA1!Q6</f>
        <v>150</v>
      </c>
      <c r="AF42" s="406">
        <f>skemA1!R6</f>
        <v>169.3</v>
      </c>
      <c r="AG42" s="406">
        <f>skemA1!S6</f>
        <v>183.29999999999998</v>
      </c>
      <c r="AH42" s="406">
        <f>skemA1!T6</f>
        <v>184</v>
      </c>
      <c r="AI42" s="406">
        <f>skemA1!U6</f>
        <v>174.2</v>
      </c>
      <c r="AJ42" s="406">
        <f>skemA1!V6</f>
        <v>158.29999999999998</v>
      </c>
      <c r="AK42" s="406">
        <f>skemA1!W6</f>
        <v>133.20000000000002</v>
      </c>
      <c r="AL42" s="406">
        <f>skemA1!X6</f>
        <v>106.69999999999999</v>
      </c>
      <c r="AM42" s="406">
        <f>skemA1!Y6</f>
        <v>81.3</v>
      </c>
      <c r="AN42" s="406">
        <f>skemA1!Z6</f>
        <v>75.400000000000006</v>
      </c>
      <c r="AO42" s="407">
        <f>SUM(Q42:AN42)</f>
        <v>3972.2000000000003</v>
      </c>
      <c r="AP42" s="407">
        <f>AVERAGE(Q42:AN42)</f>
        <v>165.50833333333335</v>
      </c>
    </row>
    <row r="43" spans="1:42">
      <c r="A43" s="402"/>
      <c r="B43" s="77"/>
      <c r="D43" s="131"/>
      <c r="E43" s="113">
        <f t="shared" si="0"/>
        <v>25</v>
      </c>
      <c r="F43" s="408">
        <f>skemA7!$E$21*COS(RADIANS(skemA7!$E$28*E43-skemA7!$E$22))</f>
        <v>16.597189417340054</v>
      </c>
      <c r="G43" s="408">
        <f>skemA7!$F$21*COS(RADIANS(skemA7!$F$28*E43-skemA7!$F$22))</f>
        <v>7.1705119453439226</v>
      </c>
      <c r="H43" s="408">
        <f>skemA7!$G$21*COS(RADIANS(skemA7!$G$28*E43-skemA7!$G$22))</f>
        <v>-17.35245045129864</v>
      </c>
      <c r="I43" s="408">
        <f>skemA7!$H$21*COS(RADIANS(skemA7!$H$28*E43-skemA7!$H$22))</f>
        <v>-26.627018209927947</v>
      </c>
      <c r="J43" s="408">
        <f>skemA7!$I$21*COS(RADIANS(skemA7!$I$28*E43-skemA7!$I$22))</f>
        <v>12.09557220710078</v>
      </c>
      <c r="K43" s="408">
        <f>skemA7!$J$21*COS(RADIANS(skemA7!$J$28*E43-skemA7!$J$22))</f>
        <v>0.11864168169168697</v>
      </c>
      <c r="L43" s="408">
        <f>skemA7!$K$21*COS(RADIANS(skemA7!$K$28*E43-skemA7!$K$22))</f>
        <v>0.59526433286282321</v>
      </c>
      <c r="M43" s="408">
        <f>skemA7!$L$21*COS(RADIANS(skemA7!$L$28*E43-skemA7!$L$22))</f>
        <v>1.7238324129481368</v>
      </c>
      <c r="N43" s="408">
        <f>skemA7!$M$21*COS(RADIANS(skemA7!$M$28*E43-skemA7!$M$22))</f>
        <v>-9.0630161326174186</v>
      </c>
      <c r="O43" s="409">
        <f>skemA7!$D$21+'Forcasting Pasut'!F43+'Forcasting Pasut'!G43+K43+L43+'Forcasting Pasut'!H43+'Forcasting Pasut'!I43+'Forcasting Pasut'!J43+'Forcasting Pasut'!M43+'Forcasting Pasut'!N43</f>
        <v>151.42684616896065</v>
      </c>
      <c r="P43" s="405"/>
      <c r="Q43" s="406">
        <f>R42</f>
        <v>143.9</v>
      </c>
      <c r="R43" s="406"/>
      <c r="S43" s="406"/>
      <c r="T43" s="406"/>
      <c r="U43" s="406"/>
      <c r="V43" s="406"/>
      <c r="W43" s="406"/>
      <c r="X43" s="406"/>
      <c r="Y43" s="406"/>
      <c r="Z43" s="406"/>
      <c r="AA43" s="406"/>
      <c r="AB43" s="406"/>
      <c r="AC43" s="406"/>
      <c r="AD43" s="406"/>
      <c r="AE43" s="406"/>
      <c r="AF43" s="406"/>
      <c r="AG43" s="406"/>
      <c r="AH43" s="406"/>
      <c r="AI43" s="406"/>
      <c r="AJ43" s="406"/>
      <c r="AK43" s="406"/>
      <c r="AL43" s="406"/>
      <c r="AM43" s="406"/>
      <c r="AN43" s="406"/>
      <c r="AO43" s="407"/>
      <c r="AP43" s="407"/>
    </row>
    <row r="44" spans="1:42">
      <c r="A44" s="402"/>
      <c r="B44" s="77"/>
      <c r="D44" s="131"/>
      <c r="E44" s="113">
        <f t="shared" si="0"/>
        <v>26</v>
      </c>
      <c r="F44" s="408">
        <f>skemA7!$E$21*COS(RADIANS(skemA7!$E$28*E44-skemA7!$E$22))</f>
        <v>7.3919529019522781</v>
      </c>
      <c r="G44" s="408">
        <f>skemA7!$F$21*COS(RADIANS(skemA7!$F$28*E44-skemA7!$F$22))</f>
        <v>-4.7116383509439643</v>
      </c>
      <c r="H44" s="408">
        <f>skemA7!$G$21*COS(RADIANS(skemA7!$G$28*E44-skemA7!$G$22))</f>
        <v>-16.531006913211243</v>
      </c>
      <c r="I44" s="408">
        <f>skemA7!$H$21*COS(RADIANS(skemA7!$H$28*E44-skemA7!$H$22))</f>
        <v>-19.521438529812389</v>
      </c>
      <c r="J44" s="408">
        <f>skemA7!$I$21*COS(RADIANS(skemA7!$I$28*E44-skemA7!$I$22))</f>
        <v>5.7895514179302729</v>
      </c>
      <c r="K44" s="408">
        <f>skemA7!$J$21*COS(RADIANS(skemA7!$J$28*E44-skemA7!$J$22))</f>
        <v>-1.443810170134032</v>
      </c>
      <c r="L44" s="408">
        <f>skemA7!$K$21*COS(RADIANS(skemA7!$K$28*E44-skemA7!$K$22))</f>
        <v>-2.4804428004449224</v>
      </c>
      <c r="M44" s="408">
        <f>skemA7!$L$21*COS(RADIANS(skemA7!$L$28*E44-skemA7!$L$22))</f>
        <v>-1.4972811693589361</v>
      </c>
      <c r="N44" s="408">
        <f>skemA7!$M$21*COS(RADIANS(skemA7!$M$28*E44-skemA7!$M$22))</f>
        <v>-6.8053964869178714</v>
      </c>
      <c r="O44" s="409">
        <f>skemA7!$D$21+'Forcasting Pasut'!F44+'Forcasting Pasut'!G44+K44+L44+'Forcasting Pasut'!H44+'Forcasting Pasut'!I44+'Forcasting Pasut'!J44+'Forcasting Pasut'!M44+'Forcasting Pasut'!N44</f>
        <v>126.35880886457643</v>
      </c>
      <c r="P44" s="405"/>
      <c r="Q44" s="406">
        <f>S42</f>
        <v>184.7</v>
      </c>
      <c r="R44" s="406"/>
      <c r="S44" s="406"/>
      <c r="T44" s="406"/>
      <c r="U44" s="406"/>
      <c r="V44" s="406"/>
      <c r="W44" s="406"/>
      <c r="X44" s="406"/>
      <c r="Y44" s="406"/>
      <c r="Z44" s="406"/>
      <c r="AA44" s="406"/>
      <c r="AB44" s="406"/>
      <c r="AC44" s="406"/>
      <c r="AD44" s="406"/>
      <c r="AE44" s="406"/>
      <c r="AF44" s="406"/>
      <c r="AG44" s="406"/>
      <c r="AH44" s="406"/>
      <c r="AI44" s="406"/>
      <c r="AJ44" s="406"/>
      <c r="AK44" s="406"/>
      <c r="AL44" s="406"/>
      <c r="AM44" s="406"/>
      <c r="AN44" s="406"/>
      <c r="AO44" s="407"/>
      <c r="AP44" s="407"/>
    </row>
    <row r="45" spans="1:42">
      <c r="A45" s="402"/>
      <c r="B45" s="77"/>
      <c r="D45" s="131"/>
      <c r="E45" s="113">
        <f t="shared" si="0"/>
        <v>27</v>
      </c>
      <c r="F45" s="408">
        <f>skemA7!$E$21*COS(RADIANS(skemA7!$E$28*E45-skemA7!$E$22))</f>
        <v>-3.6648930469357492</v>
      </c>
      <c r="G45" s="408">
        <f>skemA7!$F$21*COS(RADIANS(skemA7!$F$28*E45-skemA7!$F$22))</f>
        <v>-15.33130895606889</v>
      </c>
      <c r="H45" s="408">
        <f>skemA7!$G$21*COS(RADIANS(skemA7!$G$28*E45-skemA7!$G$22))</f>
        <v>-11.71951755402036</v>
      </c>
      <c r="I45" s="408">
        <f>skemA7!$H$21*COS(RADIANS(skemA7!$H$28*E45-skemA7!$H$22))</f>
        <v>-11.078264404542926</v>
      </c>
      <c r="J45" s="408">
        <f>skemA7!$I$21*COS(RADIANS(skemA7!$I$28*E45-skemA7!$I$22))</f>
        <v>-0.85763699394144022</v>
      </c>
      <c r="K45" s="408">
        <f>skemA7!$J$21*COS(RADIANS(skemA7!$J$28*E45-skemA7!$J$22))</f>
        <v>-1.6502147798509688</v>
      </c>
      <c r="L45" s="408">
        <f>skemA7!$K$21*COS(RADIANS(skemA7!$K$28*E45-skemA7!$K$22))</f>
        <v>-3.1514966716182231</v>
      </c>
      <c r="M45" s="408">
        <f>skemA7!$L$21*COS(RADIANS(skemA7!$L$28*E45-skemA7!$L$22))</f>
        <v>-4.3150539524259415</v>
      </c>
      <c r="N45" s="408">
        <f>skemA7!$M$21*COS(RADIANS(skemA7!$M$28*E45-skemA7!$M$22))</f>
        <v>-4.0865177652962803</v>
      </c>
      <c r="O45" s="409">
        <f>skemA7!$D$21+'Forcasting Pasut'!F45+'Forcasting Pasut'!G45+K45+L45+'Forcasting Pasut'!H45+'Forcasting Pasut'!I45+'Forcasting Pasut'!J45+'Forcasting Pasut'!M45+'Forcasting Pasut'!N45</f>
        <v>110.31341484081648</v>
      </c>
      <c r="P45" s="405"/>
      <c r="Q45" s="406">
        <f>T42</f>
        <v>222.29999999999998</v>
      </c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  <c r="AC45" s="406"/>
      <c r="AD45" s="406"/>
      <c r="AE45" s="406"/>
      <c r="AF45" s="406"/>
      <c r="AG45" s="406"/>
      <c r="AH45" s="406"/>
      <c r="AI45" s="406"/>
      <c r="AJ45" s="406"/>
      <c r="AK45" s="406"/>
      <c r="AL45" s="406"/>
      <c r="AM45" s="406"/>
      <c r="AN45" s="406"/>
      <c r="AO45" s="407"/>
      <c r="AP45" s="407"/>
    </row>
    <row r="46" spans="1:42">
      <c r="A46" s="402"/>
      <c r="B46" s="77"/>
      <c r="D46" s="131"/>
      <c r="E46" s="113">
        <f t="shared" si="0"/>
        <v>28</v>
      </c>
      <c r="F46" s="408">
        <f>skemA7!$E$21*COS(RADIANS(skemA7!$E$28*E46-skemA7!$E$22))</f>
        <v>-13.803720357381975</v>
      </c>
      <c r="G46" s="408">
        <f>skemA7!$F$21*COS(RADIANS(skemA7!$F$28*E46-skemA7!$F$22))</f>
        <v>-21.842967707503146</v>
      </c>
      <c r="H46" s="408">
        <f>skemA7!$G$21*COS(RADIANS(skemA7!$G$28*E46-skemA7!$G$22))</f>
        <v>-4.0793189524179958</v>
      </c>
      <c r="I46" s="408">
        <f>skemA7!$H$21*COS(RADIANS(skemA7!$H$28*E46-skemA7!$H$22))</f>
        <v>-1.8760158439119328</v>
      </c>
      <c r="J46" s="408">
        <f>skemA7!$I$21*COS(RADIANS(skemA7!$I$28*E46-skemA7!$I$22))</f>
        <v>-7.4542864342690738</v>
      </c>
      <c r="K46" s="408">
        <f>skemA7!$J$21*COS(RADIANS(skemA7!$J$28*E46-skemA7!$J$22))</f>
        <v>-0.30671397444236914</v>
      </c>
      <c r="L46" s="408">
        <f>skemA7!$K$21*COS(RADIANS(skemA7!$K$28*E46-skemA7!$K$22))</f>
        <v>-0.76734735461346393</v>
      </c>
      <c r="M46" s="408">
        <f>skemA7!$L$21*COS(RADIANS(skemA7!$L$28*E46-skemA7!$L$22))</f>
        <v>-5.9704282858546502</v>
      </c>
      <c r="N46" s="408">
        <f>skemA7!$M$21*COS(RADIANS(skemA7!$M$28*E46-skemA7!$M$22))</f>
        <v>-1.090661293475556</v>
      </c>
      <c r="O46" s="409">
        <f>skemA7!$D$21+'Forcasting Pasut'!F46+'Forcasting Pasut'!G46+K46+L46+'Forcasting Pasut'!H46+'Forcasting Pasut'!I46+'Forcasting Pasut'!J46+'Forcasting Pasut'!M46+'Forcasting Pasut'!N46</f>
        <v>108.97685876164709</v>
      </c>
      <c r="P46" s="405"/>
      <c r="Q46" s="406">
        <f>U42</f>
        <v>249.10000000000002</v>
      </c>
      <c r="R46" s="406"/>
      <c r="S46" s="406"/>
      <c r="T46" s="406"/>
      <c r="U46" s="406"/>
      <c r="V46" s="406"/>
      <c r="W46" s="406"/>
      <c r="X46" s="406"/>
      <c r="Y46" s="406"/>
      <c r="Z46" s="406"/>
      <c r="AA46" s="406"/>
      <c r="AB46" s="406"/>
      <c r="AC46" s="406"/>
      <c r="AD46" s="406"/>
      <c r="AE46" s="406"/>
      <c r="AF46" s="406"/>
      <c r="AG46" s="406"/>
      <c r="AH46" s="406"/>
      <c r="AI46" s="406"/>
      <c r="AJ46" s="406"/>
      <c r="AK46" s="406"/>
      <c r="AL46" s="406"/>
      <c r="AM46" s="406"/>
      <c r="AN46" s="406"/>
      <c r="AO46" s="407"/>
      <c r="AP46" s="407"/>
    </row>
    <row r="47" spans="1:42">
      <c r="A47" s="402"/>
      <c r="B47" s="77"/>
      <c r="D47" s="131"/>
      <c r="E47" s="113">
        <f t="shared" si="0"/>
        <v>29</v>
      </c>
      <c r="F47" s="408">
        <f>skemA7!$E$21*COS(RADIANS(skemA7!$E$28*E47-skemA7!$E$22))</f>
        <v>-20.484855340760348</v>
      </c>
      <c r="G47" s="408">
        <f>skemA7!$F$21*COS(RADIANS(skemA7!$F$28*E47-skemA7!$F$22))</f>
        <v>-22.501820901412817</v>
      </c>
      <c r="H47" s="408">
        <f>skemA7!$G$21*COS(RADIANS(skemA7!$G$28*E47-skemA7!$G$22))</f>
        <v>4.5454941753591385</v>
      </c>
      <c r="I47" s="408">
        <f>skemA7!$H$21*COS(RADIANS(skemA7!$H$28*E47-skemA7!$H$22))</f>
        <v>7.4547759266882299</v>
      </c>
      <c r="J47" s="408">
        <f>skemA7!$I$21*COS(RADIANS(skemA7!$I$28*E47-skemA7!$I$22))</f>
        <v>-13.611668477499748</v>
      </c>
      <c r="K47" s="408">
        <f>skemA7!$J$21*COS(RADIANS(skemA7!$J$28*E47-skemA7!$J$22))</f>
        <v>1.3248569995813932</v>
      </c>
      <c r="L47" s="408">
        <f>skemA7!$K$21*COS(RADIANS(skemA7!$K$28*E47-skemA7!$K$22))</f>
        <v>2.3607031396853388</v>
      </c>
      <c r="M47" s="408">
        <f>skemA7!$L$21*COS(RADIANS(skemA7!$L$28*E47-skemA7!$L$22))</f>
        <v>-6.0174758962183041</v>
      </c>
      <c r="N47" s="408">
        <f>skemA7!$M$21*COS(RADIANS(skemA7!$M$28*E47-skemA7!$M$22))</f>
        <v>1.9791184863169449</v>
      </c>
      <c r="O47" s="409">
        <f>skemA7!$D$21+'Forcasting Pasut'!F47+'Forcasting Pasut'!G47+K47+L47+'Forcasting Pasut'!H47+'Forcasting Pasut'!I47+'Forcasting Pasut'!J47+'Forcasting Pasut'!M47+'Forcasting Pasut'!N47</f>
        <v>121.21744707725709</v>
      </c>
      <c r="P47" s="405"/>
      <c r="Q47" s="406">
        <f>V42</f>
        <v>258.10000000000002</v>
      </c>
      <c r="R47" s="406"/>
      <c r="S47" s="406"/>
      <c r="T47" s="406"/>
      <c r="U47" s="406"/>
      <c r="V47" s="406"/>
      <c r="W47" s="406"/>
      <c r="X47" s="406"/>
      <c r="Y47" s="406"/>
      <c r="Z47" s="406"/>
      <c r="AA47" s="406"/>
      <c r="AB47" s="406"/>
      <c r="AC47" s="406"/>
      <c r="AD47" s="406"/>
      <c r="AE47" s="406"/>
      <c r="AF47" s="406"/>
      <c r="AG47" s="406"/>
      <c r="AH47" s="406"/>
      <c r="AI47" s="406"/>
      <c r="AJ47" s="406"/>
      <c r="AK47" s="406"/>
      <c r="AL47" s="406"/>
      <c r="AM47" s="406"/>
      <c r="AN47" s="406"/>
      <c r="AO47" s="407"/>
      <c r="AP47" s="407"/>
    </row>
    <row r="48" spans="1:42">
      <c r="A48" s="402"/>
      <c r="B48" s="77"/>
      <c r="D48" s="131"/>
      <c r="E48" s="113">
        <f t="shared" si="0"/>
        <v>30</v>
      </c>
      <c r="F48" s="408">
        <f>skemA7!$E$21*COS(RADIANS(skemA7!$E$28*E48-skemA7!$E$22))</f>
        <v>-22.034741262362068</v>
      </c>
      <c r="G48" s="408">
        <f>skemA7!$F$21*COS(RADIANS(skemA7!$F$28*E48-skemA7!$F$22))</f>
        <v>-17.131329356559185</v>
      </c>
      <c r="H48" s="408">
        <f>skemA7!$G$21*COS(RADIANS(skemA7!$G$28*E48-skemA7!$G$22))</f>
        <v>12.073173284956948</v>
      </c>
      <c r="I48" s="408">
        <f>skemA7!$H$21*COS(RADIANS(skemA7!$H$28*E48-skemA7!$H$22))</f>
        <v>16.274771996747312</v>
      </c>
      <c r="J48" s="408">
        <f>skemA7!$I$21*COS(RADIANS(skemA7!$I$28*E48-skemA7!$I$22))</f>
        <v>-18.966939918329849</v>
      </c>
      <c r="K48" s="408">
        <f>skemA7!$J$21*COS(RADIANS(skemA7!$J$28*E48-skemA7!$J$22))</f>
        <v>1.7121032572166541</v>
      </c>
      <c r="L48" s="408">
        <f>skemA7!$K$21*COS(RADIANS(skemA7!$K$28*E48-skemA7!$K$22))</f>
        <v>3.2001814061717693</v>
      </c>
      <c r="M48" s="408">
        <f>skemA7!$L$21*COS(RADIANS(skemA7!$L$28*E48-skemA7!$L$22))</f>
        <v>-4.4435229977545836</v>
      </c>
      <c r="N48" s="408">
        <f>skemA7!$M$21*COS(RADIANS(skemA7!$M$28*E48-skemA7!$M$22))</f>
        <v>4.9147567262456553</v>
      </c>
      <c r="O48" s="409">
        <f>skemA7!$D$21+'Forcasting Pasut'!F48+'Forcasting Pasut'!G48+K48+L48+'Forcasting Pasut'!H48+'Forcasting Pasut'!I48+'Forcasting Pasut'!J48+'Forcasting Pasut'!M48+'Forcasting Pasut'!N48</f>
        <v>141.76677210184991</v>
      </c>
      <c r="P48" s="405"/>
      <c r="Q48" s="406">
        <f>W42</f>
        <v>251.9</v>
      </c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  <c r="AC48" s="406"/>
      <c r="AD48" s="406"/>
      <c r="AE48" s="406"/>
      <c r="AF48" s="406"/>
      <c r="AG48" s="406"/>
      <c r="AH48" s="406"/>
      <c r="AI48" s="406"/>
      <c r="AJ48" s="406"/>
      <c r="AK48" s="406"/>
      <c r="AL48" s="406"/>
      <c r="AM48" s="406"/>
      <c r="AN48" s="406"/>
      <c r="AO48" s="407"/>
      <c r="AP48" s="407"/>
    </row>
    <row r="49" spans="1:42">
      <c r="A49" s="402"/>
      <c r="B49" s="77"/>
      <c r="D49" s="131"/>
      <c r="E49" s="113">
        <f t="shared" si="0"/>
        <v>31</v>
      </c>
      <c r="F49" s="408">
        <f>skemA7!$E$21*COS(RADIANS(skemA7!$E$28*E49-skemA7!$E$22))</f>
        <v>-18.065147375677817</v>
      </c>
      <c r="G49" s="408">
        <f>skemA7!$F$21*COS(RADIANS(skemA7!$F$28*E49-skemA7!$F$22))</f>
        <v>-7.1705119453439057</v>
      </c>
      <c r="H49" s="408">
        <f>skemA7!$G$21*COS(RADIANS(skemA7!$G$28*E49-skemA7!$G$22))</f>
        <v>16.686782195079921</v>
      </c>
      <c r="I49" s="408">
        <f>skemA7!$H$21*COS(RADIANS(skemA7!$H$28*E49-skemA7!$H$22))</f>
        <v>23.979632797151393</v>
      </c>
      <c r="J49" s="408">
        <f>skemA7!$I$21*COS(RADIANS(skemA7!$I$28*E49-skemA7!$I$22))</f>
        <v>-23.204524454814944</v>
      </c>
      <c r="K49" s="408">
        <f>skemA7!$J$21*COS(RADIANS(skemA7!$J$28*E49-skemA7!$J$22))</f>
        <v>0.49131755318580445</v>
      </c>
      <c r="L49" s="408">
        <f>skemA7!$K$21*COS(RADIANS(skemA7!$K$28*E49-skemA7!$K$22))</f>
        <v>0.93725930430757409</v>
      </c>
      <c r="M49" s="408">
        <f>skemA7!$L$21*COS(RADIANS(skemA7!$L$28*E49-skemA7!$L$22))</f>
        <v>-1.6725643838424553</v>
      </c>
      <c r="N49" s="408">
        <f>skemA7!$M$21*COS(RADIANS(skemA7!$M$28*E49-skemA7!$M$22))</f>
        <v>7.5172804811788794</v>
      </c>
      <c r="O49" s="409">
        <f>skemA7!$D$21+'Forcasting Pasut'!F49+'Forcasting Pasut'!G49+K49+L49+'Forcasting Pasut'!H49+'Forcasting Pasut'!I49+'Forcasting Pasut'!J49+'Forcasting Pasut'!M49+'Forcasting Pasut'!N49</f>
        <v>165.66784313674171</v>
      </c>
      <c r="P49" s="405"/>
      <c r="Q49" s="406">
        <f>X42</f>
        <v>232.6</v>
      </c>
      <c r="R49" s="406"/>
      <c r="S49" s="406"/>
      <c r="T49" s="406"/>
      <c r="U49" s="406"/>
      <c r="V49" s="406"/>
      <c r="W49" s="406"/>
      <c r="X49" s="406"/>
      <c r="Y49" s="406"/>
      <c r="Z49" s="406"/>
      <c r="AA49" s="406"/>
      <c r="AB49" s="406"/>
      <c r="AC49" s="406"/>
      <c r="AD49" s="406"/>
      <c r="AE49" s="406"/>
      <c r="AF49" s="406"/>
      <c r="AG49" s="406"/>
      <c r="AH49" s="406"/>
      <c r="AI49" s="406"/>
      <c r="AJ49" s="406"/>
      <c r="AK49" s="406"/>
      <c r="AL49" s="406"/>
      <c r="AM49" s="406"/>
      <c r="AN49" s="406"/>
      <c r="AO49" s="407"/>
      <c r="AP49" s="407"/>
    </row>
    <row r="50" spans="1:42">
      <c r="A50" s="402"/>
      <c r="B50" s="77"/>
      <c r="D50" s="131"/>
      <c r="E50" s="113">
        <f t="shared" si="0"/>
        <v>32</v>
      </c>
      <c r="F50" s="408">
        <f>skemA7!$E$21*COS(RADIANS(skemA7!$E$28*E50-skemA7!$E$22))</f>
        <v>-9.5704167975053061</v>
      </c>
      <c r="G50" s="408">
        <f>skemA7!$F$21*COS(RADIANS(skemA7!$F$28*E50-skemA7!$F$22))</f>
        <v>4.7116383509439617</v>
      </c>
      <c r="H50" s="408">
        <f>skemA7!$G$21*COS(RADIANS(skemA7!$G$28*E50-skemA7!$G$22))</f>
        <v>17.27274621250535</v>
      </c>
      <c r="I50" s="408">
        <f>skemA7!$H$21*COS(RADIANS(skemA7!$H$28*E50-skemA7!$H$22))</f>
        <v>30.041426997862239</v>
      </c>
      <c r="J50" s="408">
        <f>skemA7!$I$21*COS(RADIANS(skemA7!$I$28*E50-skemA7!$I$22))</f>
        <v>-26.074709019750795</v>
      </c>
      <c r="K50" s="408">
        <f>skemA7!$J$21*COS(RADIANS(skemA7!$J$28*E50-skemA7!$J$22))</f>
        <v>-1.1909206511660497</v>
      </c>
      <c r="L50" s="408">
        <f>skemA7!$K$21*COS(RADIANS(skemA7!$K$28*E50-skemA7!$K$22))</f>
        <v>-2.2342842917369281</v>
      </c>
      <c r="M50" s="408">
        <f>skemA7!$L$21*COS(RADIANS(skemA7!$L$28*E50-skemA7!$L$22))</f>
        <v>1.5489531959907465</v>
      </c>
      <c r="N50" s="408">
        <f>skemA7!$M$21*COS(RADIANS(skemA7!$M$28*E50-skemA7!$M$22))</f>
        <v>9.6102947821279194</v>
      </c>
      <c r="O50" s="409">
        <f>skemA7!$D$21+'Forcasting Pasut'!F50+'Forcasting Pasut'!G50+K50+L50+'Forcasting Pasut'!H50+'Forcasting Pasut'!I50+'Forcasting Pasut'!J50+'Forcasting Pasut'!M50+'Forcasting Pasut'!N50</f>
        <v>190.28304774478835</v>
      </c>
      <c r="P50" s="405"/>
      <c r="Q50" s="406">
        <f>Y42</f>
        <v>202.4</v>
      </c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  <c r="AC50" s="406"/>
      <c r="AD50" s="406"/>
      <c r="AE50" s="406"/>
      <c r="AF50" s="406"/>
      <c r="AG50" s="406"/>
      <c r="AH50" s="406"/>
      <c r="AI50" s="406"/>
      <c r="AJ50" s="406"/>
      <c r="AK50" s="406"/>
      <c r="AL50" s="406"/>
      <c r="AM50" s="406"/>
      <c r="AN50" s="406"/>
      <c r="AO50" s="407"/>
      <c r="AP50" s="407"/>
    </row>
    <row r="51" spans="1:42">
      <c r="A51" s="402"/>
      <c r="B51" s="77"/>
      <c r="D51" s="131"/>
      <c r="E51" s="113">
        <f t="shared" si="0"/>
        <v>33</v>
      </c>
      <c r="F51" s="408">
        <f>skemA7!$E$21*COS(RADIANS(skemA7!$E$28*E51-skemA7!$E$22))</f>
        <v>1.3216063851844235</v>
      </c>
      <c r="G51" s="408">
        <f>skemA7!$F$21*COS(RADIANS(skemA7!$F$28*E51-skemA7!$F$22))</f>
        <v>15.33130895606889</v>
      </c>
      <c r="H51" s="408">
        <f>skemA7!$G$21*COS(RADIANS(skemA7!$G$28*E51-skemA7!$G$22))</f>
        <v>13.689632737796282</v>
      </c>
      <c r="I51" s="408">
        <f>skemA7!$H$21*COS(RADIANS(skemA7!$H$28*E51-skemA7!$H$22))</f>
        <v>34.044804969898614</v>
      </c>
      <c r="J51" s="408">
        <f>skemA7!$I$21*COS(RADIANS(skemA7!$I$28*E51-skemA7!$I$22))</f>
        <v>-27.408358912701019</v>
      </c>
      <c r="K51" s="408">
        <f>skemA7!$J$21*COS(RADIANS(skemA7!$J$28*E51-skemA7!$J$22))</f>
        <v>-1.7546290806277625</v>
      </c>
      <c r="L51" s="408">
        <f>skemA7!$K$21*COS(RADIANS(skemA7!$K$28*E51-skemA7!$K$22))</f>
        <v>-3.2398117999695115</v>
      </c>
      <c r="M51" s="408">
        <f>skemA7!$L$21*COS(RADIANS(skemA7!$L$28*E51-skemA7!$L$22))</f>
        <v>4.3532104556906042</v>
      </c>
      <c r="N51" s="408">
        <f>skemA7!$M$21*COS(RADIANS(skemA7!$M$28*E51-skemA7!$M$22))</f>
        <v>11.051938409955397</v>
      </c>
      <c r="O51" s="409">
        <f>skemA7!$D$21+'Forcasting Pasut'!F51+'Forcasting Pasut'!G51+K51+L51+'Forcasting Pasut'!H51+'Forcasting Pasut'!I51+'Forcasting Pasut'!J51+'Forcasting Pasut'!M51+'Forcasting Pasut'!N51</f>
        <v>213.55802108681317</v>
      </c>
      <c r="P51" s="405"/>
      <c r="Q51" s="406">
        <f>Z42</f>
        <v>171.9</v>
      </c>
      <c r="R51" s="406"/>
      <c r="S51" s="406"/>
      <c r="T51" s="406"/>
      <c r="U51" s="406"/>
      <c r="V51" s="406"/>
      <c r="W51" s="406"/>
      <c r="X51" s="406"/>
      <c r="Y51" s="406"/>
      <c r="Z51" s="406"/>
      <c r="AA51" s="406"/>
      <c r="AB51" s="406"/>
      <c r="AC51" s="406"/>
      <c r="AD51" s="406"/>
      <c r="AE51" s="406"/>
      <c r="AF51" s="406"/>
      <c r="AG51" s="406"/>
      <c r="AH51" s="406"/>
      <c r="AI51" s="406"/>
      <c r="AJ51" s="406"/>
      <c r="AK51" s="406"/>
      <c r="AL51" s="406"/>
      <c r="AM51" s="406"/>
      <c r="AN51" s="406"/>
      <c r="AO51" s="407"/>
      <c r="AP51" s="407"/>
    </row>
    <row r="52" spans="1:42">
      <c r="A52" s="402"/>
      <c r="B52" s="77"/>
      <c r="D52" s="131"/>
      <c r="E52" s="113">
        <f t="shared" si="0"/>
        <v>34</v>
      </c>
      <c r="F52" s="408">
        <f>skemA7!$E$21*COS(RADIANS(skemA7!$E$28*E52-skemA7!$E$22))</f>
        <v>11.882580536225788</v>
      </c>
      <c r="G52" s="408">
        <f>skemA7!$F$21*COS(RADIANS(skemA7!$F$28*E52-skemA7!$F$22))</f>
        <v>21.842967707503142</v>
      </c>
      <c r="H52" s="408">
        <f>skemA7!$G$21*COS(RADIANS(skemA7!$G$28*E52-skemA7!$G$22))</f>
        <v>6.8022884812204039</v>
      </c>
      <c r="I52" s="408">
        <f>skemA7!$H$21*COS(RADIANS(skemA7!$H$28*E52-skemA7!$H$22))</f>
        <v>35.715458232916227</v>
      </c>
      <c r="J52" s="408">
        <f>skemA7!$I$21*COS(RADIANS(skemA7!$I$28*E52-skemA7!$I$22))</f>
        <v>-27.126884596990205</v>
      </c>
      <c r="K52" s="408">
        <f>skemA7!$J$21*COS(RADIANS(skemA7!$J$28*E52-skemA7!$J$22))</f>
        <v>-0.67036468448715503</v>
      </c>
      <c r="L52" s="408">
        <f>skemA7!$K$21*COS(RADIANS(skemA7!$K$28*E52-skemA7!$K$22))</f>
        <v>-1.1045194464818533</v>
      </c>
      <c r="M52" s="408">
        <f>skemA7!$L$21*COS(RADIANS(skemA7!$L$28*E52-skemA7!$L$22))</f>
        <v>5.9847905854094616</v>
      </c>
      <c r="N52" s="408">
        <f>skemA7!$M$21*COS(RADIANS(skemA7!$M$28*E52-skemA7!$M$22))</f>
        <v>11.744499025805101</v>
      </c>
      <c r="O52" s="409">
        <f>skemA7!$D$21+'Forcasting Pasut'!F52+'Forcasting Pasut'!G52+K52+L52+'Forcasting Pasut'!H52+'Forcasting Pasut'!I52+'Forcasting Pasut'!J52+'Forcasting Pasut'!M52+'Forcasting Pasut'!N52</f>
        <v>231.23913480663816</v>
      </c>
      <c r="P52" s="405"/>
      <c r="Q52" s="406">
        <f>AA42</f>
        <v>144.1</v>
      </c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  <c r="AC52" s="406"/>
      <c r="AD52" s="406"/>
      <c r="AE52" s="406"/>
      <c r="AF52" s="406"/>
      <c r="AG52" s="406"/>
      <c r="AH52" s="406"/>
      <c r="AI52" s="406"/>
      <c r="AJ52" s="406"/>
      <c r="AK52" s="406"/>
      <c r="AL52" s="406"/>
      <c r="AM52" s="406"/>
      <c r="AN52" s="406"/>
      <c r="AO52" s="407"/>
      <c r="AP52" s="407"/>
    </row>
    <row r="53" spans="1:42">
      <c r="A53" s="402"/>
      <c r="B53" s="77"/>
      <c r="D53" s="131"/>
      <c r="E53" s="113">
        <f t="shared" si="0"/>
        <v>35</v>
      </c>
      <c r="F53" s="408">
        <f>skemA7!$E$21*COS(RADIANS(skemA7!$E$28*E53-skemA7!$E$22))</f>
        <v>19.467088453372323</v>
      </c>
      <c r="G53" s="408">
        <f>skemA7!$F$21*COS(RADIANS(skemA7!$F$28*E53-skemA7!$F$22))</f>
        <v>22.501820901412817</v>
      </c>
      <c r="H53" s="408">
        <f>skemA7!$G$21*COS(RADIANS(skemA7!$G$28*E53-skemA7!$G$22))</f>
        <v>-1.7269063214793812</v>
      </c>
      <c r="I53" s="408">
        <f>skemA7!$H$21*COS(RADIANS(skemA7!$H$28*E53-skemA7!$H$22))</f>
        <v>34.938914868210027</v>
      </c>
      <c r="J53" s="408">
        <f>skemA7!$I$21*COS(RADIANS(skemA7!$I$28*E53-skemA7!$I$22))</f>
        <v>-25.246872836636928</v>
      </c>
      <c r="K53" s="408">
        <f>skemA7!$J$21*COS(RADIANS(skemA7!$J$28*E53-skemA7!$J$22))</f>
        <v>1.0435158484628644</v>
      </c>
      <c r="L53" s="408">
        <f>skemA7!$K$21*COS(RADIANS(skemA7!$K$28*E53-skemA7!$K$22))</f>
        <v>2.1015439361128347</v>
      </c>
      <c r="M53" s="408">
        <f>skemA7!$L$21*COS(RADIANS(skemA7!$L$28*E53-skemA7!$L$22))</f>
        <v>6.0041750451347138</v>
      </c>
      <c r="N53" s="408">
        <f>skemA7!$M$21*COS(RADIANS(skemA7!$M$28*E53-skemA7!$M$22))</f>
        <v>11.641035959827606</v>
      </c>
      <c r="O53" s="409">
        <f>skemA7!$D$21+'Forcasting Pasut'!F53+'Forcasting Pasut'!G53+K53+L53+'Forcasting Pasut'!H53+'Forcasting Pasut'!I53+'Forcasting Pasut'!J53+'Forcasting Pasut'!M53+'Forcasting Pasut'!N53</f>
        <v>236.89263481993413</v>
      </c>
      <c r="P53" s="405"/>
      <c r="Q53" s="406">
        <f>AB42</f>
        <v>125.29999999999998</v>
      </c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  <c r="AC53" s="406"/>
      <c r="AD53" s="406"/>
      <c r="AE53" s="406"/>
      <c r="AF53" s="406"/>
      <c r="AG53" s="406"/>
      <c r="AH53" s="406"/>
      <c r="AI53" s="406"/>
      <c r="AJ53" s="406"/>
      <c r="AK53" s="406"/>
      <c r="AL53" s="406"/>
      <c r="AM53" s="406"/>
      <c r="AN53" s="406"/>
      <c r="AO53" s="407"/>
      <c r="AP53" s="407"/>
    </row>
    <row r="54" spans="1:42">
      <c r="A54" s="402"/>
      <c r="B54" s="77"/>
      <c r="D54" s="131"/>
      <c r="E54" s="113">
        <f t="shared" si="0"/>
        <v>36</v>
      </c>
      <c r="F54" s="408">
        <f>skemA7!$E$21*COS(RADIANS(skemA7!$E$28*E54-skemA7!$E$22))</f>
        <v>22.175287619481221</v>
      </c>
      <c r="G54" s="408">
        <f>skemA7!$F$21*COS(RADIANS(skemA7!$F$28*E54-skemA7!$F$22))</f>
        <v>17.131329356559188</v>
      </c>
      <c r="H54" s="408">
        <f>skemA7!$G$21*COS(RADIANS(skemA7!$G$28*E54-skemA7!$G$22))</f>
        <v>-9.8392822705163976</v>
      </c>
      <c r="I54" s="408">
        <f>skemA7!$H$21*COS(RADIANS(skemA7!$H$28*E54-skemA7!$H$22))</f>
        <v>31.768383049422859</v>
      </c>
      <c r="J54" s="408">
        <f>skemA7!$I$21*COS(RADIANS(skemA7!$I$28*E54-skemA7!$I$22))</f>
        <v>-21.879109268839859</v>
      </c>
      <c r="K54" s="408">
        <f>skemA7!$J$21*COS(RADIANS(skemA7!$J$28*E54-skemA7!$J$22))</f>
        <v>1.7773113136691736</v>
      </c>
      <c r="L54" s="408">
        <f>skemA7!$K$21*COS(RADIANS(skemA7!$K$28*E54-skemA7!$K$22))</f>
        <v>3.2702757259023372</v>
      </c>
      <c r="M54" s="408">
        <f>skemA7!$L$21*COS(RADIANS(skemA7!$L$28*E54-skemA7!$L$22))</f>
        <v>4.4061420077049629</v>
      </c>
      <c r="N54" s="408">
        <f>skemA7!$M$21*COS(RADIANS(skemA7!$M$28*E54-skemA7!$M$22))</f>
        <v>10.748561775992782</v>
      </c>
      <c r="O54" s="409">
        <f>skemA7!$D$21+'Forcasting Pasut'!F54+'Forcasting Pasut'!G54+K54+L54+'Forcasting Pasut'!H54+'Forcasting Pasut'!I54+'Forcasting Pasut'!J54+'Forcasting Pasut'!M54+'Forcasting Pasut'!N54</f>
        <v>225.72721827489349</v>
      </c>
      <c r="P54" s="405"/>
      <c r="Q54" s="406">
        <f>AC42</f>
        <v>123.2</v>
      </c>
      <c r="R54" s="406"/>
      <c r="S54" s="406"/>
      <c r="T54" s="406"/>
      <c r="U54" s="406"/>
      <c r="V54" s="406"/>
      <c r="W54" s="406"/>
      <c r="X54" s="406"/>
      <c r="Y54" s="406"/>
      <c r="Z54" s="406"/>
      <c r="AA54" s="406"/>
      <c r="AB54" s="406"/>
      <c r="AC54" s="406"/>
      <c r="AD54" s="406"/>
      <c r="AE54" s="406"/>
      <c r="AF54" s="406"/>
      <c r="AG54" s="406"/>
      <c r="AH54" s="406"/>
      <c r="AI54" s="406"/>
      <c r="AJ54" s="406"/>
      <c r="AK54" s="406"/>
      <c r="AL54" s="406"/>
      <c r="AM54" s="406"/>
      <c r="AN54" s="406"/>
      <c r="AO54" s="407"/>
      <c r="AP54" s="407"/>
    </row>
    <row r="55" spans="1:42">
      <c r="A55" s="402"/>
      <c r="B55" s="77"/>
      <c r="D55" s="131"/>
      <c r="E55" s="113">
        <f t="shared" si="0"/>
        <v>37</v>
      </c>
      <c r="F55" s="408">
        <f>skemA7!$E$21*COS(RADIANS(skemA7!$E$28*E55-skemA7!$E$22))</f>
        <v>19.328801536450026</v>
      </c>
      <c r="G55" s="408">
        <f>skemA7!$F$21*COS(RADIANS(skemA7!$F$28*E55-skemA7!$F$22))</f>
        <v>7.1705119453439083</v>
      </c>
      <c r="H55" s="408">
        <f>skemA7!$G$21*COS(RADIANS(skemA7!$G$28*E55-skemA7!$G$22))</f>
        <v>-15.576776440588297</v>
      </c>
      <c r="I55" s="408">
        <f>skemA7!$H$21*COS(RADIANS(skemA7!$H$28*E55-skemA7!$H$22))</f>
        <v>26.421105258071432</v>
      </c>
      <c r="J55" s="408">
        <f>skemA7!$I$21*COS(RADIANS(skemA7!$I$28*E55-skemA7!$I$22))</f>
        <v>-17.222050010023974</v>
      </c>
      <c r="K55" s="408">
        <f>skemA7!$J$21*COS(RADIANS(skemA7!$J$28*E55-skemA7!$J$22))</f>
        <v>0.84183047432771352</v>
      </c>
      <c r="L55" s="408">
        <f>skemA7!$K$21*COS(RADIANS(skemA7!$K$28*E55-skemA7!$K$22))</f>
        <v>1.2686545484879304</v>
      </c>
      <c r="M55" s="408">
        <f>skemA7!$L$21*COS(RADIANS(skemA7!$L$28*E55-skemA7!$L$22))</f>
        <v>1.6211730257633044</v>
      </c>
      <c r="N55" s="408">
        <f>skemA7!$M$21*COS(RADIANS(skemA7!$M$28*E55-skemA7!$M$22))</f>
        <v>9.127566971527548</v>
      </c>
      <c r="O55" s="409">
        <f>skemA7!$D$21+'Forcasting Pasut'!F55+'Forcasting Pasut'!G55+K55+L55+'Forcasting Pasut'!H55+'Forcasting Pasut'!I55+'Forcasting Pasut'!J55+'Forcasting Pasut'!M55+'Forcasting Pasut'!N55</f>
        <v>199.14913627487684</v>
      </c>
      <c r="P55" s="405"/>
      <c r="Q55" s="406">
        <f>AD42</f>
        <v>133.20000000000002</v>
      </c>
      <c r="R55" s="406"/>
      <c r="S55" s="406"/>
      <c r="T55" s="406"/>
      <c r="U55" s="406"/>
      <c r="V55" s="406"/>
      <c r="W55" s="406"/>
      <c r="X55" s="406"/>
      <c r="Y55" s="406"/>
      <c r="Z55" s="406"/>
      <c r="AA55" s="406"/>
      <c r="AB55" s="406"/>
      <c r="AC55" s="406"/>
      <c r="AD55" s="406"/>
      <c r="AE55" s="406"/>
      <c r="AF55" s="406"/>
      <c r="AG55" s="406"/>
      <c r="AH55" s="406"/>
      <c r="AI55" s="406"/>
      <c r="AJ55" s="406"/>
      <c r="AK55" s="406"/>
      <c r="AL55" s="406"/>
      <c r="AM55" s="406"/>
      <c r="AN55" s="406"/>
      <c r="AO55" s="407"/>
      <c r="AP55" s="407"/>
    </row>
    <row r="56" spans="1:42">
      <c r="A56" s="402"/>
      <c r="B56" s="77"/>
      <c r="D56" s="131"/>
      <c r="E56" s="113">
        <f t="shared" si="0"/>
        <v>38</v>
      </c>
      <c r="F56" s="408">
        <f>skemA7!$E$21*COS(RADIANS(skemA7!$E$28*E56-skemA7!$E$22))</f>
        <v>11.640646176319891</v>
      </c>
      <c r="G56" s="408">
        <f>skemA7!$F$21*COS(RADIANS(skemA7!$F$28*E56-skemA7!$F$22))</f>
        <v>-4.7116383509439581</v>
      </c>
      <c r="H56" s="408">
        <f>skemA7!$G$21*COS(RADIANS(skemA7!$G$28*E56-skemA7!$G$22))</f>
        <v>-17.554544898286192</v>
      </c>
      <c r="I56" s="408">
        <f>skemA7!$H$21*COS(RADIANS(skemA7!$H$28*E56-skemA7!$H$22))</f>
        <v>19.263472990329799</v>
      </c>
      <c r="J56" s="408">
        <f>skemA7!$I$21*COS(RADIANS(skemA7!$I$28*E56-skemA7!$I$22))</f>
        <v>-11.550127001701684</v>
      </c>
      <c r="K56" s="408">
        <f>skemA7!$J$21*COS(RADIANS(skemA7!$J$28*E56-skemA7!$J$22))</f>
        <v>-0.88430963355820857</v>
      </c>
      <c r="L56" s="408">
        <f>skemA7!$K$21*COS(RADIANS(skemA7!$K$28*E56-skemA7!$K$22))</f>
        <v>-1.9628576379011895</v>
      </c>
      <c r="M56" s="408">
        <f>skemA7!$L$21*COS(RADIANS(skemA7!$L$28*E56-skemA7!$L$22))</f>
        <v>-1.6005110083002718</v>
      </c>
      <c r="N56" s="408">
        <f>skemA7!$M$21*COS(RADIANS(skemA7!$M$28*E56-skemA7!$M$22))</f>
        <v>6.887920026103771</v>
      </c>
      <c r="O56" s="409">
        <f>skemA7!$D$21+'Forcasting Pasut'!F56+'Forcasting Pasut'!G56+K56+L56+'Forcasting Pasut'!H56+'Forcasting Pasut'!I56+'Forcasting Pasut'!J56+'Forcasting Pasut'!M56+'Forcasting Pasut'!N56</f>
        <v>165.6963696275792</v>
      </c>
      <c r="P56" s="405"/>
      <c r="Q56" s="406">
        <f>AE42</f>
        <v>150</v>
      </c>
      <c r="R56" s="406"/>
      <c r="S56" s="406"/>
      <c r="T56" s="406"/>
      <c r="U56" s="406"/>
      <c r="V56" s="406"/>
      <c r="W56" s="406"/>
      <c r="X56" s="406"/>
      <c r="Y56" s="406"/>
      <c r="Z56" s="406"/>
      <c r="AA56" s="406"/>
      <c r="AB56" s="406"/>
      <c r="AC56" s="406"/>
      <c r="AD56" s="406"/>
      <c r="AE56" s="406"/>
      <c r="AF56" s="406"/>
      <c r="AG56" s="406"/>
      <c r="AH56" s="406"/>
      <c r="AI56" s="406"/>
      <c r="AJ56" s="406"/>
      <c r="AK56" s="406"/>
      <c r="AL56" s="406"/>
      <c r="AM56" s="406"/>
      <c r="AN56" s="406"/>
      <c r="AO56" s="407"/>
      <c r="AP56" s="407"/>
    </row>
    <row r="57" spans="1:42">
      <c r="A57" s="402"/>
      <c r="B57" s="77"/>
      <c r="D57" s="131"/>
      <c r="E57" s="113">
        <f t="shared" si="0"/>
        <v>39</v>
      </c>
      <c r="F57" s="408">
        <f>skemA7!$E$21*COS(RADIANS(skemA7!$E$28*E57-skemA7!$E$22))</f>
        <v>1.0366266923234422</v>
      </c>
      <c r="G57" s="408">
        <f>skemA7!$F$21*COS(RADIANS(skemA7!$F$28*E57-skemA7!$F$22))</f>
        <v>-15.331308956068888</v>
      </c>
      <c r="H57" s="408">
        <f>skemA7!$G$21*COS(RADIANS(skemA7!$G$28*E57-skemA7!$G$22))</f>
        <v>-15.295218853482632</v>
      </c>
      <c r="I57" s="408">
        <f>skemA7!$H$21*COS(RADIANS(skemA7!$H$28*E57-skemA7!$H$22))</f>
        <v>10.785921884286999</v>
      </c>
      <c r="J57" s="408">
        <f>skemA7!$I$21*COS(RADIANS(skemA7!$I$28*E57-skemA7!$I$22))</f>
        <v>-5.1975762406206103</v>
      </c>
      <c r="K57" s="408">
        <f>skemA7!$J$21*COS(RADIANS(skemA7!$J$28*E57-skemA7!$J$22))</f>
        <v>-1.7798934366318979</v>
      </c>
      <c r="L57" s="408">
        <f>skemA7!$K$21*COS(RADIANS(skemA7!$K$28*E57-skemA7!$K$22))</f>
        <v>-3.2914869917420053</v>
      </c>
      <c r="M57" s="408">
        <f>skemA7!$L$21*COS(RADIANS(skemA7!$L$28*E57-skemA7!$L$22))</f>
        <v>-4.3910459686353001</v>
      </c>
      <c r="N57" s="408">
        <f>skemA7!$M$21*COS(RADIANS(skemA7!$M$28*E57-skemA7!$M$22))</f>
        <v>4.1814206889974672</v>
      </c>
      <c r="O57" s="409">
        <f>skemA7!$D$21+'Forcasting Pasut'!F57+'Forcasting Pasut'!G57+K57+L57+'Forcasting Pasut'!H57+'Forcasting Pasut'!I57+'Forcasting Pasut'!J57+'Forcasting Pasut'!M57+'Forcasting Pasut'!N57</f>
        <v>136.88575778394383</v>
      </c>
      <c r="P57" s="405"/>
      <c r="Q57" s="406">
        <f>AF42</f>
        <v>169.3</v>
      </c>
      <c r="R57" s="406"/>
      <c r="S57" s="406"/>
      <c r="T57" s="406"/>
      <c r="U57" s="406"/>
      <c r="V57" s="406"/>
      <c r="W57" s="406"/>
      <c r="X57" s="406"/>
      <c r="Y57" s="406"/>
      <c r="Z57" s="406"/>
      <c r="AA57" s="406"/>
      <c r="AB57" s="406"/>
      <c r="AC57" s="406"/>
      <c r="AD57" s="406"/>
      <c r="AE57" s="406"/>
      <c r="AF57" s="406"/>
      <c r="AG57" s="406"/>
      <c r="AH57" s="406"/>
      <c r="AI57" s="406"/>
      <c r="AJ57" s="406"/>
      <c r="AK57" s="406"/>
      <c r="AL57" s="406"/>
      <c r="AM57" s="406"/>
      <c r="AN57" s="406"/>
      <c r="AO57" s="407"/>
      <c r="AP57" s="407"/>
    </row>
    <row r="58" spans="1:42">
      <c r="A58" s="402"/>
      <c r="B58" s="77"/>
      <c r="D58" s="131"/>
      <c r="E58" s="113">
        <f t="shared" si="0"/>
        <v>40</v>
      </c>
      <c r="F58" s="408">
        <f>skemA7!$E$21*COS(RADIANS(skemA7!$E$28*E58-skemA7!$E$22))</f>
        <v>-9.8270572927844846</v>
      </c>
      <c r="G58" s="408">
        <f>skemA7!$F$21*COS(RADIANS(skemA7!$F$28*E58-skemA7!$F$22))</f>
        <v>-21.842967707503142</v>
      </c>
      <c r="H58" s="408">
        <f>skemA7!$G$21*COS(RADIANS(skemA7!$G$28*E58-skemA7!$G$22))</f>
        <v>-9.3441259133165513</v>
      </c>
      <c r="I58" s="408">
        <f>skemA7!$H$21*COS(RADIANS(skemA7!$H$28*E58-skemA7!$H$22))</f>
        <v>1.5693274348833661</v>
      </c>
      <c r="J58" s="408">
        <f>skemA7!$I$21*COS(RADIANS(skemA7!$I$28*E58-skemA7!$I$22))</f>
        <v>1.4612581341320188</v>
      </c>
      <c r="K58" s="408">
        <f>skemA7!$J$21*COS(RADIANS(skemA7!$J$28*E58-skemA7!$J$22))</f>
        <v>-1.0037757681969461</v>
      </c>
      <c r="L58" s="408">
        <f>skemA7!$K$21*COS(RADIANS(skemA7!$K$28*E58-skemA7!$K$22))</f>
        <v>-1.4292002194194471</v>
      </c>
      <c r="M58" s="408">
        <f>skemA7!$L$21*COS(RADIANS(skemA7!$L$28*E58-skemA7!$L$22))</f>
        <v>-5.9987115877045705</v>
      </c>
      <c r="N58" s="408">
        <f>skemA7!$M$21*COS(RADIANS(skemA7!$M$28*E58-skemA7!$M$22))</f>
        <v>1.1915112307092388</v>
      </c>
      <c r="O58" s="409">
        <f>skemA7!$D$21+'Forcasting Pasut'!F58+'Forcasting Pasut'!G58+K58+L58+'Forcasting Pasut'!H58+'Forcasting Pasut'!I58+'Forcasting Pasut'!J58+'Forcasting Pasut'!M58+'Forcasting Pasut'!N58</f>
        <v>120.94457727631674</v>
      </c>
      <c r="P58" s="405"/>
      <c r="Q58" s="406">
        <f>AG42</f>
        <v>183.29999999999998</v>
      </c>
      <c r="R58" s="406"/>
      <c r="S58" s="406"/>
      <c r="T58" s="406"/>
      <c r="U58" s="406"/>
      <c r="V58" s="406"/>
      <c r="W58" s="406"/>
      <c r="X58" s="406"/>
      <c r="Y58" s="406"/>
      <c r="Z58" s="406"/>
      <c r="AA58" s="406"/>
      <c r="AB58" s="406"/>
      <c r="AC58" s="406"/>
      <c r="AD58" s="406"/>
      <c r="AE58" s="406"/>
      <c r="AF58" s="406"/>
      <c r="AG58" s="406"/>
      <c r="AH58" s="406"/>
      <c r="AI58" s="406"/>
      <c r="AJ58" s="406"/>
      <c r="AK58" s="406"/>
      <c r="AL58" s="406"/>
      <c r="AM58" s="406"/>
      <c r="AN58" s="406"/>
      <c r="AO58" s="407"/>
      <c r="AP58" s="407"/>
    </row>
    <row r="59" spans="1:42">
      <c r="A59" s="402"/>
      <c r="B59" s="77"/>
      <c r="D59" s="131"/>
      <c r="E59" s="113">
        <f t="shared" si="0"/>
        <v>41</v>
      </c>
      <c r="F59" s="408">
        <f>skemA7!$E$21*COS(RADIANS(skemA7!$E$28*E59-skemA7!$E$22))</f>
        <v>-18.229162825185828</v>
      </c>
      <c r="G59" s="408">
        <f>skemA7!$F$21*COS(RADIANS(skemA7!$F$28*E59-skemA7!$F$22))</f>
        <v>-22.50182090141282</v>
      </c>
      <c r="H59" s="408">
        <f>skemA7!$G$21*COS(RADIANS(skemA7!$G$28*E59-skemA7!$G$22))</f>
        <v>-1.1376657866243616</v>
      </c>
      <c r="I59" s="408">
        <f>skemA7!$H$21*COS(RADIANS(skemA7!$H$28*E59-skemA7!$H$22))</f>
        <v>-7.7547961628626139</v>
      </c>
      <c r="J59" s="408">
        <f>skemA7!$I$21*COS(RADIANS(skemA7!$I$28*E59-skemA7!$I$22))</f>
        <v>8.0339832531258963</v>
      </c>
      <c r="K59" s="408">
        <f>skemA7!$J$21*COS(RADIANS(skemA7!$J$28*E59-skemA7!$J$22))</f>
        <v>0.71510251400535363</v>
      </c>
      <c r="L59" s="408">
        <f>skemA7!$K$21*COS(RADIANS(skemA7!$K$28*E59-skemA7!$K$22))</f>
        <v>1.8186177851708945</v>
      </c>
      <c r="M59" s="408">
        <f>skemA7!$L$21*COS(RADIANS(skemA7!$L$28*E59-skemA7!$L$22))</f>
        <v>-5.9904314674500254</v>
      </c>
      <c r="N59" s="408">
        <f>skemA7!$M$21*COS(RADIANS(skemA7!$M$28*E59-skemA7!$M$22))</f>
        <v>-1.8791569857621522</v>
      </c>
      <c r="O59" s="409">
        <f>skemA7!$D$21+'Forcasting Pasut'!F59+'Forcasting Pasut'!G59+K59+L59+'Forcasting Pasut'!H59+'Forcasting Pasut'!I59+'Forcasting Pasut'!J59+'Forcasting Pasut'!M59+'Forcasting Pasut'!N59</f>
        <v>119.24298838852158</v>
      </c>
      <c r="P59" s="405"/>
      <c r="Q59" s="406">
        <f>AH42</f>
        <v>184</v>
      </c>
      <c r="R59" s="406"/>
      <c r="S59" s="406"/>
      <c r="T59" s="406"/>
      <c r="U59" s="406"/>
      <c r="V59" s="406"/>
      <c r="W59" s="406"/>
      <c r="X59" s="406"/>
      <c r="Y59" s="406"/>
      <c r="Z59" s="406"/>
      <c r="AA59" s="406"/>
      <c r="AB59" s="406"/>
      <c r="AC59" s="406"/>
      <c r="AD59" s="406"/>
      <c r="AE59" s="406"/>
      <c r="AF59" s="406"/>
      <c r="AG59" s="406"/>
      <c r="AH59" s="406"/>
      <c r="AI59" s="406"/>
      <c r="AJ59" s="406"/>
      <c r="AK59" s="406"/>
      <c r="AL59" s="406"/>
      <c r="AM59" s="406"/>
      <c r="AN59" s="406"/>
      <c r="AO59" s="407"/>
      <c r="AP59" s="407"/>
    </row>
    <row r="60" spans="1:42">
      <c r="A60" s="402"/>
      <c r="B60" s="77"/>
      <c r="D60" s="131"/>
      <c r="E60" s="113">
        <f t="shared" si="0"/>
        <v>42</v>
      </c>
      <c r="F60" s="408">
        <f>skemA7!$E$21*COS(RADIANS(skemA7!$E$28*E60-skemA7!$E$22))</f>
        <v>-22.065047454987614</v>
      </c>
      <c r="G60" s="408">
        <f>skemA7!$F$21*COS(RADIANS(skemA7!$F$28*E60-skemA7!$F$22))</f>
        <v>-17.131329356559192</v>
      </c>
      <c r="H60" s="408">
        <f>skemA7!$G$21*COS(RADIANS(skemA7!$G$28*E60-skemA7!$G$22))</f>
        <v>7.3433897498674643</v>
      </c>
      <c r="I60" s="408">
        <f>skemA7!$H$21*COS(RADIANS(skemA7!$H$28*E60-skemA7!$H$22))</f>
        <v>-16.547566896683865</v>
      </c>
      <c r="J60" s="408">
        <f>skemA7!$I$21*COS(RADIANS(skemA7!$I$28*E60-skemA7!$I$22))</f>
        <v>14.133280507086699</v>
      </c>
      <c r="K60" s="408">
        <f>skemA7!$J$21*COS(RADIANS(skemA7!$J$28*E60-skemA7!$J$22))</f>
        <v>1.7623462475661218</v>
      </c>
      <c r="L60" s="408">
        <f>skemA7!$K$21*COS(RADIANS(skemA7!$K$28*E60-skemA7!$K$22))</f>
        <v>3.3033855840066595</v>
      </c>
      <c r="M60" s="408">
        <f>skemA7!$L$21*COS(RADIANS(skemA7!$L$28*E60-skemA7!$L$22))</f>
        <v>-4.3684361243502128</v>
      </c>
      <c r="N60" s="408">
        <f>skemA7!$M$21*COS(RADIANS(skemA7!$M$28*E60-skemA7!$M$22))</f>
        <v>-4.8224588957396994</v>
      </c>
      <c r="O60" s="409">
        <f>skemA7!$D$21+'Forcasting Pasut'!F60+'Forcasting Pasut'!G60+K60+L60+'Forcasting Pasut'!H60+'Forcasting Pasut'!I60+'Forcasting Pasut'!J60+'Forcasting Pasut'!M60+'Forcasting Pasut'!N60</f>
        <v>127.77588232572363</v>
      </c>
      <c r="P60" s="405"/>
      <c r="Q60" s="406">
        <f>AI42</f>
        <v>174.2</v>
      </c>
      <c r="R60" s="406"/>
      <c r="S60" s="406"/>
      <c r="T60" s="406"/>
      <c r="U60" s="406"/>
      <c r="V60" s="406"/>
      <c r="W60" s="406"/>
      <c r="X60" s="406"/>
      <c r="Y60" s="406"/>
      <c r="Z60" s="406"/>
      <c r="AA60" s="406"/>
      <c r="AB60" s="406"/>
      <c r="AC60" s="406"/>
      <c r="AD60" s="406"/>
      <c r="AE60" s="406"/>
      <c r="AF60" s="406"/>
      <c r="AG60" s="406"/>
      <c r="AH60" s="406"/>
      <c r="AI60" s="406"/>
      <c r="AJ60" s="406"/>
      <c r="AK60" s="406"/>
      <c r="AL60" s="406"/>
      <c r="AM60" s="406"/>
      <c r="AN60" s="406"/>
      <c r="AO60" s="407"/>
      <c r="AP60" s="407"/>
    </row>
    <row r="61" spans="1:42">
      <c r="A61" s="402"/>
      <c r="B61" s="77"/>
      <c r="D61" s="131"/>
      <c r="E61" s="113">
        <f t="shared" si="0"/>
        <v>43</v>
      </c>
      <c r="F61" s="408">
        <f>skemA7!$E$21*COS(RADIANS(skemA7!$E$28*E61-skemA7!$E$22))</f>
        <v>-20.373860881793078</v>
      </c>
      <c r="G61" s="408">
        <f>skemA7!$F$21*COS(RADIANS(skemA7!$F$28*E61-skemA7!$F$22))</f>
        <v>-7.1705119453439492</v>
      </c>
      <c r="H61" s="408">
        <f>skemA7!$G$21*COS(RADIANS(skemA7!$G$28*E61-skemA7!$G$22))</f>
        <v>14.051990544913576</v>
      </c>
      <c r="I61" s="408">
        <f>skemA7!$H$21*COS(RADIANS(skemA7!$H$28*E61-skemA7!$H$22))</f>
        <v>-24.206510657251393</v>
      </c>
      <c r="J61" s="408">
        <f>skemA7!$I$21*COS(RADIANS(skemA7!$I$28*E61-skemA7!$I$22))</f>
        <v>19.399729520570936</v>
      </c>
      <c r="K61" s="408">
        <f>skemA7!$J$21*COS(RADIANS(skemA7!$J$28*E61-skemA7!$J$22))</f>
        <v>1.154369081532491</v>
      </c>
      <c r="L61" s="408">
        <f>skemA7!$K$21*COS(RADIANS(skemA7!$K$28*E61-skemA7!$K$22))</f>
        <v>1.5857022240232377</v>
      </c>
      <c r="M61" s="408">
        <f>skemA7!$L$21*COS(RADIANS(skemA7!$L$28*E61-skemA7!$L$22))</f>
        <v>-1.5696621281274337</v>
      </c>
      <c r="N61" s="408">
        <f>skemA7!$M$21*COS(RADIANS(skemA7!$M$28*E61-skemA7!$M$22))</f>
        <v>-7.4389021225828831</v>
      </c>
      <c r="O61" s="409">
        <f>skemA7!$D$21+'Forcasting Pasut'!F61+'Forcasting Pasut'!G61+K61+L61+'Forcasting Pasut'!H61+'Forcasting Pasut'!I61+'Forcasting Pasut'!J61+'Forcasting Pasut'!M61+'Forcasting Pasut'!N61</f>
        <v>141.60066260145874</v>
      </c>
      <c r="P61" s="405"/>
      <c r="Q61" s="406">
        <f>AJ42</f>
        <v>158.29999999999998</v>
      </c>
      <c r="R61" s="406"/>
      <c r="S61" s="406"/>
      <c r="T61" s="406"/>
      <c r="U61" s="406"/>
      <c r="V61" s="406"/>
      <c r="W61" s="406"/>
      <c r="X61" s="406"/>
      <c r="Y61" s="406"/>
      <c r="Z61" s="406"/>
      <c r="AA61" s="406"/>
      <c r="AB61" s="406"/>
      <c r="AC61" s="406"/>
      <c r="AD61" s="406"/>
      <c r="AE61" s="406"/>
      <c r="AF61" s="406"/>
      <c r="AG61" s="406"/>
      <c r="AH61" s="406"/>
      <c r="AI61" s="406"/>
      <c r="AJ61" s="406"/>
      <c r="AK61" s="406"/>
      <c r="AL61" s="406"/>
      <c r="AM61" s="406"/>
      <c r="AN61" s="406"/>
      <c r="AO61" s="407"/>
      <c r="AP61" s="407"/>
    </row>
    <row r="62" spans="1:42">
      <c r="A62" s="402"/>
      <c r="B62" s="77"/>
      <c r="D62" s="131"/>
      <c r="E62" s="113">
        <f t="shared" si="0"/>
        <v>44</v>
      </c>
      <c r="F62" s="408">
        <f>skemA7!$E$21*COS(RADIANS(skemA7!$E$28*E62-skemA7!$E$22))</f>
        <v>-13.579228236101786</v>
      </c>
      <c r="G62" s="408">
        <f>skemA7!$F$21*COS(RADIANS(skemA7!$F$28*E62-skemA7!$F$22))</f>
        <v>4.7116383509439155</v>
      </c>
      <c r="H62" s="408">
        <f>skemA7!$G$21*COS(RADIANS(skemA7!$G$28*E62-skemA7!$G$22))</f>
        <v>17.368899203704498</v>
      </c>
      <c r="I62" s="408">
        <f>skemA7!$H$21*COS(RADIANS(skemA7!$H$28*E62-skemA7!$H$22))</f>
        <v>-30.206842315936587</v>
      </c>
      <c r="J62" s="408">
        <f>skemA7!$I$21*COS(RADIANS(skemA7!$I$28*E62-skemA7!$I$22))</f>
        <v>23.522988134004269</v>
      </c>
      <c r="K62" s="408">
        <f>skemA7!$J$21*COS(RADIANS(skemA7!$J$28*E62-skemA7!$J$22))</f>
        <v>-0.5378081003816706</v>
      </c>
      <c r="L62" s="408">
        <f>skemA7!$K$21*COS(RADIANS(skemA7!$K$28*E62-skemA7!$K$22))</f>
        <v>-1.6692324787798751</v>
      </c>
      <c r="M62" s="408">
        <f>skemA7!$L$21*COS(RADIANS(skemA7!$L$28*E62-skemA7!$L$22))</f>
        <v>1.6519508045970395</v>
      </c>
      <c r="N62" s="408">
        <f>skemA7!$M$21*COS(RADIANS(skemA7!$M$28*E62-skemA7!$M$22))</f>
        <v>-9.5511482573781752</v>
      </c>
      <c r="O62" s="409">
        <f>skemA7!$D$21+'Forcasting Pasut'!F62+'Forcasting Pasut'!G62+K62+L62+'Forcasting Pasut'!H62+'Forcasting Pasut'!I62+'Forcasting Pasut'!J62+'Forcasting Pasut'!M62+'Forcasting Pasut'!N62</f>
        <v>157.87953607018889</v>
      </c>
      <c r="P62" s="405"/>
      <c r="Q62" s="406">
        <f>AK42</f>
        <v>133.20000000000002</v>
      </c>
      <c r="R62" s="406"/>
      <c r="S62" s="406"/>
      <c r="T62" s="406"/>
      <c r="U62" s="406"/>
      <c r="V62" s="406"/>
      <c r="W62" s="406"/>
      <c r="X62" s="406"/>
      <c r="Y62" s="406"/>
      <c r="Z62" s="406"/>
      <c r="AA62" s="406"/>
      <c r="AB62" s="406"/>
      <c r="AC62" s="406"/>
      <c r="AD62" s="406"/>
      <c r="AE62" s="406"/>
      <c r="AF62" s="406"/>
      <c r="AG62" s="406"/>
      <c r="AH62" s="406"/>
      <c r="AI62" s="406"/>
      <c r="AJ62" s="406"/>
      <c r="AK62" s="406"/>
      <c r="AL62" s="406"/>
      <c r="AM62" s="406"/>
      <c r="AN62" s="406"/>
      <c r="AO62" s="407"/>
      <c r="AP62" s="407"/>
    </row>
    <row r="63" spans="1:42">
      <c r="A63" s="402"/>
      <c r="B63" s="77"/>
      <c r="D63" s="131"/>
      <c r="E63" s="113">
        <f t="shared" si="0"/>
        <v>45</v>
      </c>
      <c r="F63" s="408">
        <f>skemA7!$E$21*COS(RADIANS(skemA7!$E$28*E63-skemA7!$E$22))</f>
        <v>-3.3831362690207896</v>
      </c>
      <c r="G63" s="408">
        <f>skemA7!$F$21*COS(RADIANS(skemA7!$F$28*E63-skemA7!$F$22))</f>
        <v>15.331308956068916</v>
      </c>
      <c r="H63" s="408">
        <f>skemA7!$G$21*COS(RADIANS(skemA7!$G$28*E63-skemA7!$G$22))</f>
        <v>16.493522174832687</v>
      </c>
      <c r="I63" s="408">
        <f>skemA7!$H$21*COS(RADIANS(skemA7!$H$28*E63-skemA7!$H$22))</f>
        <v>-34.137423611413062</v>
      </c>
      <c r="J63" s="408">
        <f>skemA7!$I$21*COS(RADIANS(skemA7!$I$28*E63-skemA7!$I$22))</f>
        <v>26.260080296673895</v>
      </c>
      <c r="K63" s="408">
        <f>skemA7!$J$21*COS(RADIANS(skemA7!$J$28*E63-skemA7!$J$22))</f>
        <v>-1.7248681925342098</v>
      </c>
      <c r="L63" s="408">
        <f>skemA7!$K$21*COS(RADIANS(skemA7!$K$28*E63-skemA7!$K$22))</f>
        <v>-3.3059378377582171</v>
      </c>
      <c r="M63" s="408">
        <f>skemA7!$L$21*COS(RADIANS(skemA7!$L$28*E63-skemA7!$L$22))</f>
        <v>4.4285577014033022</v>
      </c>
      <c r="N63" s="408">
        <f>skemA7!$M$21*COS(RADIANS(skemA7!$M$28*E63-skemA7!$M$22))</f>
        <v>-11.016032577522145</v>
      </c>
      <c r="O63" s="409">
        <f>skemA7!$D$21+'Forcasting Pasut'!F63+'Forcasting Pasut'!G63+K63+L63+'Forcasting Pasut'!H63+'Forcasting Pasut'!I63+'Forcasting Pasut'!J63+'Forcasting Pasut'!M63+'Forcasting Pasut'!N63</f>
        <v>175.11438960624761</v>
      </c>
      <c r="P63" s="405"/>
      <c r="Q63" s="406">
        <f>AL42</f>
        <v>106.69999999999999</v>
      </c>
      <c r="R63" s="406"/>
      <c r="S63" s="406"/>
      <c r="T63" s="406"/>
      <c r="U63" s="406"/>
      <c r="V63" s="406"/>
      <c r="W63" s="406"/>
      <c r="X63" s="406"/>
      <c r="Y63" s="406"/>
      <c r="Z63" s="406"/>
      <c r="AA63" s="406"/>
      <c r="AB63" s="406"/>
      <c r="AC63" s="406"/>
      <c r="AD63" s="406"/>
      <c r="AE63" s="406"/>
      <c r="AF63" s="406"/>
      <c r="AG63" s="406"/>
      <c r="AH63" s="406"/>
      <c r="AI63" s="406"/>
      <c r="AJ63" s="406"/>
      <c r="AK63" s="406"/>
      <c r="AL63" s="406"/>
      <c r="AM63" s="406"/>
      <c r="AN63" s="406"/>
      <c r="AO63" s="407"/>
      <c r="AP63" s="407"/>
    </row>
    <row r="64" spans="1:42">
      <c r="A64" s="402"/>
      <c r="B64" s="77"/>
      <c r="D64" s="131"/>
      <c r="E64" s="113">
        <f t="shared" si="0"/>
        <v>46</v>
      </c>
      <c r="F64" s="408">
        <f>skemA7!$E$21*COS(RADIANS(skemA7!$E$28*E64-skemA7!$E$22))</f>
        <v>7.6603971135596609</v>
      </c>
      <c r="G64" s="408">
        <f>skemA7!$F$21*COS(RADIANS(skemA7!$F$28*E64-skemA7!$F$22))</f>
        <v>21.842967707503142</v>
      </c>
      <c r="H64" s="408">
        <f>skemA7!$G$21*COS(RADIANS(skemA7!$G$28*E64-skemA7!$G$22))</f>
        <v>11.637146917935491</v>
      </c>
      <c r="I64" s="408">
        <f>skemA7!$H$21*COS(RADIANS(skemA7!$H$28*E64-skemA7!$H$22))</f>
        <v>-35.728934037457513</v>
      </c>
      <c r="J64" s="408">
        <f>skemA7!$I$21*COS(RADIANS(skemA7!$I$28*E64-skemA7!$I$22))</f>
        <v>27.449714198758414</v>
      </c>
      <c r="K64" s="408">
        <f>skemA7!$J$21*COS(RADIANS(skemA7!$J$28*E64-skemA7!$J$22))</f>
        <v>-1.2919073124906371</v>
      </c>
      <c r="L64" s="408">
        <f>skemA7!$K$21*COS(RADIANS(skemA7!$K$28*E64-skemA7!$K$22))</f>
        <v>-1.737717767876424</v>
      </c>
      <c r="M64" s="408">
        <f>skemA7!$L$21*COS(RADIANS(skemA7!$L$28*E64-skemA7!$L$22))</f>
        <v>6.0121902662545832</v>
      </c>
      <c r="N64" s="408">
        <f>skemA7!$M$21*COS(RADIANS(skemA7!$M$28*E64-skemA7!$M$22))</f>
        <v>-11.734267526567354</v>
      </c>
      <c r="O64" s="409">
        <f>skemA7!$D$21+'Forcasting Pasut'!F64+'Forcasting Pasut'!G64+K64+L64+'Forcasting Pasut'!H64+'Forcasting Pasut'!I64+'Forcasting Pasut'!J64+'Forcasting Pasut'!M64+'Forcasting Pasut'!N64</f>
        <v>190.27790852513658</v>
      </c>
      <c r="P64" s="405"/>
      <c r="Q64" s="406">
        <f>AM42</f>
        <v>81.3</v>
      </c>
      <c r="R64" s="406"/>
      <c r="S64" s="406"/>
      <c r="T64" s="406"/>
      <c r="U64" s="406"/>
      <c r="V64" s="406"/>
      <c r="W64" s="406"/>
      <c r="X64" s="406"/>
      <c r="Y64" s="406"/>
      <c r="Z64" s="406"/>
      <c r="AA64" s="406"/>
      <c r="AB64" s="406"/>
      <c r="AC64" s="406"/>
      <c r="AD64" s="406"/>
      <c r="AE64" s="406"/>
      <c r="AF64" s="406"/>
      <c r="AG64" s="406"/>
      <c r="AH64" s="406"/>
      <c r="AI64" s="406"/>
      <c r="AJ64" s="406"/>
      <c r="AK64" s="406"/>
      <c r="AL64" s="406"/>
      <c r="AM64" s="406"/>
      <c r="AN64" s="406"/>
      <c r="AO64" s="407"/>
      <c r="AP64" s="407"/>
    </row>
    <row r="65" spans="1:42">
      <c r="A65" s="402"/>
      <c r="B65" s="77"/>
      <c r="D65" s="131"/>
      <c r="E65" s="113">
        <f t="shared" si="0"/>
        <v>47</v>
      </c>
      <c r="F65" s="408">
        <f>skemA7!$E$21*COS(RADIANS(skemA7!$E$28*E65-skemA7!$E$22))</f>
        <v>16.785078502903062</v>
      </c>
      <c r="G65" s="408">
        <f>skemA7!$F$21*COS(RADIANS(skemA7!$F$28*E65-skemA7!$F$22))</f>
        <v>22.50182090141282</v>
      </c>
      <c r="H65" s="408">
        <f>skemA7!$G$21*COS(RADIANS(skemA7!$G$28*E65-skemA7!$G$22))</f>
        <v>3.9719440032161799</v>
      </c>
      <c r="I65" s="408">
        <f>skemA7!$H$21*COS(RADIANS(skemA7!$H$28*E65-skemA7!$H$22))</f>
        <v>-34.872324483676273</v>
      </c>
      <c r="J65" s="408">
        <f>skemA7!$I$21*COS(RADIANS(skemA7!$I$28*E65-skemA7!$I$22))</f>
        <v>27.021786901193863</v>
      </c>
      <c r="K65" s="408">
        <f>skemA7!$J$21*COS(RADIANS(skemA7!$J$28*E65-skemA7!$J$22))</f>
        <v>0.35443146473207493</v>
      </c>
      <c r="L65" s="408">
        <f>skemA7!$K$21*COS(RADIANS(skemA7!$K$28*E65-skemA7!$K$22))</f>
        <v>1.5151243777264958</v>
      </c>
      <c r="M65" s="408">
        <f>skemA7!$L$21*COS(RADIANS(skemA7!$L$28*E65-skemA7!$L$22))</f>
        <v>5.9762461765669785</v>
      </c>
      <c r="N65" s="408">
        <f>skemA7!$M$21*COS(RADIANS(skemA7!$M$28*E65-skemA7!$M$22))</f>
        <v>-11.657172268719963</v>
      </c>
      <c r="O65" s="409">
        <f>skemA7!$D$21+'Forcasting Pasut'!F65+'Forcasting Pasut'!G65+K65+L65+'Forcasting Pasut'!H65+'Forcasting Pasut'!I65+'Forcasting Pasut'!J65+'Forcasting Pasut'!M65+'Forcasting Pasut'!N65</f>
        <v>197.76525454087246</v>
      </c>
      <c r="P65" s="405"/>
      <c r="Q65" s="406">
        <f>AN42</f>
        <v>75.400000000000006</v>
      </c>
      <c r="R65" s="406"/>
      <c r="S65" s="406"/>
      <c r="T65" s="406"/>
      <c r="U65" s="406"/>
      <c r="V65" s="406"/>
      <c r="W65" s="406"/>
      <c r="X65" s="406"/>
      <c r="Y65" s="406"/>
      <c r="Z65" s="406"/>
      <c r="AA65" s="406"/>
      <c r="AB65" s="406"/>
      <c r="AC65" s="406"/>
      <c r="AD65" s="406"/>
      <c r="AE65" s="406"/>
      <c r="AF65" s="406"/>
      <c r="AG65" s="406"/>
      <c r="AH65" s="406"/>
      <c r="AI65" s="406"/>
      <c r="AJ65" s="406"/>
      <c r="AK65" s="406"/>
      <c r="AL65" s="406"/>
      <c r="AM65" s="406"/>
      <c r="AN65" s="406"/>
      <c r="AO65" s="407"/>
      <c r="AP65" s="407"/>
    </row>
    <row r="66" spans="1:42">
      <c r="A66" s="402">
        <v>3</v>
      </c>
      <c r="B66" s="77">
        <f>skemA1!B7</f>
        <v>44711</v>
      </c>
      <c r="C66" s="43" t="e">
        <f>skemA1!#REF!</f>
        <v>#REF!</v>
      </c>
      <c r="D66" s="139" t="e">
        <f>skemA1!#REF!</f>
        <v>#REF!</v>
      </c>
      <c r="E66" s="113">
        <f t="shared" si="0"/>
        <v>48</v>
      </c>
      <c r="F66" s="408">
        <f>skemA7!$E$21*COS(RADIANS(skemA7!$E$28*E66-skemA7!$E$22))</f>
        <v>21.705267505693421</v>
      </c>
      <c r="G66" s="408">
        <f>skemA7!$F$21*COS(RADIANS(skemA7!$F$28*E66-skemA7!$F$22))</f>
        <v>17.131329356559192</v>
      </c>
      <c r="H66" s="408">
        <f>skemA7!$G$21*COS(RADIANS(skemA7!$G$28*E66-skemA7!$G$22))</f>
        <v>-4.65195662755238</v>
      </c>
      <c r="I66" s="408">
        <f>skemA7!$H$21*COS(RADIANS(skemA7!$H$28*E66-skemA7!$H$22))</f>
        <v>-31.62628919942259</v>
      </c>
      <c r="J66" s="408">
        <f>skemA7!$I$21*COS(RADIANS(skemA7!$I$28*E66-skemA7!$I$22))</f>
        <v>25.001515373009447</v>
      </c>
      <c r="K66" s="408">
        <f>skemA7!$J$21*COS(RADIANS(skemA7!$J$28*E66-skemA7!$J$22))</f>
        <v>1.6678831213287573</v>
      </c>
      <c r="L66" s="408">
        <f>skemA7!$K$21*COS(RADIANS(skemA7!$K$28*E66-skemA7!$K$22))</f>
        <v>3.2991365318513046</v>
      </c>
      <c r="M66" s="408">
        <f>skemA7!$L$21*COS(RADIANS(skemA7!$L$28*E66-skemA7!$L$22))</f>
        <v>4.3304081279885871</v>
      </c>
      <c r="N66" s="408">
        <f>skemA7!$M$21*COS(RADIANS(skemA7!$M$28*E66-skemA7!$M$22))</f>
        <v>-10.789972199364508</v>
      </c>
      <c r="O66" s="409">
        <f>skemA7!$D$21+'Forcasting Pasut'!F66+'Forcasting Pasut'!G66+K66+L66+'Forcasting Pasut'!H66+'Forcasting Pasut'!I66+'Forcasting Pasut'!J66+'Forcasting Pasut'!M66+'Forcasting Pasut'!N66</f>
        <v>192.23564095560852</v>
      </c>
      <c r="P66" s="405"/>
      <c r="Q66" s="406">
        <f>skemA1!C7</f>
        <v>90.600000000000009</v>
      </c>
      <c r="R66" s="406">
        <f>skemA1!D7</f>
        <v>123.10000000000001</v>
      </c>
      <c r="S66" s="406">
        <f>skemA1!E7</f>
        <v>162.69999999999999</v>
      </c>
      <c r="T66" s="406">
        <f>skemA1!F7</f>
        <v>205.50000000000003</v>
      </c>
      <c r="U66" s="406">
        <f>skemA1!G7</f>
        <v>245.6</v>
      </c>
      <c r="V66" s="406">
        <f>skemA1!H7</f>
        <v>271.39999999999998</v>
      </c>
      <c r="W66" s="406">
        <f>skemA1!I7</f>
        <v>272.8</v>
      </c>
      <c r="X66" s="406">
        <f>skemA1!J7</f>
        <v>255.20000000000002</v>
      </c>
      <c r="Y66" s="406">
        <f>skemA1!K7</f>
        <v>222.8</v>
      </c>
      <c r="Z66" s="406">
        <f>skemA1!L7</f>
        <v>182.8</v>
      </c>
      <c r="AA66" s="406">
        <f>skemA1!M7</f>
        <v>148.5</v>
      </c>
      <c r="AB66" s="406">
        <f>skemA1!N7</f>
        <v>122</v>
      </c>
      <c r="AC66" s="406">
        <f>skemA1!O7</f>
        <v>113.6</v>
      </c>
      <c r="AD66" s="406">
        <f>skemA1!P7</f>
        <v>123.4</v>
      </c>
      <c r="AE66" s="406">
        <f>skemA1!Q7</f>
        <v>143.4</v>
      </c>
      <c r="AF66" s="406">
        <f>skemA1!R7</f>
        <v>164.1</v>
      </c>
      <c r="AG66" s="406">
        <f>skemA1!S7</f>
        <v>177.8</v>
      </c>
      <c r="AH66" s="406">
        <f>skemA1!T7</f>
        <v>182.1</v>
      </c>
      <c r="AI66" s="406">
        <f>skemA1!U7</f>
        <v>178.7</v>
      </c>
      <c r="AJ66" s="406">
        <f>skemA1!V7</f>
        <v>162.60000000000002</v>
      </c>
      <c r="AK66" s="406">
        <f>skemA1!W7</f>
        <v>139.9</v>
      </c>
      <c r="AL66" s="406">
        <f>skemA1!X7</f>
        <v>114.6</v>
      </c>
      <c r="AM66" s="406">
        <f>skemA1!Y7</f>
        <v>88.5</v>
      </c>
      <c r="AN66" s="406">
        <f>skemA1!Z7</f>
        <v>70.199999999999989</v>
      </c>
      <c r="AO66" s="407">
        <f>SUM(Q66:AN66)</f>
        <v>3961.8999999999996</v>
      </c>
      <c r="AP66" s="407">
        <f>AVERAGE(Q66:AN66)</f>
        <v>165.07916666666665</v>
      </c>
    </row>
    <row r="67" spans="1:42">
      <c r="A67" s="402"/>
      <c r="B67" s="77"/>
      <c r="D67" s="131"/>
      <c r="E67" s="113">
        <f t="shared" si="0"/>
        <v>49</v>
      </c>
      <c r="F67" s="408">
        <f>skemA7!$E$21*COS(RADIANS(skemA7!$E$28*E67-skemA7!$E$22))</f>
        <v>21.188506543668129</v>
      </c>
      <c r="G67" s="408">
        <f>skemA7!$F$21*COS(RADIANS(skemA7!$F$28*E67-skemA7!$F$22))</f>
        <v>7.1705119453439519</v>
      </c>
      <c r="H67" s="408">
        <f>skemA7!$G$21*COS(RADIANS(skemA7!$G$28*E67-skemA7!$G$22))</f>
        <v>-12.153026677027901</v>
      </c>
      <c r="I67" s="408">
        <f>skemA7!$H$21*COS(RADIANS(skemA7!$H$28*E67-skemA7!$H$22))</f>
        <v>-26.213244107496482</v>
      </c>
      <c r="J67" s="408">
        <f>skemA7!$I$21*COS(RADIANS(skemA7!$I$28*E67-skemA7!$I$22))</f>
        <v>21.507950501696573</v>
      </c>
      <c r="K67" s="408">
        <f>skemA7!$J$21*COS(RADIANS(skemA7!$J$28*E67-skemA7!$J$22))</f>
        <v>1.414835002800779</v>
      </c>
      <c r="L67" s="408">
        <f>skemA7!$K$21*COS(RADIANS(skemA7!$K$28*E67-skemA7!$K$22))</f>
        <v>1.8848167501942688</v>
      </c>
      <c r="M67" s="408">
        <f>skemA7!$L$21*COS(RADIANS(skemA7!$L$28*E67-skemA7!$L$22))</f>
        <v>1.5180354891659518</v>
      </c>
      <c r="N67" s="408">
        <f>skemA7!$M$21*COS(RADIANS(skemA7!$M$28*E67-skemA7!$M$22))</f>
        <v>-9.1914447759789439</v>
      </c>
      <c r="O67" s="409">
        <f>skemA7!$D$21+'Forcasting Pasut'!F67+'Forcasting Pasut'!G67+K67+L67+'Forcasting Pasut'!H67+'Forcasting Pasut'!I67+'Forcasting Pasut'!J67+'Forcasting Pasut'!M67+'Forcasting Pasut'!N67</f>
        <v>173.29525963788356</v>
      </c>
      <c r="P67" s="405"/>
      <c r="Q67" s="406">
        <f>R66</f>
        <v>123.10000000000001</v>
      </c>
      <c r="R67" s="406"/>
      <c r="S67" s="406"/>
      <c r="T67" s="406"/>
      <c r="U67" s="406"/>
      <c r="V67" s="406"/>
      <c r="W67" s="406"/>
      <c r="X67" s="406"/>
      <c r="Y67" s="406"/>
      <c r="Z67" s="406"/>
      <c r="AA67" s="406"/>
      <c r="AB67" s="406"/>
      <c r="AC67" s="406"/>
      <c r="AD67" s="406"/>
      <c r="AE67" s="406"/>
      <c r="AF67" s="406"/>
      <c r="AG67" s="406"/>
      <c r="AH67" s="406"/>
      <c r="AI67" s="406"/>
      <c r="AJ67" s="406"/>
      <c r="AK67" s="406"/>
      <c r="AL67" s="406"/>
      <c r="AM67" s="406"/>
      <c r="AN67" s="406"/>
      <c r="AO67" s="407"/>
      <c r="AP67" s="407"/>
    </row>
    <row r="68" spans="1:42">
      <c r="A68" s="402"/>
      <c r="B68" s="77"/>
      <c r="D68" s="131"/>
      <c r="E68" s="113">
        <f t="shared" si="0"/>
        <v>50</v>
      </c>
      <c r="F68" s="408">
        <f>skemA7!$E$21*COS(RADIANS(skemA7!$E$28*E68-skemA7!$E$22))</f>
        <v>15.364239010858878</v>
      </c>
      <c r="G68" s="408">
        <f>skemA7!$F$21*COS(RADIANS(skemA7!$F$28*E68-skemA7!$F$22))</f>
        <v>-4.7116383509439128</v>
      </c>
      <c r="H68" s="408">
        <f>skemA7!$G$21*COS(RADIANS(skemA7!$G$28*E68-skemA7!$G$22))</f>
        <v>-16.720752523030729</v>
      </c>
      <c r="I68" s="408">
        <f>skemA7!$H$21*COS(RADIANS(skemA7!$H$28*E68-skemA7!$H$22))</f>
        <v>-19.004087030579875</v>
      </c>
      <c r="J68" s="408">
        <f>skemA7!$I$21*COS(RADIANS(skemA7!$I$28*E68-skemA7!$I$22))</f>
        <v>16.746961643248298</v>
      </c>
      <c r="K68" s="408">
        <f>skemA7!$J$21*COS(RADIANS(skemA7!$J$28*E68-skemA7!$J$22))</f>
        <v>-0.16704646464927503</v>
      </c>
      <c r="L68" s="408">
        <f>skemA7!$K$21*COS(RADIANS(skemA7!$K$28*E68-skemA7!$K$22))</f>
        <v>-1.356729503311821</v>
      </c>
      <c r="M68" s="408">
        <f>skemA7!$L$21*COS(RADIANS(skemA7!$L$28*E68-skemA7!$L$22))</f>
        <v>-1.7032687918926901</v>
      </c>
      <c r="N68" s="408">
        <f>skemA7!$M$21*COS(RADIANS(skemA7!$M$28*E68-skemA7!$M$22))</f>
        <v>-6.9699356744638985</v>
      </c>
      <c r="O68" s="409">
        <f>skemA7!$D$21+'Forcasting Pasut'!F68+'Forcasting Pasut'!G68+K68+L68+'Forcasting Pasut'!H68+'Forcasting Pasut'!I68+'Forcasting Pasut'!J68+'Forcasting Pasut'!M68+'Forcasting Pasut'!N68</f>
        <v>147.64606128075224</v>
      </c>
      <c r="P68" s="405"/>
      <c r="Q68" s="406">
        <f>S66</f>
        <v>162.69999999999999</v>
      </c>
      <c r="R68" s="406"/>
      <c r="S68" s="406"/>
      <c r="T68" s="406"/>
      <c r="U68" s="406"/>
      <c r="V68" s="406"/>
      <c r="W68" s="406"/>
      <c r="X68" s="406"/>
      <c r="Y68" s="406"/>
      <c r="Z68" s="406"/>
      <c r="AA68" s="406"/>
      <c r="AB68" s="406"/>
      <c r="AC68" s="406"/>
      <c r="AD68" s="406"/>
      <c r="AE68" s="406"/>
      <c r="AF68" s="406"/>
      <c r="AG68" s="406"/>
      <c r="AH68" s="406"/>
      <c r="AI68" s="406"/>
      <c r="AJ68" s="406"/>
      <c r="AK68" s="406"/>
      <c r="AL68" s="406"/>
      <c r="AM68" s="406"/>
      <c r="AN68" s="406"/>
      <c r="AO68" s="407"/>
      <c r="AP68" s="407"/>
    </row>
    <row r="69" spans="1:42">
      <c r="A69" s="402"/>
      <c r="B69" s="77"/>
      <c r="D69" s="131"/>
      <c r="E69" s="113">
        <f t="shared" si="0"/>
        <v>51</v>
      </c>
      <c r="F69" s="408">
        <f>skemA7!$E$21*COS(RADIANS(skemA7!$E$28*E69-skemA7!$E$22))</f>
        <v>5.6913850126859149</v>
      </c>
      <c r="G69" s="408">
        <f>skemA7!$F$21*COS(RADIANS(skemA7!$F$28*E69-skemA7!$F$22))</f>
        <v>-15.331308956068913</v>
      </c>
      <c r="H69" s="408">
        <f>skemA7!$G$21*COS(RADIANS(skemA7!$G$28*E69-skemA7!$G$22))</f>
        <v>-17.252634147293755</v>
      </c>
      <c r="I69" s="408">
        <f>skemA7!$H$21*COS(RADIANS(skemA7!$H$28*E69-skemA7!$H$22))</f>
        <v>-10.492784048354983</v>
      </c>
      <c r="J69" s="408">
        <f>skemA7!$I$21*COS(RADIANS(skemA7!$I$28*E69-skemA7!$I$22))</f>
        <v>10.999105119439959</v>
      </c>
      <c r="K69" s="408">
        <f>skemA7!$J$21*COS(RADIANS(skemA7!$J$28*E69-skemA7!$J$22))</f>
        <v>-1.5920354940369039</v>
      </c>
      <c r="L69" s="408">
        <f>skemA7!$K$21*COS(RADIANS(skemA7!$K$28*E69-skemA7!$K$22))</f>
        <v>-3.2830009093641883</v>
      </c>
      <c r="M69" s="408">
        <f>skemA7!$L$21*COS(RADIANS(skemA7!$L$28*E69-skemA7!$L$22))</f>
        <v>-4.4657428880123096</v>
      </c>
      <c r="N69" s="408">
        <f>skemA7!$M$21*COS(RADIANS(skemA7!$M$28*E69-skemA7!$M$22))</f>
        <v>-4.2760152895475869</v>
      </c>
      <c r="O69" s="409">
        <f>skemA7!$D$21+'Forcasting Pasut'!F69+'Forcasting Pasut'!G69+K69+L69+'Forcasting Pasut'!H69+'Forcasting Pasut'!I69+'Forcasting Pasut'!J69+'Forcasting Pasut'!M69+'Forcasting Pasut'!N69</f>
        <v>126.16528736496451</v>
      </c>
      <c r="P69" s="405"/>
      <c r="Q69" s="406">
        <f>T66</f>
        <v>205.50000000000003</v>
      </c>
      <c r="R69" s="406"/>
      <c r="S69" s="406"/>
      <c r="T69" s="406"/>
      <c r="U69" s="406"/>
      <c r="V69" s="406"/>
      <c r="W69" s="406"/>
      <c r="X69" s="406"/>
      <c r="Y69" s="406"/>
      <c r="Z69" s="406"/>
      <c r="AA69" s="406"/>
      <c r="AB69" s="406"/>
      <c r="AC69" s="406"/>
      <c r="AD69" s="406"/>
      <c r="AE69" s="406"/>
      <c r="AF69" s="406"/>
      <c r="AG69" s="406"/>
      <c r="AH69" s="406"/>
      <c r="AI69" s="406"/>
      <c r="AJ69" s="406"/>
      <c r="AK69" s="406"/>
      <c r="AL69" s="406"/>
      <c r="AM69" s="406"/>
      <c r="AN69" s="406"/>
      <c r="AO69" s="407"/>
      <c r="AP69" s="407"/>
    </row>
    <row r="70" spans="1:42">
      <c r="A70" s="402"/>
      <c r="B70" s="77"/>
      <c r="D70" s="131"/>
      <c r="E70" s="113">
        <f t="shared" si="0"/>
        <v>52</v>
      </c>
      <c r="F70" s="408">
        <f>skemA7!$E$21*COS(RADIANS(skemA7!$E$28*E70-skemA7!$E$22))</f>
        <v>-5.4071033637021717</v>
      </c>
      <c r="G70" s="408">
        <f>skemA7!$F$21*COS(RADIANS(skemA7!$F$28*E70-skemA7!$F$22))</f>
        <v>-21.842967707503139</v>
      </c>
      <c r="H70" s="408">
        <f>skemA7!$G$21*COS(RADIANS(skemA7!$G$28*E70-skemA7!$G$22))</f>
        <v>-13.620292675901132</v>
      </c>
      <c r="I70" s="408">
        <f>skemA7!$H$21*COS(RADIANS(skemA7!$H$28*E70-skemA7!$H$22))</f>
        <v>-1.2625233092082613</v>
      </c>
      <c r="J70" s="408">
        <f>skemA7!$I$21*COS(RADIANS(skemA7!$I$28*E70-skemA7!$I$22))</f>
        <v>4.603091549505737</v>
      </c>
      <c r="K70" s="408">
        <f>skemA7!$J$21*COS(RADIANS(skemA7!$J$28*E70-skemA7!$J$22))</f>
        <v>-1.5217619288774662</v>
      </c>
      <c r="L70" s="408">
        <f>skemA7!$K$21*COS(RADIANS(skemA7!$K$28*E70-skemA7!$K$22))</f>
        <v>-2.0265829807231972</v>
      </c>
      <c r="M70" s="408">
        <f>skemA7!$L$21*COS(RADIANS(skemA7!$L$28*E70-skemA7!$L$22))</f>
        <v>-6.0252256271894833</v>
      </c>
      <c r="N70" s="408">
        <f>skemA7!$M$21*COS(RADIANS(skemA7!$M$28*E70-skemA7!$M$22))</f>
        <v>-1.2922733101251005</v>
      </c>
      <c r="O70" s="409">
        <f>skemA7!$D$21+'Forcasting Pasut'!F70+'Forcasting Pasut'!G70+K70+L70+'Forcasting Pasut'!H70+'Forcasting Pasut'!I70+'Forcasting Pasut'!J70+'Forcasting Pasut'!M70+'Forcasting Pasut'!N70</f>
        <v>117.77267961179307</v>
      </c>
      <c r="P70" s="405"/>
      <c r="Q70" s="406">
        <f>U66</f>
        <v>245.6</v>
      </c>
      <c r="R70" s="406"/>
      <c r="S70" s="406"/>
      <c r="T70" s="406"/>
      <c r="U70" s="406"/>
      <c r="V70" s="406"/>
      <c r="W70" s="406"/>
      <c r="X70" s="406"/>
      <c r="Y70" s="406"/>
      <c r="Z70" s="406"/>
      <c r="AA70" s="406"/>
      <c r="AB70" s="406"/>
      <c r="AC70" s="406"/>
      <c r="AD70" s="406"/>
      <c r="AE70" s="406"/>
      <c r="AF70" s="406"/>
      <c r="AG70" s="406"/>
      <c r="AH70" s="406"/>
      <c r="AI70" s="406"/>
      <c r="AJ70" s="406"/>
      <c r="AK70" s="406"/>
      <c r="AL70" s="406"/>
      <c r="AM70" s="406"/>
      <c r="AN70" s="406"/>
      <c r="AO70" s="407"/>
      <c r="AP70" s="407"/>
    </row>
    <row r="71" spans="1:42">
      <c r="A71" s="402"/>
      <c r="B71" s="77"/>
      <c r="D71" s="131"/>
      <c r="E71" s="113">
        <f t="shared" si="0"/>
        <v>53</v>
      </c>
      <c r="F71" s="408">
        <f>skemA7!$E$21*COS(RADIANS(skemA7!$E$28*E71-skemA7!$E$22))</f>
        <v>-15.151167039481365</v>
      </c>
      <c r="G71" s="408">
        <f>skemA7!$F$21*COS(RADIANS(skemA7!$F$28*E71-skemA7!$F$22))</f>
        <v>-22.50182090141282</v>
      </c>
      <c r="H71" s="408">
        <f>skemA7!$G$21*COS(RADIANS(skemA7!$G$28*E71-skemA7!$G$22))</f>
        <v>-6.7004568516839127</v>
      </c>
      <c r="I71" s="408">
        <f>skemA7!$H$21*COS(RADIANS(skemA7!$H$28*E71-skemA7!$H$22))</f>
        <v>8.0542445878353597</v>
      </c>
      <c r="J71" s="408">
        <f>skemA7!$I$21*COS(RADIANS(skemA7!$I$28*E71-skemA7!$I$22))</f>
        <v>-2.0641737440347887</v>
      </c>
      <c r="K71" s="408">
        <f>skemA7!$J$21*COS(RADIANS(skemA7!$J$28*E71-skemA7!$J$22))</f>
        <v>-2.2227710561079729E-2</v>
      </c>
      <c r="L71" s="408">
        <f>skemA7!$K$21*COS(RADIANS(skemA7!$K$28*E71-skemA7!$K$22))</f>
        <v>1.1944960054951073</v>
      </c>
      <c r="M71" s="408">
        <f>skemA7!$L$21*COS(RADIANS(skemA7!$L$28*E71-skemA7!$L$22))</f>
        <v>-5.9616202184586733</v>
      </c>
      <c r="N71" s="408">
        <f>skemA7!$M$21*COS(RADIANS(skemA7!$M$28*E71-skemA7!$M$22))</f>
        <v>1.7790569228272153</v>
      </c>
      <c r="O71" s="409">
        <f>skemA7!$D$21+'Forcasting Pasut'!F71+'Forcasting Pasut'!G71+K71+L71+'Forcasting Pasut'!H71+'Forcasting Pasut'!I71+'Forcasting Pasut'!J71+'Forcasting Pasut'!M71+'Forcasting Pasut'!N71</f>
        <v>124.79465001604225</v>
      </c>
      <c r="P71" s="405"/>
      <c r="Q71" s="406">
        <f>V66</f>
        <v>271.39999999999998</v>
      </c>
      <c r="R71" s="406"/>
      <c r="S71" s="406"/>
      <c r="T71" s="406"/>
      <c r="U71" s="406"/>
      <c r="V71" s="406"/>
      <c r="W71" s="406"/>
      <c r="X71" s="406"/>
      <c r="Y71" s="406"/>
      <c r="Z71" s="406"/>
      <c r="AA71" s="406"/>
      <c r="AB71" s="406"/>
      <c r="AC71" s="406"/>
      <c r="AD71" s="406"/>
      <c r="AE71" s="406"/>
      <c r="AF71" s="406"/>
      <c r="AG71" s="406"/>
      <c r="AH71" s="406"/>
      <c r="AI71" s="406"/>
      <c r="AJ71" s="406"/>
      <c r="AK71" s="406"/>
      <c r="AL71" s="406"/>
      <c r="AM71" s="406"/>
      <c r="AN71" s="406"/>
      <c r="AO71" s="407"/>
      <c r="AP71" s="407"/>
    </row>
    <row r="72" spans="1:42">
      <c r="A72" s="402"/>
      <c r="B72" s="77"/>
      <c r="D72" s="131"/>
      <c r="E72" s="113">
        <f t="shared" si="0"/>
        <v>54</v>
      </c>
      <c r="F72" s="408">
        <f>skemA7!$E$21*COS(RADIANS(skemA7!$E$28*E72-skemA7!$E$22))</f>
        <v>-21.100016623537694</v>
      </c>
      <c r="G72" s="408">
        <f>skemA7!$F$21*COS(RADIANS(skemA7!$F$28*E72-skemA7!$F$22))</f>
        <v>-17.131329356559192</v>
      </c>
      <c r="H72" s="408">
        <f>skemA7!$G$21*COS(RADIANS(skemA7!$G$28*E72-skemA7!$G$22))</f>
        <v>1.8366506850735556</v>
      </c>
      <c r="I72" s="408">
        <f>skemA7!$H$21*COS(RADIANS(skemA7!$H$28*E72-skemA7!$H$22))</f>
        <v>16.819141637648858</v>
      </c>
      <c r="J72" s="408">
        <f>skemA7!$I$21*COS(RADIANS(skemA7!$I$28*E72-skemA7!$I$22))</f>
        <v>-8.6098010732050039</v>
      </c>
      <c r="K72" s="408">
        <f>skemA7!$J$21*COS(RADIANS(skemA7!$J$28*E72-skemA7!$J$22))</f>
        <v>1.4981830926611781</v>
      </c>
      <c r="L72" s="408">
        <f>skemA7!$K$21*COS(RADIANS(skemA7!$K$28*E72-skemA7!$K$22))</f>
        <v>3.257576623153926</v>
      </c>
      <c r="M72" s="408">
        <f>skemA7!$L$21*COS(RADIANS(skemA7!$L$28*E72-skemA7!$L$22))</f>
        <v>-4.2920608226698809</v>
      </c>
      <c r="N72" s="408">
        <f>skemA7!$M$21*COS(RADIANS(skemA7!$M$28*E72-skemA7!$M$22))</f>
        <v>4.7298054741958442</v>
      </c>
      <c r="O72" s="409">
        <f>skemA7!$D$21+'Forcasting Pasut'!F72+'Forcasting Pasut'!G72+K72+L72+'Forcasting Pasut'!H72+'Forcasting Pasut'!I72+'Forcasting Pasut'!J72+'Forcasting Pasut'!M72+'Forcasting Pasut'!N72</f>
        <v>143.17646860227885</v>
      </c>
      <c r="P72" s="405"/>
      <c r="Q72" s="406">
        <f>W66</f>
        <v>272.8</v>
      </c>
      <c r="R72" s="406"/>
      <c r="S72" s="406"/>
      <c r="T72" s="406"/>
      <c r="U72" s="406"/>
      <c r="V72" s="406"/>
      <c r="W72" s="406"/>
      <c r="X72" s="406"/>
      <c r="Y72" s="406"/>
      <c r="Z72" s="406"/>
      <c r="AA72" s="406"/>
      <c r="AB72" s="406"/>
      <c r="AC72" s="406"/>
      <c r="AD72" s="406"/>
      <c r="AE72" s="406"/>
      <c r="AF72" s="406"/>
      <c r="AG72" s="406"/>
      <c r="AH72" s="406"/>
      <c r="AI72" s="406"/>
      <c r="AJ72" s="406"/>
      <c r="AK72" s="406"/>
      <c r="AL72" s="406"/>
      <c r="AM72" s="406"/>
      <c r="AN72" s="406"/>
      <c r="AO72" s="407"/>
      <c r="AP72" s="407"/>
    </row>
    <row r="73" spans="1:42">
      <c r="A73" s="402"/>
      <c r="B73" s="77"/>
      <c r="D73" s="131"/>
      <c r="E73" s="113">
        <f t="shared" si="0"/>
        <v>55</v>
      </c>
      <c r="F73" s="408">
        <f>skemA7!$E$21*COS(RADIANS(skemA7!$E$28*E73-skemA7!$E$22))</f>
        <v>-21.763525466741044</v>
      </c>
      <c r="G73" s="408">
        <f>skemA7!$F$21*COS(RADIANS(skemA7!$F$28*E73-skemA7!$F$22))</f>
        <v>-7.1705119453439545</v>
      </c>
      <c r="H73" s="408">
        <f>skemA7!$G$21*COS(RADIANS(skemA7!$G$28*E73-skemA7!$G$22))</f>
        <v>9.9304506586996997</v>
      </c>
      <c r="I73" s="408">
        <f>skemA7!$H$21*COS(RADIANS(skemA7!$H$28*E73-skemA7!$H$22))</f>
        <v>24.431603614994728</v>
      </c>
      <c r="J73" s="408">
        <f>skemA7!$I$21*COS(RADIANS(skemA7!$I$28*E73-skemA7!$I$22))</f>
        <v>-14.64806865167353</v>
      </c>
      <c r="K73" s="408">
        <f>skemA7!$J$21*COS(RADIANS(skemA7!$J$28*E73-skemA7!$J$22))</f>
        <v>1.6114788242472404</v>
      </c>
      <c r="L73" s="408">
        <f>skemA7!$K$21*COS(RADIANS(skemA7!$K$28*E73-skemA7!$K$22))</f>
        <v>2.1626153572768891</v>
      </c>
      <c r="M73" s="408">
        <f>skemA7!$L$21*COS(RADIANS(skemA7!$L$28*E73-skemA7!$L$22))</f>
        <v>-1.4662969156443653</v>
      </c>
      <c r="N73" s="408">
        <f>skemA7!$M$21*COS(RADIANS(skemA7!$M$28*E73-skemA7!$M$22))</f>
        <v>7.3599752456929091</v>
      </c>
      <c r="O73" s="409">
        <f>skemA7!$D$21+'Forcasting Pasut'!F73+'Forcasting Pasut'!G73+K73+L73+'Forcasting Pasut'!H73+'Forcasting Pasut'!I73+'Forcasting Pasut'!J73+'Forcasting Pasut'!M73+'Forcasting Pasut'!N73</f>
        <v>166.61603968702579</v>
      </c>
      <c r="P73" s="405"/>
      <c r="Q73" s="406">
        <f>X66</f>
        <v>255.20000000000002</v>
      </c>
      <c r="R73" s="406"/>
      <c r="S73" s="406"/>
      <c r="T73" s="406"/>
      <c r="U73" s="406"/>
      <c r="V73" s="406"/>
      <c r="W73" s="406"/>
      <c r="X73" s="406"/>
      <c r="Y73" s="406"/>
      <c r="Z73" s="406"/>
      <c r="AA73" s="406"/>
      <c r="AB73" s="406"/>
      <c r="AC73" s="406"/>
      <c r="AD73" s="406"/>
      <c r="AE73" s="406"/>
      <c r="AF73" s="406"/>
      <c r="AG73" s="406"/>
      <c r="AH73" s="406"/>
      <c r="AI73" s="406"/>
      <c r="AJ73" s="406"/>
      <c r="AK73" s="406"/>
      <c r="AL73" s="406"/>
      <c r="AM73" s="406"/>
      <c r="AN73" s="406"/>
      <c r="AO73" s="407"/>
      <c r="AP73" s="407"/>
    </row>
    <row r="74" spans="1:42">
      <c r="A74" s="402"/>
      <c r="B74" s="77"/>
      <c r="D74" s="131"/>
      <c r="E74" s="113">
        <f t="shared" si="0"/>
        <v>56</v>
      </c>
      <c r="F74" s="408">
        <f>skemA7!$E$21*COS(RADIANS(skemA7!$E$28*E74-skemA7!$E$22))</f>
        <v>-16.975491315156486</v>
      </c>
      <c r="G74" s="408">
        <f>skemA7!$F$21*COS(RADIANS(skemA7!$F$28*E74-skemA7!$F$22))</f>
        <v>4.7116383509439901</v>
      </c>
      <c r="H74" s="408">
        <f>skemA7!$G$21*COS(RADIANS(skemA7!$G$28*E74-skemA7!$G$22))</f>
        <v>15.627363778400831</v>
      </c>
      <c r="I74" s="408">
        <f>skemA7!$H$21*COS(RADIANS(skemA7!$H$28*E74-skemA7!$H$22))</f>
        <v>30.370030288450927</v>
      </c>
      <c r="J74" s="408">
        <f>skemA7!$I$21*COS(RADIANS(skemA7!$I$28*E74-skemA7!$I$22))</f>
        <v>-19.82315247058893</v>
      </c>
      <c r="K74" s="408">
        <f>skemA7!$J$21*COS(RADIANS(skemA7!$J$28*E74-skemA7!$J$22))</f>
        <v>0.21125050638413262</v>
      </c>
      <c r="L74" s="408">
        <f>skemA7!$K$21*COS(RADIANS(skemA7!$K$28*E74-skemA7!$K$22))</f>
        <v>-1.0288828949338793</v>
      </c>
      <c r="M74" s="408">
        <f>skemA7!$L$21*COS(RADIANS(skemA7!$L$28*E74-skemA7!$L$22))</f>
        <v>1.7544611861805666</v>
      </c>
      <c r="N74" s="408">
        <f>skemA7!$M$21*COS(RADIANS(skemA7!$M$28*E74-skemA7!$M$22))</f>
        <v>9.4912974647859851</v>
      </c>
      <c r="O74" s="409">
        <f>skemA7!$D$21+'Forcasting Pasut'!F74+'Forcasting Pasut'!G74+K74+L74+'Forcasting Pasut'!H74+'Forcasting Pasut'!I74+'Forcasting Pasut'!J74+'Forcasting Pasut'!M74+'Forcasting Pasut'!N74</f>
        <v>190.5068338599844</v>
      </c>
      <c r="P74" s="405"/>
      <c r="Q74" s="406">
        <f>Y66</f>
        <v>222.8</v>
      </c>
      <c r="R74" s="406"/>
      <c r="S74" s="406"/>
      <c r="T74" s="406"/>
      <c r="U74" s="406"/>
      <c r="V74" s="406"/>
      <c r="W74" s="406"/>
      <c r="X74" s="406"/>
      <c r="Y74" s="406"/>
      <c r="Z74" s="406"/>
      <c r="AA74" s="406"/>
      <c r="AB74" s="406"/>
      <c r="AC74" s="406"/>
      <c r="AD74" s="406"/>
      <c r="AE74" s="406"/>
      <c r="AF74" s="406"/>
      <c r="AG74" s="406"/>
      <c r="AH74" s="406"/>
      <c r="AI74" s="406"/>
      <c r="AJ74" s="406"/>
      <c r="AK74" s="406"/>
      <c r="AL74" s="406"/>
      <c r="AM74" s="406"/>
      <c r="AN74" s="406"/>
      <c r="AO74" s="407"/>
      <c r="AP74" s="407"/>
    </row>
    <row r="75" spans="1:42">
      <c r="A75" s="402"/>
      <c r="B75" s="77"/>
      <c r="D75" s="131"/>
      <c r="E75" s="113">
        <f t="shared" si="0"/>
        <v>57</v>
      </c>
      <c r="F75" s="408">
        <f>skemA7!$E$21*COS(RADIANS(skemA7!$E$28*E75-skemA7!$E$22))</f>
        <v>-7.9352682935448291</v>
      </c>
      <c r="G75" s="408">
        <f>skemA7!$F$21*COS(RADIANS(skemA7!$F$28*E75-skemA7!$F$22))</f>
        <v>15.331308956068911</v>
      </c>
      <c r="H75" s="408">
        <f>skemA7!$G$21*COS(RADIANS(skemA7!$G$28*E75-skemA7!$G$22))</f>
        <v>17.552341052558223</v>
      </c>
      <c r="I75" s="408">
        <f>skemA7!$H$21*COS(RADIANS(skemA7!$H$28*E75-skemA7!$H$22))</f>
        <v>34.227525080224787</v>
      </c>
      <c r="J75" s="408">
        <f>skemA7!$I$21*COS(RADIANS(skemA7!$I$28*E75-skemA7!$I$22))</f>
        <v>-23.830094353345178</v>
      </c>
      <c r="K75" s="408">
        <f>skemA7!$J$21*COS(RADIANS(skemA7!$J$28*E75-skemA7!$J$22))</f>
        <v>-1.3873873202232681</v>
      </c>
      <c r="L75" s="408">
        <f>skemA7!$K$21*COS(RADIANS(skemA7!$K$28*E75-skemA7!$K$22))</f>
        <v>-3.2229356066897874</v>
      </c>
      <c r="M75" s="408">
        <f>skemA7!$L$21*COS(RADIANS(skemA7!$L$28*E75-skemA7!$L$22))</f>
        <v>4.5025987865583712</v>
      </c>
      <c r="N75" s="408">
        <f>skemA7!$M$21*COS(RADIANS(skemA7!$M$28*E75-skemA7!$M$22))</f>
        <v>10.979314461865313</v>
      </c>
      <c r="O75" s="409">
        <f>skemA7!$D$21+'Forcasting Pasut'!F75+'Forcasting Pasut'!G75+K75+L75+'Forcasting Pasut'!H75+'Forcasting Pasut'!I75+'Forcasting Pasut'!J75+'Forcasting Pasut'!M75+'Forcasting Pasut'!N75</f>
        <v>212.38572172898978</v>
      </c>
      <c r="P75" s="405"/>
      <c r="Q75" s="406">
        <f>Z66</f>
        <v>182.8</v>
      </c>
      <c r="R75" s="406"/>
      <c r="S75" s="406"/>
      <c r="T75" s="406"/>
      <c r="U75" s="406"/>
      <c r="V75" s="406"/>
      <c r="W75" s="406"/>
      <c r="X75" s="406"/>
      <c r="Y75" s="406"/>
      <c r="Z75" s="406"/>
      <c r="AA75" s="406"/>
      <c r="AB75" s="406"/>
      <c r="AC75" s="406"/>
      <c r="AD75" s="406"/>
      <c r="AE75" s="406"/>
      <c r="AF75" s="406"/>
      <c r="AG75" s="406"/>
      <c r="AH75" s="406"/>
      <c r="AI75" s="406"/>
      <c r="AJ75" s="406"/>
      <c r="AK75" s="406"/>
      <c r="AL75" s="406"/>
      <c r="AM75" s="406"/>
      <c r="AN75" s="406"/>
      <c r="AO75" s="407"/>
      <c r="AP75" s="407"/>
    </row>
    <row r="76" spans="1:42">
      <c r="A76" s="402"/>
      <c r="B76" s="77"/>
      <c r="D76" s="131"/>
      <c r="E76" s="113">
        <f t="shared" si="0"/>
        <v>58</v>
      </c>
      <c r="F76" s="408">
        <f>skemA7!$E$21*COS(RADIANS(skemA7!$E$28*E76-skemA7!$E$22))</f>
        <v>3.0926591716113099</v>
      </c>
      <c r="G76" s="408">
        <f>skemA7!$F$21*COS(RADIANS(skemA7!$F$28*E76-skemA7!$F$22))</f>
        <v>21.842967707503139</v>
      </c>
      <c r="H76" s="408">
        <f>skemA7!$G$21*COS(RADIANS(skemA7!$G$28*E76-skemA7!$G$22))</f>
        <v>15.240755760682621</v>
      </c>
      <c r="I76" s="408">
        <f>skemA7!$H$21*COS(RADIANS(skemA7!$H$28*E76-skemA7!$H$22))</f>
        <v>35.739775316954407</v>
      </c>
      <c r="J76" s="408">
        <f>skemA7!$I$21*COS(RADIANS(skemA7!$I$28*E76-skemA7!$I$22))</f>
        <v>-26.432772580354861</v>
      </c>
      <c r="K76" s="408">
        <f>skemA7!$J$21*COS(RADIANS(skemA7!$J$28*E76-skemA7!$J$22))</f>
        <v>-1.6829710554809545</v>
      </c>
      <c r="L76" s="408">
        <f>skemA7!$K$21*COS(RADIANS(skemA7!$K$28*E76-skemA7!$K$22))</f>
        <v>-2.2925290005828955</v>
      </c>
      <c r="M76" s="408">
        <f>skemA7!$L$21*COS(RADIANS(skemA7!$L$28*E76-skemA7!$L$22))</f>
        <v>6.0378167093279114</v>
      </c>
      <c r="N76" s="408">
        <f>skemA7!$M$21*COS(RADIANS(skemA7!$M$28*E76-skemA7!$M$22))</f>
        <v>11.723170784004854</v>
      </c>
      <c r="O76" s="409">
        <f>skemA7!$D$21+'Forcasting Pasut'!F76+'Forcasting Pasut'!G76+K76+L76+'Forcasting Pasut'!H76+'Forcasting Pasut'!I76+'Forcasting Pasut'!J76+'Forcasting Pasut'!M76+'Forcasting Pasut'!N76</f>
        <v>229.43719177918274</v>
      </c>
      <c r="P76" s="405"/>
      <c r="Q76" s="406">
        <f>AA66</f>
        <v>148.5</v>
      </c>
      <c r="R76" s="406"/>
      <c r="S76" s="406"/>
      <c r="T76" s="406"/>
      <c r="U76" s="406"/>
      <c r="V76" s="406"/>
      <c r="W76" s="406"/>
      <c r="X76" s="406"/>
      <c r="Y76" s="406"/>
      <c r="Z76" s="406"/>
      <c r="AA76" s="406"/>
      <c r="AB76" s="406"/>
      <c r="AC76" s="406"/>
      <c r="AD76" s="406"/>
      <c r="AE76" s="406"/>
      <c r="AF76" s="406"/>
      <c r="AG76" s="406"/>
      <c r="AH76" s="406"/>
      <c r="AI76" s="406"/>
      <c r="AJ76" s="406"/>
      <c r="AK76" s="406"/>
      <c r="AL76" s="406"/>
      <c r="AM76" s="406"/>
      <c r="AN76" s="406"/>
      <c r="AO76" s="407"/>
      <c r="AP76" s="407"/>
    </row>
    <row r="77" spans="1:42">
      <c r="A77" s="402"/>
      <c r="B77" s="77"/>
      <c r="D77" s="131"/>
      <c r="E77" s="113">
        <f t="shared" si="0"/>
        <v>59</v>
      </c>
      <c r="F77" s="408">
        <f>skemA7!$E$21*COS(RADIANS(skemA7!$E$28*E77-skemA7!$E$22))</f>
        <v>13.345906796039014</v>
      </c>
      <c r="G77" s="408">
        <f>skemA7!$F$21*COS(RADIANS(skemA7!$F$28*E77-skemA7!$F$22))</f>
        <v>22.50182090141282</v>
      </c>
      <c r="H77" s="408">
        <f>skemA7!$G$21*COS(RADIANS(skemA7!$G$28*E77-skemA7!$G$22))</f>
        <v>9.2505491874395762</v>
      </c>
      <c r="I77" s="408">
        <f>skemA7!$H$21*COS(RADIANS(skemA7!$H$28*E77-skemA7!$H$22))</f>
        <v>34.803162737452524</v>
      </c>
      <c r="J77" s="408">
        <f>skemA7!$I$21*COS(RADIANS(skemA7!$I$28*E77-skemA7!$I$22))</f>
        <v>-27.477816107945202</v>
      </c>
      <c r="K77" s="408">
        <f>skemA7!$J$21*COS(RADIANS(skemA7!$J$28*E77-skemA7!$J$22))</f>
        <v>-0.39788421122473228</v>
      </c>
      <c r="L77" s="408">
        <f>skemA7!$K$21*COS(RADIANS(skemA7!$K$28*E77-skemA7!$K$22))</f>
        <v>0.8603587442951357</v>
      </c>
      <c r="M77" s="408">
        <f>skemA7!$L$21*COS(RADIANS(skemA7!$L$28*E77-skemA7!$L$22))</f>
        <v>5.9465546715914579</v>
      </c>
      <c r="N77" s="408">
        <f>skemA7!$M$21*COS(RADIANS(skemA7!$M$28*E77-skemA7!$M$22))</f>
        <v>11.672449019018806</v>
      </c>
      <c r="O77" s="409">
        <f>skemA7!$D$21+'Forcasting Pasut'!F77+'Forcasting Pasut'!G77+K77+L77+'Forcasting Pasut'!H77+'Forcasting Pasut'!I77+'Forcasting Pasut'!J77+'Forcasting Pasut'!M77+'Forcasting Pasut'!N77</f>
        <v>236.67342070359666</v>
      </c>
      <c r="P77" s="405"/>
      <c r="Q77" s="406">
        <f>AB66</f>
        <v>122</v>
      </c>
      <c r="R77" s="406"/>
      <c r="S77" s="406"/>
      <c r="T77" s="406"/>
      <c r="U77" s="406"/>
      <c r="V77" s="406"/>
      <c r="W77" s="406"/>
      <c r="X77" s="406"/>
      <c r="Y77" s="406"/>
      <c r="Z77" s="406"/>
      <c r="AA77" s="406"/>
      <c r="AB77" s="406"/>
      <c r="AC77" s="406"/>
      <c r="AD77" s="406"/>
      <c r="AE77" s="406"/>
      <c r="AF77" s="406"/>
      <c r="AG77" s="406"/>
      <c r="AH77" s="406"/>
      <c r="AI77" s="406"/>
      <c r="AJ77" s="406"/>
      <c r="AK77" s="406"/>
      <c r="AL77" s="406"/>
      <c r="AM77" s="406"/>
      <c r="AN77" s="406"/>
      <c r="AO77" s="407"/>
      <c r="AP77" s="407"/>
    </row>
    <row r="78" spans="1:42">
      <c r="A78" s="402"/>
      <c r="B78" s="77"/>
      <c r="D78" s="131"/>
      <c r="E78" s="113">
        <f t="shared" si="0"/>
        <v>60</v>
      </c>
      <c r="F78" s="408">
        <f>skemA7!$E$21*COS(RADIANS(skemA7!$E$28*E78-skemA7!$E$22))</f>
        <v>20.256139759803276</v>
      </c>
      <c r="G78" s="408">
        <f>skemA7!$F$21*COS(RADIANS(skemA7!$F$28*E78-skemA7!$F$22))</f>
        <v>17.131329356559196</v>
      </c>
      <c r="H78" s="408">
        <f>skemA7!$G$21*COS(RADIANS(skemA7!$G$28*E78-skemA7!$G$22))</f>
        <v>1.0275617967886002</v>
      </c>
      <c r="I78" s="408">
        <f>skemA7!$H$21*COS(RADIANS(skemA7!$H$28*E78-skemA7!$H$22))</f>
        <v>31.481863338876785</v>
      </c>
      <c r="J78" s="408">
        <f>skemA7!$I$21*COS(RADIANS(skemA7!$I$28*E78-skemA7!$I$22))</f>
        <v>-26.903642442035036</v>
      </c>
      <c r="K78" s="408">
        <f>skemA7!$J$21*COS(RADIANS(skemA7!$J$28*E78-skemA7!$J$22))</f>
        <v>1.2609011970607626</v>
      </c>
      <c r="L78" s="408">
        <f>skemA7!$K$21*COS(RADIANS(skemA7!$K$28*E78-skemA7!$K$22))</f>
        <v>3.1791758705303494</v>
      </c>
      <c r="M78" s="408">
        <f>skemA7!$L$21*COS(RADIANS(skemA7!$L$28*E78-skemA7!$L$22))</f>
        <v>4.2533970359885478</v>
      </c>
      <c r="N78" s="408">
        <f>skemA7!$M$21*COS(RADIANS(skemA7!$M$28*E78-skemA7!$M$22))</f>
        <v>10.830587008404223</v>
      </c>
      <c r="O78" s="409">
        <f>skemA7!$D$21+'Forcasting Pasut'!F78+'Forcasting Pasut'!G78+K78+L78+'Forcasting Pasut'!H78+'Forcasting Pasut'!I78+'Forcasting Pasut'!J78+'Forcasting Pasut'!M78+'Forcasting Pasut'!N78</f>
        <v>228.68563188749397</v>
      </c>
      <c r="P78" s="405"/>
      <c r="Q78" s="406">
        <f>AC66</f>
        <v>113.6</v>
      </c>
      <c r="R78" s="406"/>
      <c r="S78" s="406"/>
      <c r="T78" s="406"/>
      <c r="U78" s="406"/>
      <c r="V78" s="406"/>
      <c r="W78" s="406"/>
      <c r="X78" s="406"/>
      <c r="Y78" s="406"/>
      <c r="Z78" s="406"/>
      <c r="AA78" s="406"/>
      <c r="AB78" s="406"/>
      <c r="AC78" s="406"/>
      <c r="AD78" s="406"/>
      <c r="AE78" s="406"/>
      <c r="AF78" s="406"/>
      <c r="AG78" s="406"/>
      <c r="AH78" s="406"/>
      <c r="AI78" s="406"/>
      <c r="AJ78" s="406"/>
      <c r="AK78" s="406"/>
      <c r="AL78" s="406"/>
      <c r="AM78" s="406"/>
      <c r="AN78" s="406"/>
      <c r="AO78" s="407"/>
      <c r="AP78" s="407"/>
    </row>
    <row r="79" spans="1:42">
      <c r="A79" s="402"/>
      <c r="B79" s="77"/>
      <c r="D79" s="131"/>
      <c r="E79" s="113">
        <f t="shared" si="0"/>
        <v>61</v>
      </c>
      <c r="F79" s="408">
        <f>skemA7!$E$21*COS(RADIANS(skemA7!$E$28*E79-skemA7!$E$22))</f>
        <v>22.09241460139852</v>
      </c>
      <c r="G79" s="408">
        <f>skemA7!$F$21*COS(RADIANS(skemA7!$F$28*E79-skemA7!$F$22))</f>
        <v>7.1705119453439572</v>
      </c>
      <c r="H79" s="408">
        <f>skemA7!$G$21*COS(RADIANS(skemA7!$G$28*E79-skemA7!$G$22))</f>
        <v>-7.4434454921497162</v>
      </c>
      <c r="I79" s="408">
        <f>skemA7!$H$21*COS(RADIANS(skemA7!$H$28*E79-skemA7!$H$22))</f>
        <v>26.003450085148096</v>
      </c>
      <c r="J79" s="408">
        <f>skemA7!$I$21*COS(RADIANS(skemA7!$I$28*E79-skemA7!$I$22))</f>
        <v>-24.744086581309997</v>
      </c>
      <c r="K79" s="408">
        <f>skemA7!$J$21*COS(RADIANS(skemA7!$J$28*E79-skemA7!$J$22))</f>
        <v>1.7354300969666261</v>
      </c>
      <c r="L79" s="408">
        <f>skemA7!$K$21*COS(RADIANS(skemA7!$K$28*E79-skemA7!$K$22))</f>
        <v>2.4159563432298996</v>
      </c>
      <c r="M79" s="408">
        <f>skemA7!$L$21*COS(RADIANS(skemA7!$L$28*E79-skemA7!$L$22))</f>
        <v>1.4144502225818281</v>
      </c>
      <c r="N79" s="408">
        <f>skemA7!$M$21*COS(RADIANS(skemA7!$M$28*E79-skemA7!$M$22))</f>
        <v>9.254644835848552</v>
      </c>
      <c r="O79" s="409">
        <f>skemA7!$D$21+'Forcasting Pasut'!F79+'Forcasting Pasut'!G79+K79+L79+'Forcasting Pasut'!H79+'Forcasting Pasut'!I79+'Forcasting Pasut'!J79+'Forcasting Pasut'!M79+'Forcasting Pasut'!N79</f>
        <v>204.06764502257502</v>
      </c>
      <c r="P79" s="405"/>
      <c r="Q79" s="406">
        <f>AD66</f>
        <v>123.4</v>
      </c>
      <c r="R79" s="406"/>
      <c r="S79" s="406"/>
      <c r="T79" s="406"/>
      <c r="U79" s="406"/>
      <c r="V79" s="406"/>
      <c r="W79" s="406"/>
      <c r="X79" s="406"/>
      <c r="Y79" s="406"/>
      <c r="Z79" s="406"/>
      <c r="AA79" s="406"/>
      <c r="AB79" s="406"/>
      <c r="AC79" s="406"/>
      <c r="AD79" s="406"/>
      <c r="AE79" s="406"/>
      <c r="AF79" s="406"/>
      <c r="AG79" s="406"/>
      <c r="AH79" s="406"/>
      <c r="AI79" s="406"/>
      <c r="AJ79" s="406"/>
      <c r="AK79" s="406"/>
      <c r="AL79" s="406"/>
      <c r="AM79" s="406"/>
      <c r="AN79" s="406"/>
      <c r="AO79" s="407"/>
      <c r="AP79" s="407"/>
    </row>
    <row r="80" spans="1:42">
      <c r="A80" s="402"/>
      <c r="B80" s="77"/>
      <c r="D80" s="131"/>
      <c r="E80" s="113">
        <f t="shared" si="0"/>
        <v>62</v>
      </c>
      <c r="F80" s="408">
        <f>skemA7!$E$21*COS(RADIANS(skemA7!$E$28*E80-skemA7!$E$22))</f>
        <v>18.394763046635923</v>
      </c>
      <c r="G80" s="408">
        <f>skemA7!$F$21*COS(RADIANS(skemA7!$F$28*E80-skemA7!$F$22))</f>
        <v>-4.7116383509439874</v>
      </c>
      <c r="H80" s="408">
        <f>skemA7!$G$21*COS(RADIANS(skemA7!$G$28*E80-skemA7!$G$22))</f>
        <v>-14.11784784731179</v>
      </c>
      <c r="I80" s="408">
        <f>skemA7!$H$21*COS(RADIANS(skemA7!$H$28*E80-skemA7!$H$22))</f>
        <v>18.743299776764708</v>
      </c>
      <c r="J80" s="408">
        <f>skemA7!$I$21*COS(RADIANS(skemA7!$I$28*E80-skemA7!$I$22))</f>
        <v>-21.126407182945556</v>
      </c>
      <c r="K80" s="408">
        <f>skemA7!$J$21*COS(RADIANS(skemA7!$J$28*E80-skemA7!$J$22))</f>
        <v>0.58001813238496047</v>
      </c>
      <c r="L80" s="408">
        <f>skemA7!$K$21*COS(RADIANS(skemA7!$K$28*E80-skemA7!$K$22))</f>
        <v>-0.68940036251312453</v>
      </c>
      <c r="M80" s="408">
        <f>skemA7!$L$21*COS(RADIANS(skemA7!$L$28*E80-skemA7!$L$22))</f>
        <v>-1.8055242127148576</v>
      </c>
      <c r="N80" s="408">
        <f>skemA7!$M$21*COS(RADIANS(skemA7!$M$28*E80-skemA7!$M$22))</f>
        <v>7.0514373844548244</v>
      </c>
      <c r="O80" s="409">
        <f>skemA7!$D$21+'Forcasting Pasut'!F80+'Forcasting Pasut'!G80+K80+L80+'Forcasting Pasut'!H80+'Forcasting Pasut'!I80+'Forcasting Pasut'!J80+'Forcasting Pasut'!M80+'Forcasting Pasut'!N80</f>
        <v>168.48701934932836</v>
      </c>
      <c r="P80" s="405"/>
      <c r="Q80" s="406">
        <f>AE66</f>
        <v>143.4</v>
      </c>
      <c r="R80" s="406"/>
      <c r="S80" s="406"/>
      <c r="T80" s="406"/>
      <c r="U80" s="406"/>
      <c r="V80" s="406"/>
      <c r="W80" s="406"/>
      <c r="X80" s="406"/>
      <c r="Y80" s="406"/>
      <c r="Z80" s="406"/>
      <c r="AA80" s="406"/>
      <c r="AB80" s="406"/>
      <c r="AC80" s="406"/>
      <c r="AD80" s="406"/>
      <c r="AE80" s="406"/>
      <c r="AF80" s="406"/>
      <c r="AG80" s="406"/>
      <c r="AH80" s="406"/>
      <c r="AI80" s="406"/>
      <c r="AJ80" s="406"/>
      <c r="AK80" s="406"/>
      <c r="AL80" s="406"/>
      <c r="AM80" s="406"/>
      <c r="AN80" s="406"/>
      <c r="AO80" s="407"/>
      <c r="AP80" s="407"/>
    </row>
    <row r="81" spans="1:42">
      <c r="A81" s="402"/>
      <c r="B81" s="77"/>
      <c r="D81" s="131"/>
      <c r="E81" s="113">
        <f t="shared" si="0"/>
        <v>63</v>
      </c>
      <c r="F81" s="408">
        <f>skemA7!$E$21*COS(RADIANS(skemA7!$E$28*E81-skemA7!$E$22))</f>
        <v>10.089409408820636</v>
      </c>
      <c r="G81" s="408">
        <f>skemA7!$F$21*COS(RADIANS(skemA7!$F$28*E81-skemA7!$F$22))</f>
        <v>-15.331308956068908</v>
      </c>
      <c r="H81" s="408">
        <f>skemA7!$G$21*COS(RADIANS(skemA7!$G$28*E81-skemA7!$G$22))</f>
        <v>-17.384662261710108</v>
      </c>
      <c r="I81" s="408">
        <f>skemA7!$H$21*COS(RADIANS(skemA7!$H$28*E81-skemA7!$H$22))</f>
        <v>10.198872511692546</v>
      </c>
      <c r="J81" s="408">
        <f>skemA7!$I$21*COS(RADIANS(skemA7!$I$28*E81-skemA7!$I$22))</f>
        <v>-16.263787443866569</v>
      </c>
      <c r="K81" s="408">
        <f>skemA7!$J$21*COS(RADIANS(skemA7!$J$28*E81-skemA7!$J$22))</f>
        <v>-1.1201551900701701</v>
      </c>
      <c r="L81" s="408">
        <f>skemA7!$K$21*COS(RADIANS(skemA7!$K$28*E81-skemA7!$K$22))</f>
        <v>-3.1264212250201973</v>
      </c>
      <c r="M81" s="408">
        <f>skemA7!$L$21*COS(RADIANS(skemA7!$L$28*E81-skemA7!$L$22))</f>
        <v>-4.5391226794180568</v>
      </c>
      <c r="N81" s="408">
        <f>skemA7!$M$21*COS(RADIANS(skemA7!$M$28*E81-skemA7!$M$22))</f>
        <v>4.3702945918758402</v>
      </c>
      <c r="O81" s="409">
        <f>skemA7!$D$21+'Forcasting Pasut'!F81+'Forcasting Pasut'!G81+K81+L81+'Forcasting Pasut'!H81+'Forcasting Pasut'!I81+'Forcasting Pasut'!J81+'Forcasting Pasut'!M81+'Forcasting Pasut'!N81</f>
        <v>133.06143772175227</v>
      </c>
      <c r="P81" s="405"/>
      <c r="Q81" s="406">
        <f>AF66</f>
        <v>164.1</v>
      </c>
      <c r="R81" s="406"/>
      <c r="S81" s="406"/>
      <c r="T81" s="406"/>
      <c r="U81" s="406"/>
      <c r="V81" s="406"/>
      <c r="W81" s="406"/>
      <c r="X81" s="406"/>
      <c r="Y81" s="406"/>
      <c r="Z81" s="406"/>
      <c r="AA81" s="406"/>
      <c r="AB81" s="406"/>
      <c r="AC81" s="406"/>
      <c r="AD81" s="406"/>
      <c r="AE81" s="406"/>
      <c r="AF81" s="406"/>
      <c r="AG81" s="406"/>
      <c r="AH81" s="406"/>
      <c r="AI81" s="406"/>
      <c r="AJ81" s="406"/>
      <c r="AK81" s="406"/>
      <c r="AL81" s="406"/>
      <c r="AM81" s="406"/>
      <c r="AN81" s="406"/>
      <c r="AO81" s="407"/>
      <c r="AP81" s="407"/>
    </row>
    <row r="82" spans="1:42">
      <c r="A82" s="402"/>
      <c r="B82" s="77"/>
      <c r="D82" s="131"/>
      <c r="E82" s="113">
        <f t="shared" si="0"/>
        <v>64</v>
      </c>
      <c r="F82" s="408">
        <f>skemA7!$E$21*COS(RADIANS(skemA7!$E$28*E82-skemA7!$E$22))</f>
        <v>-0.7432392331179174</v>
      </c>
      <c r="G82" s="408">
        <f>skemA7!$F$21*COS(RADIANS(skemA7!$F$28*E82-skemA7!$F$22))</f>
        <v>-21.842967707503135</v>
      </c>
      <c r="H82" s="408">
        <f>skemA7!$G$21*COS(RADIANS(skemA7!$G$28*E82-skemA7!$G$22))</f>
        <v>-16.455386300440075</v>
      </c>
      <c r="I82" s="408">
        <f>skemA7!$H$21*COS(RADIANS(skemA7!$H$28*E82-skemA7!$H$22))</f>
        <v>0.95562608953621209</v>
      </c>
      <c r="J82" s="408">
        <f>skemA7!$I$21*COS(RADIANS(skemA7!$I$28*E82-skemA7!$I$22))</f>
        <v>-10.442772606825899</v>
      </c>
      <c r="K82" s="408">
        <f>skemA7!$J$21*COS(RADIANS(skemA7!$J$28*E82-skemA7!$J$22))</f>
        <v>-1.7682626747514163</v>
      </c>
      <c r="L82" s="408">
        <f>skemA7!$K$21*COS(RADIANS(skemA7!$K$28*E82-skemA7!$K$22))</f>
        <v>-2.5325481696337762</v>
      </c>
      <c r="M82" s="408">
        <f>skemA7!$L$21*COS(RADIANS(skemA7!$L$28*E82-skemA7!$L$22))</f>
        <v>-6.0499625842480862</v>
      </c>
      <c r="N82" s="408">
        <f>skemA7!$M$21*COS(RADIANS(skemA7!$M$28*E82-skemA7!$M$22))</f>
        <v>1.3929401018842822</v>
      </c>
      <c r="O82" s="409">
        <f>skemA7!$D$21+'Forcasting Pasut'!F82+'Forcasting Pasut'!G82+K82+L82+'Forcasting Pasut'!H82+'Forcasting Pasut'!I82+'Forcasting Pasut'!J82+'Forcasting Pasut'!M82+'Forcasting Pasut'!N82</f>
        <v>108.68174588041744</v>
      </c>
      <c r="P82" s="405"/>
      <c r="Q82" s="406">
        <f>AG66</f>
        <v>177.8</v>
      </c>
      <c r="R82" s="406"/>
      <c r="S82" s="406"/>
      <c r="T82" s="406"/>
      <c r="U82" s="406"/>
      <c r="V82" s="406"/>
      <c r="W82" s="406"/>
      <c r="X82" s="406"/>
      <c r="Y82" s="406"/>
      <c r="Z82" s="406"/>
      <c r="AA82" s="406"/>
      <c r="AB82" s="406"/>
      <c r="AC82" s="406"/>
      <c r="AD82" s="406"/>
      <c r="AE82" s="406"/>
      <c r="AF82" s="406"/>
      <c r="AG82" s="406"/>
      <c r="AH82" s="406"/>
      <c r="AI82" s="406"/>
      <c r="AJ82" s="406"/>
      <c r="AK82" s="406"/>
      <c r="AL82" s="406"/>
      <c r="AM82" s="406"/>
      <c r="AN82" s="406"/>
      <c r="AO82" s="407"/>
      <c r="AP82" s="407"/>
    </row>
    <row r="83" spans="1:42">
      <c r="A83" s="402"/>
      <c r="B83" s="77"/>
      <c r="D83" s="131"/>
      <c r="E83" s="113">
        <f t="shared" si="0"/>
        <v>65</v>
      </c>
      <c r="F83" s="408">
        <f>skemA7!$E$21*COS(RADIANS(skemA7!$E$28*E83-skemA7!$E$22))</f>
        <v>-11.389713964908092</v>
      </c>
      <c r="G83" s="408">
        <f>skemA7!$F$21*COS(RADIANS(skemA7!$F$28*E83-skemA7!$F$22))</f>
        <v>-22.50182090141282</v>
      </c>
      <c r="H83" s="408">
        <f>skemA7!$G$21*COS(RADIANS(skemA7!$G$28*E83-skemA7!$G$22))</f>
        <v>-11.554316867216267</v>
      </c>
      <c r="I83" s="408">
        <f>skemA7!$H$21*COS(RADIANS(skemA7!$H$28*E83-skemA7!$H$22))</f>
        <v>-8.3530991213403123</v>
      </c>
      <c r="J83" s="408">
        <f>skemA7!$I$21*COS(RADIANS(skemA7!$I$28*E83-skemA7!$I$22))</f>
        <v>-4.0063843759768583</v>
      </c>
      <c r="K83" s="408">
        <f>skemA7!$J$21*COS(RADIANS(skemA7!$J$28*E83-skemA7!$J$22))</f>
        <v>-0.7555924664774043</v>
      </c>
      <c r="L83" s="408">
        <f>skemA7!$K$21*COS(RADIANS(skemA7!$K$28*E83-skemA7!$K$22))</f>
        <v>0.51649144574350259</v>
      </c>
      <c r="M83" s="408">
        <f>skemA7!$L$21*COS(RADIANS(skemA7!$L$28*E83-skemA7!$L$22))</f>
        <v>-5.9310506468453887</v>
      </c>
      <c r="N83" s="408">
        <f>skemA7!$M$21*COS(RADIANS(skemA7!$M$28*E83-skemA7!$M$22))</f>
        <v>-1.6788256785361499</v>
      </c>
      <c r="O83" s="409">
        <f>skemA7!$D$21+'Forcasting Pasut'!F83+'Forcasting Pasut'!G83+K83+L83+'Forcasting Pasut'!H83+'Forcasting Pasut'!I83+'Forcasting Pasut'!J83+'Forcasting Pasut'!M83+'Forcasting Pasut'!N83</f>
        <v>100.51400638854744</v>
      </c>
      <c r="P83" s="405"/>
      <c r="Q83" s="406">
        <f>AH66</f>
        <v>182.1</v>
      </c>
      <c r="R83" s="406"/>
      <c r="S83" s="406"/>
      <c r="T83" s="406"/>
      <c r="U83" s="406"/>
      <c r="V83" s="406"/>
      <c r="W83" s="406"/>
      <c r="X83" s="406"/>
      <c r="Y83" s="406"/>
      <c r="Z83" s="406"/>
      <c r="AA83" s="406"/>
      <c r="AB83" s="406"/>
      <c r="AC83" s="406"/>
      <c r="AD83" s="406"/>
      <c r="AE83" s="406"/>
      <c r="AF83" s="406"/>
      <c r="AG83" s="406"/>
      <c r="AH83" s="406"/>
      <c r="AI83" s="406"/>
      <c r="AJ83" s="406"/>
      <c r="AK83" s="406"/>
      <c r="AL83" s="406"/>
      <c r="AM83" s="406"/>
      <c r="AN83" s="406"/>
      <c r="AO83" s="407"/>
      <c r="AP83" s="407"/>
    </row>
    <row r="84" spans="1:42">
      <c r="A84" s="402"/>
      <c r="B84" s="77"/>
      <c r="D84" s="131"/>
      <c r="E84" s="113">
        <f t="shared" ref="E84:E147" si="1">E83+1</f>
        <v>66</v>
      </c>
      <c r="F84" s="408">
        <f>skemA7!$E$21*COS(RADIANS(skemA7!$E$28*E84-skemA7!$E$22))</f>
        <v>-19.183180553650853</v>
      </c>
      <c r="G84" s="408">
        <f>skemA7!$F$21*COS(RADIANS(skemA7!$F$28*E84-skemA7!$F$22))</f>
        <v>-17.131329356559196</v>
      </c>
      <c r="H84" s="408">
        <f>skemA7!$G$21*COS(RADIANS(skemA7!$G$28*E84-skemA7!$G$22))</f>
        <v>-3.8644122484661434</v>
      </c>
      <c r="I84" s="408">
        <f>skemA7!$H$21*COS(RADIANS(skemA7!$H$28*E84-skemA7!$H$22))</f>
        <v>-17.089476194682668</v>
      </c>
      <c r="J84" s="408">
        <f>skemA7!$I$21*COS(RADIANS(skemA7!$I$28*E84-skemA7!$I$22))</f>
        <v>2.666092721609949</v>
      </c>
      <c r="K84" s="408">
        <f>skemA7!$J$21*COS(RADIANS(skemA7!$J$28*E84-skemA7!$J$22))</f>
        <v>0.96674103515723098</v>
      </c>
      <c r="L84" s="408">
        <f>skemA7!$K$21*COS(RADIANS(skemA7!$K$28*E84-skemA7!$K$22))</f>
        <v>3.0648209299906295</v>
      </c>
      <c r="M84" s="408">
        <f>skemA7!$L$21*COS(RADIANS(skemA7!$L$28*E84-skemA7!$L$22))</f>
        <v>-4.2144196188752696</v>
      </c>
      <c r="N84" s="408">
        <f>skemA7!$M$21*COS(RADIANS(skemA7!$M$28*E84-skemA7!$M$22))</f>
        <v>-4.6368032935492636</v>
      </c>
      <c r="O84" s="409">
        <f>skemA7!$D$21+'Forcasting Pasut'!F84+'Forcasting Pasut'!G84+K84+L84+'Forcasting Pasut'!H84+'Forcasting Pasut'!I84+'Forcasting Pasut'!J84+'Forcasting Pasut'!M84+'Forcasting Pasut'!N84</f>
        <v>106.74635238649162</v>
      </c>
      <c r="P84" s="405"/>
      <c r="Q84" s="406">
        <f>AI66</f>
        <v>178.7</v>
      </c>
      <c r="R84" s="406"/>
      <c r="S84" s="406"/>
      <c r="T84" s="406"/>
      <c r="U84" s="406"/>
      <c r="V84" s="406"/>
      <c r="W84" s="406"/>
      <c r="X84" s="406"/>
      <c r="Y84" s="406"/>
      <c r="Z84" s="406"/>
      <c r="AA84" s="406"/>
      <c r="AB84" s="406"/>
      <c r="AC84" s="406"/>
      <c r="AD84" s="406"/>
      <c r="AE84" s="406"/>
      <c r="AF84" s="406"/>
      <c r="AG84" s="406"/>
      <c r="AH84" s="406"/>
      <c r="AI84" s="406"/>
      <c r="AJ84" s="406"/>
      <c r="AK84" s="406"/>
      <c r="AL84" s="406"/>
      <c r="AM84" s="406"/>
      <c r="AN84" s="406"/>
      <c r="AO84" s="407"/>
      <c r="AP84" s="407"/>
    </row>
    <row r="85" spans="1:42">
      <c r="A85" s="402"/>
      <c r="B85" s="77"/>
      <c r="D85" s="131"/>
      <c r="E85" s="113">
        <f t="shared" si="1"/>
        <v>67</v>
      </c>
      <c r="F85" s="408">
        <f>skemA7!$E$21*COS(RADIANS(skemA7!$E$28*E85-skemA7!$E$22))</f>
        <v>-22.171454448552538</v>
      </c>
      <c r="G85" s="408">
        <f>skemA7!$F$21*COS(RADIANS(skemA7!$F$28*E85-skemA7!$F$22))</f>
        <v>-7.1705119453439607</v>
      </c>
      <c r="H85" s="408">
        <f>skemA7!$G$21*COS(RADIANS(skemA7!$G$28*E85-skemA7!$G$22))</f>
        <v>4.7582354284633315</v>
      </c>
      <c r="I85" s="408">
        <f>skemA7!$H$21*COS(RADIANS(skemA7!$H$28*E85-skemA7!$H$22))</f>
        <v>-24.654895072824033</v>
      </c>
      <c r="J85" s="408">
        <f>skemA7!$I$21*COS(RADIANS(skemA7!$I$28*E85-skemA7!$I$22))</f>
        <v>9.1814618759257787</v>
      </c>
      <c r="K85" s="408">
        <f>skemA7!$J$21*COS(RADIANS(skemA7!$J$28*E85-skemA7!$J$22))</f>
        <v>1.7810974760424767</v>
      </c>
      <c r="L85" s="408">
        <f>skemA7!$K$21*COS(RADIANS(skemA7!$K$28*E85-skemA7!$K$22))</f>
        <v>2.6419746040807883</v>
      </c>
      <c r="M85" s="408">
        <f>skemA7!$L$21*COS(RADIANS(skemA7!$L$28*E85-skemA7!$L$22))</f>
        <v>-1.3624992329698247</v>
      </c>
      <c r="N85" s="408">
        <f>skemA7!$M$21*COS(RADIANS(skemA7!$M$28*E85-skemA7!$M$22))</f>
        <v>-7.2805056702972415</v>
      </c>
      <c r="O85" s="409">
        <f>skemA7!$D$21+'Forcasting Pasut'!F85+'Forcasting Pasut'!G85+K85+L85+'Forcasting Pasut'!H85+'Forcasting Pasut'!I85+'Forcasting Pasut'!J85+'Forcasting Pasut'!M85+'Forcasting Pasut'!N85</f>
        <v>121.89122198004203</v>
      </c>
      <c r="P85" s="405"/>
      <c r="Q85" s="406">
        <f>AJ66</f>
        <v>162.60000000000002</v>
      </c>
      <c r="R85" s="406"/>
      <c r="S85" s="406"/>
      <c r="T85" s="406"/>
      <c r="U85" s="406"/>
      <c r="V85" s="406"/>
      <c r="W85" s="406"/>
      <c r="X85" s="406"/>
      <c r="Y85" s="406"/>
      <c r="Z85" s="406"/>
      <c r="AA85" s="406"/>
      <c r="AB85" s="406"/>
      <c r="AC85" s="406"/>
      <c r="AD85" s="406"/>
      <c r="AE85" s="406"/>
      <c r="AF85" s="406"/>
      <c r="AG85" s="406"/>
      <c r="AH85" s="406"/>
      <c r="AI85" s="406"/>
      <c r="AJ85" s="406"/>
      <c r="AK85" s="406"/>
      <c r="AL85" s="406"/>
      <c r="AM85" s="406"/>
      <c r="AN85" s="406"/>
      <c r="AO85" s="407"/>
      <c r="AP85" s="407"/>
    </row>
    <row r="86" spans="1:42">
      <c r="A86" s="402"/>
      <c r="B86" s="77"/>
      <c r="D86" s="131"/>
      <c r="E86" s="113">
        <f t="shared" si="1"/>
        <v>68</v>
      </c>
      <c r="F86" s="408">
        <f>skemA7!$E$21*COS(RADIANS(skemA7!$E$28*E86-skemA7!$E$22))</f>
        <v>-19.606003264859865</v>
      </c>
      <c r="G86" s="408">
        <f>skemA7!$F$21*COS(RADIANS(skemA7!$F$28*E86-skemA7!$F$22))</f>
        <v>4.7116383509439848</v>
      </c>
      <c r="H86" s="408">
        <f>skemA7!$G$21*COS(RADIANS(skemA7!$G$28*E86-skemA7!$G$22))</f>
        <v>12.232400288414867</v>
      </c>
      <c r="I86" s="408">
        <f>skemA7!$H$21*COS(RADIANS(skemA7!$H$28*E86-skemA7!$H$22))</f>
        <v>-30.530978882502069</v>
      </c>
      <c r="J86" s="408">
        <f>skemA7!$I$21*COS(RADIANS(skemA7!$I$28*E86-skemA7!$I$22))</f>
        <v>15.15578435926296</v>
      </c>
      <c r="K86" s="408">
        <f>skemA7!$J$21*COS(RADIANS(skemA7!$J$28*E86-skemA7!$J$22))</f>
        <v>0.92262159431700108</v>
      </c>
      <c r="L86" s="408">
        <f>skemA7!$K$21*COS(RADIANS(skemA7!$K$28*E86-skemA7!$K$22))</f>
        <v>-0.34212120883180203</v>
      </c>
      <c r="M86" s="408">
        <f>skemA7!$L$21*COS(RADIANS(skemA7!$L$28*E86-skemA7!$L$22))</f>
        <v>1.856454106288852</v>
      </c>
      <c r="N86" s="408">
        <f>skemA7!$M$21*COS(RADIANS(skemA7!$M$28*E86-skemA7!$M$22))</f>
        <v>-9.4307468175368356</v>
      </c>
      <c r="O86" s="409">
        <f>skemA7!$D$21+'Forcasting Pasut'!F86+'Forcasting Pasut'!G86+K86+L86+'Forcasting Pasut'!H86+'Forcasting Pasut'!I86+'Forcasting Pasut'!J86+'Forcasting Pasut'!M86+'Forcasting Pasut'!N86</f>
        <v>141.13736749101437</v>
      </c>
      <c r="P86" s="405"/>
      <c r="Q86" s="406">
        <f>AK66</f>
        <v>139.9</v>
      </c>
      <c r="R86" s="406"/>
      <c r="S86" s="406"/>
      <c r="T86" s="406"/>
      <c r="U86" s="406"/>
      <c r="V86" s="406"/>
      <c r="W86" s="406"/>
      <c r="X86" s="406"/>
      <c r="Y86" s="406"/>
      <c r="Z86" s="406"/>
      <c r="AA86" s="406"/>
      <c r="AB86" s="406"/>
      <c r="AC86" s="406"/>
      <c r="AD86" s="406"/>
      <c r="AE86" s="406"/>
      <c r="AF86" s="406"/>
      <c r="AG86" s="406"/>
      <c r="AH86" s="406"/>
      <c r="AI86" s="406"/>
      <c r="AJ86" s="406"/>
      <c r="AK86" s="406"/>
      <c r="AL86" s="406"/>
      <c r="AM86" s="406"/>
      <c r="AN86" s="406"/>
      <c r="AO86" s="407"/>
      <c r="AP86" s="407"/>
    </row>
    <row r="87" spans="1:42">
      <c r="A87" s="402"/>
      <c r="B87" s="77"/>
      <c r="D87" s="131"/>
      <c r="E87" s="113">
        <f t="shared" si="1"/>
        <v>69</v>
      </c>
      <c r="F87" s="408">
        <f>skemA7!$E$21*COS(RADIANS(skemA7!$E$28*E87-skemA7!$E$22))</f>
        <v>-12.12944657495335</v>
      </c>
      <c r="G87" s="408">
        <f>skemA7!$F$21*COS(RADIANS(skemA7!$F$28*E87-skemA7!$F$22))</f>
        <v>15.331308956068908</v>
      </c>
      <c r="H87" s="408">
        <f>skemA7!$G$21*COS(RADIANS(skemA7!$G$28*E87-skemA7!$G$22))</f>
        <v>16.754062744302431</v>
      </c>
      <c r="I87" s="408">
        <f>skemA7!$H$21*COS(RADIANS(skemA7!$H$28*E87-skemA7!$H$22))</f>
        <v>-34.315102732570672</v>
      </c>
      <c r="J87" s="408">
        <f>skemA7!$I$21*COS(RADIANS(skemA7!$I$28*E87-skemA7!$I$22))</f>
        <v>20.237004329682055</v>
      </c>
      <c r="K87" s="408">
        <f>skemA7!$J$21*COS(RADIANS(skemA7!$J$28*E87-skemA7!$J$22))</f>
        <v>-0.80239373585096263</v>
      </c>
      <c r="L87" s="408">
        <f>skemA7!$K$21*COS(RADIANS(skemA7!$K$28*E87-skemA7!$K$22))</f>
        <v>-2.9945492724557776</v>
      </c>
      <c r="M87" s="408">
        <f>skemA7!$L$21*COS(RADIANS(skemA7!$L$28*E87-skemA7!$L$22))</f>
        <v>4.5753118734489044</v>
      </c>
      <c r="N87" s="408">
        <f>skemA7!$M$21*COS(RADIANS(skemA7!$M$28*E87-skemA7!$M$22))</f>
        <v>-10.94178677044868</v>
      </c>
      <c r="O87" s="409">
        <f>skemA7!$D$21+'Forcasting Pasut'!F87+'Forcasting Pasut'!G87+K87+L87+'Forcasting Pasut'!H87+'Forcasting Pasut'!I87+'Forcasting Pasut'!J87+'Forcasting Pasut'!M87+'Forcasting Pasut'!N87</f>
        <v>161.88272778274009</v>
      </c>
      <c r="P87" s="405"/>
      <c r="Q87" s="406">
        <f>AL66</f>
        <v>114.6</v>
      </c>
      <c r="R87" s="406"/>
      <c r="S87" s="406"/>
      <c r="T87" s="406"/>
      <c r="U87" s="406"/>
      <c r="V87" s="406"/>
      <c r="W87" s="406"/>
      <c r="X87" s="406"/>
      <c r="Y87" s="406"/>
      <c r="Z87" s="406"/>
      <c r="AA87" s="406"/>
      <c r="AB87" s="406"/>
      <c r="AC87" s="406"/>
      <c r="AD87" s="406"/>
      <c r="AE87" s="406"/>
      <c r="AF87" s="406"/>
      <c r="AG87" s="406"/>
      <c r="AH87" s="406"/>
      <c r="AI87" s="406"/>
      <c r="AJ87" s="406"/>
      <c r="AK87" s="406"/>
      <c r="AL87" s="406"/>
      <c r="AM87" s="406"/>
      <c r="AN87" s="406"/>
      <c r="AO87" s="407"/>
      <c r="AP87" s="407"/>
    </row>
    <row r="88" spans="1:42">
      <c r="A88" s="402"/>
      <c r="B88" s="77"/>
      <c r="D88" s="131"/>
      <c r="E88" s="113">
        <f t="shared" si="1"/>
        <v>70</v>
      </c>
      <c r="F88" s="408">
        <f>skemA7!$E$21*COS(RADIANS(skemA7!$E$28*E88-skemA7!$E$22))</f>
        <v>-1.6145862054617979</v>
      </c>
      <c r="G88" s="408">
        <f>skemA7!$F$21*COS(RADIANS(skemA7!$F$28*E88-skemA7!$F$22))</f>
        <v>21.842967707503135</v>
      </c>
      <c r="H88" s="408">
        <f>skemA7!$G$21*COS(RADIANS(skemA7!$G$28*E88-skemA7!$G$22))</f>
        <v>17.231840977627272</v>
      </c>
      <c r="I88" s="408">
        <f>skemA7!$H$21*COS(RADIANS(skemA7!$H$28*E88-skemA7!$H$22))</f>
        <v>-35.747981272009355</v>
      </c>
      <c r="J88" s="408">
        <f>skemA7!$I$21*COS(RADIANS(skemA7!$I$28*E88-skemA7!$I$22))</f>
        <v>24.125694834628483</v>
      </c>
      <c r="K88" s="408">
        <f>skemA7!$J$21*COS(RADIANS(skemA7!$J$28*E88-skemA7!$J$22))</f>
        <v>-1.773789348487034</v>
      </c>
      <c r="L88" s="408">
        <f>skemA7!$K$21*COS(RADIANS(skemA7!$K$28*E88-skemA7!$K$22))</f>
        <v>-2.7439260440517566</v>
      </c>
      <c r="M88" s="408">
        <f>skemA7!$L$21*COS(RADIANS(skemA7!$L$28*E88-skemA7!$L$22))</f>
        <v>6.0616623563562104</v>
      </c>
      <c r="N88" s="408">
        <f>skemA7!$M$21*COS(RADIANS(skemA7!$M$28*E88-skemA7!$M$22))</f>
        <v>-11.711209616352093</v>
      </c>
      <c r="O88" s="409">
        <f>skemA7!$D$21+'Forcasting Pasut'!F88+'Forcasting Pasut'!G88+K88+L88+'Forcasting Pasut'!H88+'Forcasting Pasut'!I88+'Forcasting Pasut'!J88+'Forcasting Pasut'!M88+'Forcasting Pasut'!N88</f>
        <v>181.83899235527031</v>
      </c>
      <c r="P88" s="405"/>
      <c r="Q88" s="406">
        <f>AM66</f>
        <v>88.5</v>
      </c>
      <c r="R88" s="406"/>
      <c r="S88" s="406"/>
      <c r="T88" s="406"/>
      <c r="U88" s="406"/>
      <c r="V88" s="406"/>
      <c r="W88" s="406"/>
      <c r="X88" s="406"/>
      <c r="Y88" s="406"/>
      <c r="Z88" s="406"/>
      <c r="AA88" s="406"/>
      <c r="AB88" s="406"/>
      <c r="AC88" s="406"/>
      <c r="AD88" s="406"/>
      <c r="AE88" s="406"/>
      <c r="AF88" s="406"/>
      <c r="AG88" s="406"/>
      <c r="AH88" s="406"/>
      <c r="AI88" s="406"/>
      <c r="AJ88" s="406"/>
      <c r="AK88" s="406"/>
      <c r="AL88" s="406"/>
      <c r="AM88" s="406"/>
      <c r="AN88" s="406"/>
      <c r="AO88" s="407"/>
      <c r="AP88" s="407"/>
    </row>
    <row r="89" spans="1:42">
      <c r="A89" s="402"/>
      <c r="B89" s="77"/>
      <c r="D89" s="131"/>
      <c r="E89" s="113">
        <f t="shared" si="1"/>
        <v>71</v>
      </c>
      <c r="F89" s="408">
        <f>skemA7!$E$21*COS(RADIANS(skemA7!$E$28*E89-skemA7!$E$22))</f>
        <v>9.3047116772128202</v>
      </c>
      <c r="G89" s="408">
        <f>skemA7!$F$21*COS(RADIANS(skemA7!$F$28*E89-skemA7!$F$22))</f>
        <v>22.501820901412824</v>
      </c>
      <c r="H89" s="408">
        <f>skemA7!$G$21*COS(RADIANS(skemA7!$G$28*E89-skemA7!$G$22))</f>
        <v>13.550414908172874</v>
      </c>
      <c r="I89" s="408">
        <f>skemA7!$H$21*COS(RADIANS(skemA7!$H$28*E89-skemA7!$H$22))</f>
        <v>-34.731434729280942</v>
      </c>
      <c r="J89" s="408">
        <f>skemA7!$I$21*COS(RADIANS(skemA7!$I$28*E89-skemA7!$I$22))</f>
        <v>26.592702490839304</v>
      </c>
      <c r="K89" s="408">
        <f>skemA7!$J$21*COS(RADIANS(skemA7!$J$28*E89-skemA7!$J$22))</f>
        <v>-1.0792165368430195</v>
      </c>
      <c r="L89" s="408">
        <f>skemA7!$K$21*COS(RADIANS(skemA7!$K$28*E89-skemA7!$K$22))</f>
        <v>0.16678300116741238</v>
      </c>
      <c r="M89" s="408">
        <f>skemA7!$L$21*COS(RADIANS(skemA7!$L$28*E89-skemA7!$L$22))</f>
        <v>5.915109287432351</v>
      </c>
      <c r="N89" s="408">
        <f>skemA7!$M$21*COS(RADIANS(skemA7!$M$28*E89-skemA7!$M$22))</f>
        <v>-11.686865084270689</v>
      </c>
      <c r="O89" s="409">
        <f>skemA7!$D$21+'Forcasting Pasut'!F89+'Forcasting Pasut'!G89+K89+L89+'Forcasting Pasut'!H89+'Forcasting Pasut'!I89+'Forcasting Pasut'!J89+'Forcasting Pasut'!M89+'Forcasting Pasut'!N89</f>
        <v>196.7023448813602</v>
      </c>
      <c r="P89" s="405"/>
      <c r="Q89" s="406">
        <f>AN66</f>
        <v>70.199999999999989</v>
      </c>
      <c r="R89" s="406"/>
      <c r="S89" s="406"/>
      <c r="T89" s="406"/>
      <c r="U89" s="406"/>
      <c r="V89" s="406"/>
      <c r="W89" s="406"/>
      <c r="X89" s="406"/>
      <c r="Y89" s="406"/>
      <c r="Z89" s="406"/>
      <c r="AA89" s="406"/>
      <c r="AB89" s="406"/>
      <c r="AC89" s="406"/>
      <c r="AD89" s="406"/>
      <c r="AE89" s="406"/>
      <c r="AF89" s="406"/>
      <c r="AG89" s="406"/>
      <c r="AH89" s="406"/>
      <c r="AI89" s="406"/>
      <c r="AJ89" s="406"/>
      <c r="AK89" s="406"/>
      <c r="AL89" s="406"/>
      <c r="AM89" s="406"/>
      <c r="AN89" s="406"/>
      <c r="AO89" s="407"/>
      <c r="AP89" s="407"/>
    </row>
    <row r="90" spans="1:42">
      <c r="A90" s="402">
        <v>4</v>
      </c>
      <c r="B90" s="77">
        <f>skemA1!B8</f>
        <v>44712</v>
      </c>
      <c r="C90" s="43" t="e">
        <f>skemA1!#REF!</f>
        <v>#REF!</v>
      </c>
      <c r="D90" s="139" t="e">
        <f>skemA1!#REF!</f>
        <v>#REF!</v>
      </c>
      <c r="E90" s="113">
        <f t="shared" si="1"/>
        <v>72</v>
      </c>
      <c r="F90" s="408">
        <f>skemA7!$E$21*COS(RADIANS(skemA7!$E$28*E90-skemA7!$E$22))</f>
        <v>17.893273400438055</v>
      </c>
      <c r="G90" s="408">
        <f>skemA7!$F$21*COS(RADIANS(skemA7!$F$28*E90-skemA7!$F$22))</f>
        <v>17.131329356559146</v>
      </c>
      <c r="H90" s="408">
        <f>skemA7!$G$21*COS(RADIANS(skemA7!$G$28*E90-skemA7!$G$22))</f>
        <v>6.5983606995840534</v>
      </c>
      <c r="I90" s="408">
        <f>skemA7!$H$21*COS(RADIANS(skemA7!$H$28*E90-skemA7!$H$22))</f>
        <v>-31.335116117236819</v>
      </c>
      <c r="J90" s="408">
        <f>skemA7!$I$21*COS(RADIANS(skemA7!$I$28*E90-skemA7!$I$22))</f>
        <v>27.492651071989197</v>
      </c>
      <c r="K90" s="408">
        <f>skemA7!$J$21*COS(RADIANS(skemA7!$J$28*E90-skemA7!$J$22))</f>
        <v>0.62897194166411075</v>
      </c>
      <c r="L90" s="408">
        <f>skemA7!$K$21*COS(RADIANS(skemA7!$K$28*E90-skemA7!$K$22))</f>
        <v>2.9158050734985492</v>
      </c>
      <c r="M90" s="408">
        <f>skemA7!$L$21*COS(RADIANS(skemA7!$L$28*E90-skemA7!$L$22))</f>
        <v>4.1751314453867288</v>
      </c>
      <c r="N90" s="408">
        <f>skemA7!$M$21*COS(RADIANS(skemA7!$M$28*E90-skemA7!$M$22))</f>
        <v>-10.870403208319766</v>
      </c>
      <c r="O90" s="409">
        <f>skemA7!$D$21+'Forcasting Pasut'!F90+'Forcasting Pasut'!G90+K90+L90+'Forcasting Pasut'!H90+'Forcasting Pasut'!I90+'Forcasting Pasut'!J90+'Forcasting Pasut'!M90+'Forcasting Pasut'!N90</f>
        <v>200.7983226290805</v>
      </c>
      <c r="P90" s="405"/>
      <c r="Q90" s="406">
        <f>skemA1!C8</f>
        <v>74.3</v>
      </c>
      <c r="R90" s="406">
        <f>skemA1!D8</f>
        <v>100.89999999999999</v>
      </c>
      <c r="S90" s="406">
        <f>skemA1!E8</f>
        <v>139.5</v>
      </c>
      <c r="T90" s="406">
        <f>skemA1!F8</f>
        <v>188.39999999999998</v>
      </c>
      <c r="U90" s="406">
        <f>skemA1!G8</f>
        <v>235.2</v>
      </c>
      <c r="V90" s="406">
        <f>skemA1!H8</f>
        <v>269.60000000000002</v>
      </c>
      <c r="W90" s="406">
        <f>skemA1!I8</f>
        <v>281.5</v>
      </c>
      <c r="X90" s="406">
        <f>skemA1!J8</f>
        <v>273.8</v>
      </c>
      <c r="Y90" s="406">
        <f>skemA1!K8</f>
        <v>246</v>
      </c>
      <c r="Z90" s="406">
        <f>skemA1!L8</f>
        <v>202.8</v>
      </c>
      <c r="AA90" s="406">
        <f>skemA1!M8</f>
        <v>165.3</v>
      </c>
      <c r="AB90" s="406">
        <f>skemA1!N8</f>
        <v>134.5</v>
      </c>
      <c r="AC90" s="406">
        <f>skemA1!O8</f>
        <v>118</v>
      </c>
      <c r="AD90" s="406">
        <f>skemA1!P8</f>
        <v>115.19999999999999</v>
      </c>
      <c r="AE90" s="406">
        <f>skemA1!Q8</f>
        <v>126.1</v>
      </c>
      <c r="AF90" s="406">
        <f>skemA1!R8</f>
        <v>147</v>
      </c>
      <c r="AG90" s="406">
        <f>skemA1!S8</f>
        <v>166.79999999999998</v>
      </c>
      <c r="AH90" s="406">
        <f>skemA1!T8</f>
        <v>177.1</v>
      </c>
      <c r="AI90" s="406">
        <f>skemA1!U8</f>
        <v>176.5</v>
      </c>
      <c r="AJ90" s="406">
        <f>skemA1!V8</f>
        <v>165.3</v>
      </c>
      <c r="AK90" s="406">
        <f>skemA1!W8</f>
        <v>144.4</v>
      </c>
      <c r="AL90" s="406">
        <f>skemA1!X8</f>
        <v>122.6</v>
      </c>
      <c r="AM90" s="406">
        <f>skemA1!Y8</f>
        <v>95.6</v>
      </c>
      <c r="AN90" s="406">
        <f>skemA1!Z8</f>
        <v>73.8</v>
      </c>
      <c r="AO90" s="407">
        <f>SUM(Q90:AN90)</f>
        <v>3940.2000000000003</v>
      </c>
      <c r="AP90" s="410">
        <f>AVERAGE(Q90:AN90)</f>
        <v>164.17500000000001</v>
      </c>
    </row>
    <row r="91" spans="1:42">
      <c r="A91" s="402"/>
      <c r="B91" s="77"/>
      <c r="D91" s="131"/>
      <c r="E91" s="113">
        <f t="shared" si="1"/>
        <v>73</v>
      </c>
      <c r="F91" s="408">
        <f>skemA7!$E$21*COS(RADIANS(skemA7!$E$28*E91-skemA7!$E$22))</f>
        <v>21.999751124494516</v>
      </c>
      <c r="G91" s="408">
        <f>skemA7!$F$21*COS(RADIANS(skemA7!$F$28*E91-skemA7!$F$22))</f>
        <v>7.1705119453439634</v>
      </c>
      <c r="H91" s="408">
        <f>skemA7!$G$21*COS(RADIANS(skemA7!$G$28*E91-skemA7!$G$22))</f>
        <v>-1.946322540843626</v>
      </c>
      <c r="I91" s="408">
        <f>skemA7!$H$21*COS(RADIANS(skemA7!$H$28*E91-skemA7!$H$22))</f>
        <v>-25.791738660494385</v>
      </c>
      <c r="J91" s="408">
        <f>skemA7!$I$21*COS(RADIANS(skemA7!$I$28*E91-skemA7!$I$22))</f>
        <v>26.772508262477118</v>
      </c>
      <c r="K91" s="408">
        <f>skemA7!$J$21*COS(RADIANS(skemA7!$J$28*E91-skemA7!$J$22))</f>
        <v>1.7464209417408989</v>
      </c>
      <c r="L91" s="408">
        <f>skemA7!$K$21*COS(RADIANS(skemA7!$K$28*E91-skemA7!$K$22))</f>
        <v>2.838114036187009</v>
      </c>
      <c r="M91" s="408">
        <f>skemA7!$L$21*COS(RADIANS(skemA7!$L$28*E91-skemA7!$L$22))</f>
        <v>1.3104477774903838</v>
      </c>
      <c r="N91" s="408">
        <f>skemA7!$M$21*COS(RADIANS(skemA7!$M$28*E91-skemA7!$M$22))</f>
        <v>-9.3171624909878243</v>
      </c>
      <c r="O91" s="409">
        <f>skemA7!$D$21+'Forcasting Pasut'!F91+'Forcasting Pasut'!G91+K91+L91+'Forcasting Pasut'!H91+'Forcasting Pasut'!I91+'Forcasting Pasut'!J91+'Forcasting Pasut'!M91+'Forcasting Pasut'!N91</f>
        <v>190.95084936092533</v>
      </c>
      <c r="P91" s="405"/>
      <c r="Q91" s="406">
        <f>R90</f>
        <v>100.89999999999999</v>
      </c>
      <c r="R91" s="406"/>
      <c r="S91" s="406"/>
      <c r="T91" s="406"/>
      <c r="U91" s="406"/>
      <c r="V91" s="406"/>
      <c r="W91" s="406"/>
      <c r="X91" s="406"/>
      <c r="Y91" s="406"/>
      <c r="Z91" s="406"/>
      <c r="AA91" s="406"/>
      <c r="AB91" s="406"/>
      <c r="AC91" s="406"/>
      <c r="AD91" s="406"/>
      <c r="AE91" s="406"/>
      <c r="AF91" s="406"/>
      <c r="AG91" s="406"/>
      <c r="AH91" s="406"/>
      <c r="AI91" s="406"/>
      <c r="AJ91" s="406"/>
      <c r="AK91" s="406"/>
      <c r="AL91" s="406"/>
      <c r="AM91" s="406"/>
      <c r="AN91" s="406"/>
      <c r="AO91" s="407"/>
      <c r="AP91" s="410"/>
    </row>
    <row r="92" spans="1:42">
      <c r="A92" s="402"/>
      <c r="B92" s="77"/>
      <c r="D92" s="131"/>
      <c r="E92" s="113">
        <f t="shared" si="1"/>
        <v>74</v>
      </c>
      <c r="F92" s="408">
        <f>skemA7!$E$21*COS(RADIANS(skemA7!$E$28*E92-skemA7!$E$22))</f>
        <v>20.595513715880987</v>
      </c>
      <c r="G92" s="408">
        <f>skemA7!$F$21*COS(RADIANS(skemA7!$F$28*E92-skemA7!$F$22))</f>
        <v>-4.7116383509439821</v>
      </c>
      <c r="H92" s="408">
        <f>skemA7!$G$21*COS(RADIANS(skemA7!$G$28*E92-skemA7!$G$22))</f>
        <v>-10.021227009694703</v>
      </c>
      <c r="I92" s="408">
        <f>skemA7!$H$21*COS(RADIANS(skemA7!$H$28*E92-skemA7!$H$22))</f>
        <v>-18.481130458412423</v>
      </c>
      <c r="J92" s="408">
        <f>skemA7!$I$21*COS(RADIANS(skemA7!$I$28*E92-skemA7!$I$22))</f>
        <v>24.474710754300617</v>
      </c>
      <c r="K92" s="408">
        <f>skemA7!$J$21*COS(RADIANS(skemA7!$J$28*E92-skemA7!$J$22))</f>
        <v>1.2236063181108605</v>
      </c>
      <c r="L92" s="408">
        <f>skemA7!$K$21*COS(RADIANS(skemA7!$K$28*E92-skemA7!$K$22))</f>
        <v>9.027089160326544E-3</v>
      </c>
      <c r="M92" s="408">
        <f>skemA7!$L$21*COS(RADIANS(skemA7!$L$28*E92-skemA7!$L$22))</f>
        <v>-1.9072471115126115</v>
      </c>
      <c r="N92" s="408">
        <f>skemA7!$M$21*COS(RADIANS(skemA7!$M$28*E92-skemA7!$M$22))</f>
        <v>-7.1324191464291413</v>
      </c>
      <c r="O92" s="409">
        <f>skemA7!$D$21+'Forcasting Pasut'!F92+'Forcasting Pasut'!G92+K92+L92+'Forcasting Pasut'!H92+'Forcasting Pasut'!I92+'Forcasting Pasut'!J92+'Forcasting Pasut'!M92+'Forcasting Pasut'!N92</f>
        <v>170.21751476597717</v>
      </c>
      <c r="P92" s="405"/>
      <c r="Q92" s="406">
        <f>S90</f>
        <v>139.5</v>
      </c>
      <c r="R92" s="406"/>
      <c r="S92" s="406"/>
      <c r="T92" s="406"/>
      <c r="U92" s="406"/>
      <c r="V92" s="406"/>
      <c r="W92" s="406"/>
      <c r="X92" s="406"/>
      <c r="Y92" s="406"/>
      <c r="Z92" s="406"/>
      <c r="AA92" s="406"/>
      <c r="AB92" s="406"/>
      <c r="AC92" s="406"/>
      <c r="AD92" s="406"/>
      <c r="AE92" s="406"/>
      <c r="AF92" s="406"/>
      <c r="AG92" s="406"/>
      <c r="AH92" s="406"/>
      <c r="AI92" s="406"/>
      <c r="AJ92" s="406"/>
      <c r="AK92" s="406"/>
      <c r="AL92" s="406"/>
      <c r="AM92" s="406"/>
      <c r="AN92" s="406"/>
      <c r="AO92" s="407"/>
      <c r="AP92" s="410"/>
    </row>
    <row r="93" spans="1:42">
      <c r="A93" s="402"/>
      <c r="B93" s="77"/>
      <c r="D93" s="131"/>
      <c r="E93" s="113">
        <f t="shared" si="1"/>
        <v>75</v>
      </c>
      <c r="F93" s="408">
        <f>skemA7!$E$21*COS(RADIANS(skemA7!$E$28*E93-skemA7!$E$22))</f>
        <v>14.032308441815122</v>
      </c>
      <c r="G93" s="408">
        <f>skemA7!$F$21*COS(RADIANS(skemA7!$F$28*E93-skemA7!$F$22))</f>
        <v>-15.331308956068845</v>
      </c>
      <c r="H93" s="408">
        <f>skemA7!$G$21*COS(RADIANS(skemA7!$G$28*E93-skemA7!$G$22))</f>
        <v>-15.677334174649681</v>
      </c>
      <c r="I93" s="408">
        <f>skemA7!$H$21*COS(RADIANS(skemA7!$H$28*E93-skemA7!$H$22))</f>
        <v>-9.9042089462952774</v>
      </c>
      <c r="J93" s="408">
        <f>skemA7!$I$21*COS(RADIANS(skemA7!$I$28*E93-skemA7!$I$22))</f>
        <v>20.73466353080352</v>
      </c>
      <c r="K93" s="408">
        <f>skemA7!$J$21*COS(RADIANS(skemA7!$J$28*E93-skemA7!$J$22))</f>
        <v>-0.44843692810677621</v>
      </c>
      <c r="L93" s="408">
        <f>skemA7!$K$21*COS(RADIANS(skemA7!$K$28*E93-skemA7!$K$22))</f>
        <v>-2.8288111257420692</v>
      </c>
      <c r="M93" s="408">
        <f>skemA7!$L$21*COS(RADIANS(skemA7!$L$28*E93-skemA7!$L$22))</f>
        <v>-4.6111637001879426</v>
      </c>
      <c r="N93" s="408">
        <f>skemA7!$M$21*COS(RADIANS(skemA7!$M$28*E93-skemA7!$M$22))</f>
        <v>-4.4642516441604672</v>
      </c>
      <c r="O93" s="409">
        <f>skemA7!$D$21+'Forcasting Pasut'!F93+'Forcasting Pasut'!G93+K93+L93+'Forcasting Pasut'!H93+'Forcasting Pasut'!I93+'Forcasting Pasut'!J93+'Forcasting Pasut'!M93+'Forcasting Pasut'!N93</f>
        <v>147.6697754629248</v>
      </c>
      <c r="P93" s="405"/>
      <c r="Q93" s="406">
        <f>T90</f>
        <v>188.39999999999998</v>
      </c>
      <c r="R93" s="406"/>
      <c r="S93" s="406"/>
      <c r="T93" s="406"/>
      <c r="U93" s="406"/>
      <c r="V93" s="406"/>
      <c r="W93" s="406"/>
      <c r="X93" s="406"/>
      <c r="Y93" s="406"/>
      <c r="Z93" s="406"/>
      <c r="AA93" s="406"/>
      <c r="AB93" s="406"/>
      <c r="AC93" s="406"/>
      <c r="AD93" s="406"/>
      <c r="AE93" s="406"/>
      <c r="AF93" s="406"/>
      <c r="AG93" s="406"/>
      <c r="AH93" s="406"/>
      <c r="AI93" s="406"/>
      <c r="AJ93" s="406"/>
      <c r="AK93" s="406"/>
      <c r="AL93" s="406"/>
      <c r="AM93" s="406"/>
      <c r="AN93" s="406"/>
      <c r="AO93" s="407"/>
      <c r="AP93" s="410"/>
    </row>
    <row r="94" spans="1:42">
      <c r="A94" s="402"/>
      <c r="B94" s="77"/>
      <c r="D94" s="131"/>
      <c r="E94" s="113">
        <f t="shared" si="1"/>
        <v>76</v>
      </c>
      <c r="F94" s="408">
        <f>skemA7!$E$21*COS(RADIANS(skemA7!$E$28*E94-skemA7!$E$22))</f>
        <v>3.9541518376633551</v>
      </c>
      <c r="G94" s="408">
        <f>skemA7!$F$21*COS(RADIANS(skemA7!$F$28*E94-skemA7!$F$22))</f>
        <v>-21.842967707503135</v>
      </c>
      <c r="H94" s="408">
        <f>skemA7!$G$21*COS(RADIANS(skemA7!$G$28*E94-skemA7!$G$22))</f>
        <v>-17.549444270459922</v>
      </c>
      <c r="I94" s="408">
        <f>skemA7!$H$21*COS(RADIANS(skemA7!$H$28*E94-skemA7!$H$22))</f>
        <v>-0.64865840538120201</v>
      </c>
      <c r="J94" s="408">
        <f>skemA7!$I$21*COS(RADIANS(skemA7!$I$28*E94-skemA7!$I$22))</f>
        <v>15.772760699909114</v>
      </c>
      <c r="K94" s="408">
        <f>skemA7!$J$21*COS(RADIANS(skemA7!$J$28*E94-skemA7!$J$22))</f>
        <v>-1.6993017727603883</v>
      </c>
      <c r="L94" s="408">
        <f>skemA7!$K$21*COS(RADIANS(skemA7!$K$28*E94-skemA7!$K$22))</f>
        <v>-2.9242720924136849</v>
      </c>
      <c r="M94" s="408">
        <f>skemA7!$L$21*COS(RADIANS(skemA7!$L$28*E94-skemA7!$L$22))</f>
        <v>-6.0729151629525191</v>
      </c>
      <c r="N94" s="408">
        <f>skemA7!$M$21*COS(RADIANS(skemA7!$M$28*E94-skemA7!$M$22))</f>
        <v>-1.4935041831741305</v>
      </c>
      <c r="O94" s="409">
        <f>skemA7!$D$21+'Forcasting Pasut'!F94+'Forcasting Pasut'!G94+K94+L94+'Forcasting Pasut'!H94+'Forcasting Pasut'!I94+'Forcasting Pasut'!J94+'Forcasting Pasut'!M94+'Forcasting Pasut'!N94</f>
        <v>133.66416790844474</v>
      </c>
      <c r="P94" s="405"/>
      <c r="Q94" s="406">
        <f>U90</f>
        <v>235.2</v>
      </c>
      <c r="R94" s="406"/>
      <c r="S94" s="406"/>
      <c r="T94" s="406"/>
      <c r="U94" s="406"/>
      <c r="V94" s="406"/>
      <c r="W94" s="406"/>
      <c r="X94" s="406"/>
      <c r="Y94" s="406"/>
      <c r="Z94" s="406"/>
      <c r="AA94" s="406"/>
      <c r="AB94" s="406"/>
      <c r="AC94" s="406"/>
      <c r="AD94" s="406"/>
      <c r="AE94" s="406"/>
      <c r="AF94" s="406"/>
      <c r="AG94" s="406"/>
      <c r="AH94" s="406"/>
      <c r="AI94" s="406"/>
      <c r="AJ94" s="406"/>
      <c r="AK94" s="406"/>
      <c r="AL94" s="406"/>
      <c r="AM94" s="406"/>
      <c r="AN94" s="406"/>
      <c r="AO94" s="407"/>
      <c r="AP94" s="410"/>
    </row>
    <row r="95" spans="1:42">
      <c r="A95" s="402"/>
      <c r="B95" s="77"/>
      <c r="D95" s="131"/>
      <c r="E95" s="113">
        <f t="shared" si="1"/>
        <v>77</v>
      </c>
      <c r="F95" s="408">
        <f>skemA7!$E$21*COS(RADIANS(skemA7!$E$28*E95-skemA7!$E$22))</f>
        <v>-7.1144798062003174</v>
      </c>
      <c r="G95" s="408">
        <f>skemA7!$F$21*COS(RADIANS(skemA7!$F$28*E95-skemA7!$F$22))</f>
        <v>-22.501820901412806</v>
      </c>
      <c r="H95" s="408">
        <f>skemA7!$G$21*COS(RADIANS(skemA7!$G$28*E95-skemA7!$G$22))</f>
        <v>-15.185690988941531</v>
      </c>
      <c r="I95" s="408">
        <f>skemA7!$H$21*COS(RADIANS(skemA7!$H$28*E95-skemA7!$H$22))</f>
        <v>8.6513377269024652</v>
      </c>
      <c r="J95" s="408">
        <f>skemA7!$I$21*COS(RADIANS(skemA7!$I$28*E95-skemA7!$I$22))</f>
        <v>9.8813980744687697</v>
      </c>
      <c r="K95" s="408">
        <f>skemA7!$J$21*COS(RADIANS(skemA7!$J$28*E95-skemA7!$J$22))</f>
        <v>-1.3541579937537542</v>
      </c>
      <c r="L95" s="408">
        <f>skemA7!$K$21*COS(RADIANS(skemA7!$K$28*E95-skemA7!$K$22))</f>
        <v>-0.18481163895419658</v>
      </c>
      <c r="M95" s="408">
        <f>skemA7!$L$21*COS(RADIANS(skemA7!$L$28*E95-skemA7!$L$22))</f>
        <v>-5.8987317688117287</v>
      </c>
      <c r="N95" s="408">
        <f>skemA7!$M$21*COS(RADIANS(skemA7!$M$28*E95-skemA7!$M$22))</f>
        <v>1.5784706435859952</v>
      </c>
      <c r="O95" s="409">
        <f>skemA7!$D$21+'Forcasting Pasut'!F95+'Forcasting Pasut'!G95+K95+L95+'Forcasting Pasut'!H95+'Forcasting Pasut'!I95+'Forcasting Pasut'!J95+'Forcasting Pasut'!M95+'Forcasting Pasut'!N95</f>
        <v>134.03983231240016</v>
      </c>
      <c r="P95" s="405"/>
      <c r="Q95" s="406">
        <f>V90</f>
        <v>269.60000000000002</v>
      </c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  <c r="AC95" s="406"/>
      <c r="AD95" s="406"/>
      <c r="AE95" s="406"/>
      <c r="AF95" s="406"/>
      <c r="AG95" s="406"/>
      <c r="AH95" s="406"/>
      <c r="AI95" s="406"/>
      <c r="AJ95" s="406"/>
      <c r="AK95" s="406"/>
      <c r="AL95" s="406"/>
      <c r="AM95" s="406"/>
      <c r="AN95" s="406"/>
      <c r="AO95" s="407"/>
      <c r="AP95" s="410"/>
    </row>
    <row r="96" spans="1:42">
      <c r="A96" s="402"/>
      <c r="B96" s="77"/>
      <c r="D96" s="131"/>
      <c r="E96" s="113">
        <f t="shared" si="1"/>
        <v>78</v>
      </c>
      <c r="F96" s="408">
        <f>skemA7!$E$21*COS(RADIANS(skemA7!$E$28*E96-skemA7!$E$22))</f>
        <v>-16.401006220452988</v>
      </c>
      <c r="G96" s="408">
        <f>skemA7!$F$21*COS(RADIANS(skemA7!$F$28*E96-skemA7!$F$22))</f>
        <v>-17.131329356559199</v>
      </c>
      <c r="H96" s="408">
        <f>skemA7!$G$21*COS(RADIANS(skemA7!$G$28*E96-skemA7!$G$22))</f>
        <v>-9.1566072657201563</v>
      </c>
      <c r="I96" s="408">
        <f>skemA7!$H$21*COS(RADIANS(skemA7!$H$28*E96-skemA7!$H$22))</f>
        <v>17.358550634272635</v>
      </c>
      <c r="J96" s="408">
        <f>skemA7!$I$21*COS(RADIANS(skemA7!$I$28*E96-skemA7!$I$22))</f>
        <v>3.4077428244927996</v>
      </c>
      <c r="K96" s="408">
        <f>skemA7!$J$21*COS(RADIANS(skemA7!$J$28*E96-skemA7!$J$22))</f>
        <v>0.26283041607359381</v>
      </c>
      <c r="L96" s="408">
        <f>skemA7!$K$21*COS(RADIANS(skemA7!$K$28*E96-skemA7!$K$22))</f>
        <v>2.7338135629977662</v>
      </c>
      <c r="M96" s="408">
        <f>skemA7!$L$21*COS(RADIANS(skemA7!$L$28*E96-skemA7!$L$22))</f>
        <v>-4.1355354124936783</v>
      </c>
      <c r="N96" s="408">
        <f>skemA7!$M$21*COS(RADIANS(skemA7!$M$28*E96-skemA7!$M$22))</f>
        <v>4.5434592114513297</v>
      </c>
      <c r="O96" s="409">
        <f>skemA7!$D$21+'Forcasting Pasut'!F96+'Forcasting Pasut'!G96+K96+L96+'Forcasting Pasut'!H96+'Forcasting Pasut'!I96+'Forcasting Pasut'!J96+'Forcasting Pasut'!M96+'Forcasting Pasut'!N96</f>
        <v>147.65023735957936</v>
      </c>
      <c r="P96" s="405"/>
      <c r="Q96" s="406">
        <f>W90</f>
        <v>281.5</v>
      </c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  <c r="AC96" s="406"/>
      <c r="AD96" s="406"/>
      <c r="AE96" s="406"/>
      <c r="AF96" s="406"/>
      <c r="AG96" s="406"/>
      <c r="AH96" s="406"/>
      <c r="AI96" s="406"/>
      <c r="AJ96" s="406"/>
      <c r="AK96" s="406"/>
      <c r="AL96" s="406"/>
      <c r="AM96" s="406"/>
      <c r="AN96" s="406"/>
      <c r="AO96" s="407"/>
      <c r="AP96" s="410"/>
    </row>
    <row r="97" spans="1:42">
      <c r="A97" s="402"/>
      <c r="B97" s="77"/>
      <c r="D97" s="131"/>
      <c r="E97" s="113">
        <f t="shared" si="1"/>
        <v>79</v>
      </c>
      <c r="F97" s="408">
        <f>skemA7!$E$21*COS(RADIANS(skemA7!$E$28*E97-skemA7!$E$22))</f>
        <v>-21.579246470075766</v>
      </c>
      <c r="G97" s="408">
        <f>skemA7!$F$21*COS(RADIANS(skemA7!$F$28*E97-skemA7!$F$22))</f>
        <v>-7.1705119453438879</v>
      </c>
      <c r="H97" s="408">
        <f>skemA7!$G$21*COS(RADIANS(skemA7!$G$28*E97-skemA7!$G$22))</f>
        <v>-0.9174172405726313</v>
      </c>
      <c r="I97" s="408">
        <f>skemA7!$H$21*COS(RADIANS(skemA7!$H$28*E97-skemA7!$H$22))</f>
        <v>24.876368566017963</v>
      </c>
      <c r="J97" s="408">
        <f>skemA7!$I$21*COS(RADIANS(skemA7!$I$28*E97-skemA7!$I$22))</f>
        <v>-3.266724446015393</v>
      </c>
      <c r="K97" s="408">
        <f>skemA7!$J$21*COS(RADIANS(skemA7!$J$28*E97-skemA7!$J$22))</f>
        <v>1.632964725388703</v>
      </c>
      <c r="L97" s="408">
        <f>skemA7!$K$21*COS(RADIANS(skemA7!$K$28*E97-skemA7!$K$22))</f>
        <v>3.0021564439258928</v>
      </c>
      <c r="M97" s="408">
        <f>skemA7!$L$21*COS(RADIANS(skemA7!$L$28*E97-skemA7!$L$22))</f>
        <v>-1.2582996942334019</v>
      </c>
      <c r="N97" s="408">
        <f>skemA7!$M$21*COS(RADIANS(skemA7!$M$28*E97-skemA7!$M$22))</f>
        <v>7.200499256200942</v>
      </c>
      <c r="O97" s="409">
        <f>skemA7!$D$21+'Forcasting Pasut'!F97+'Forcasting Pasut'!G97+K97+L97+'Forcasting Pasut'!H97+'Forcasting Pasut'!I97+'Forcasting Pasut'!J97+'Forcasting Pasut'!M97+'Forcasting Pasut'!N97</f>
        <v>168.68810816080963</v>
      </c>
      <c r="P97" s="405"/>
      <c r="Q97" s="406">
        <f>X90</f>
        <v>273.8</v>
      </c>
      <c r="R97" s="406"/>
      <c r="S97" s="406"/>
      <c r="T97" s="406"/>
      <c r="U97" s="406"/>
      <c r="V97" s="406"/>
      <c r="W97" s="406"/>
      <c r="X97" s="406"/>
      <c r="Y97" s="406"/>
      <c r="Z97" s="406"/>
      <c r="AA97" s="406"/>
      <c r="AB97" s="406"/>
      <c r="AC97" s="406"/>
      <c r="AD97" s="406"/>
      <c r="AE97" s="406"/>
      <c r="AF97" s="406"/>
      <c r="AG97" s="406"/>
      <c r="AH97" s="406"/>
      <c r="AI97" s="406"/>
      <c r="AJ97" s="406"/>
      <c r="AK97" s="406"/>
      <c r="AL97" s="406"/>
      <c r="AM97" s="406"/>
      <c r="AN97" s="406"/>
      <c r="AO97" s="407"/>
      <c r="AP97" s="410"/>
    </row>
    <row r="98" spans="1:42">
      <c r="A98" s="402"/>
      <c r="B98" s="77"/>
      <c r="D98" s="131"/>
      <c r="E98" s="113">
        <f t="shared" si="1"/>
        <v>80</v>
      </c>
      <c r="F98" s="408">
        <f>skemA7!$E$21*COS(RADIANS(skemA7!$E$28*E98-skemA7!$E$22))</f>
        <v>-21.352103749622124</v>
      </c>
      <c r="G98" s="408">
        <f>skemA7!$F$21*COS(RADIANS(skemA7!$F$28*E98-skemA7!$F$22))</f>
        <v>4.7116383509438986</v>
      </c>
      <c r="H98" s="408">
        <f>skemA7!$G$21*COS(RADIANS(skemA7!$G$28*E98-skemA7!$G$22))</f>
        <v>7.5432073799491004</v>
      </c>
      <c r="I98" s="408">
        <f>skemA7!$H$21*COS(RADIANS(skemA7!$H$28*E98-skemA7!$H$22))</f>
        <v>30.689676230310877</v>
      </c>
      <c r="J98" s="408">
        <f>skemA7!$I$21*COS(RADIANS(skemA7!$I$28*E98-skemA7!$I$22))</f>
        <v>-9.7486896498149544</v>
      </c>
      <c r="K98" s="408">
        <f>skemA7!$J$21*COS(RADIANS(skemA7!$J$28*E98-skemA7!$J$22))</f>
        <v>1.4693951184065965</v>
      </c>
      <c r="L98" s="408">
        <f>skemA7!$K$21*COS(RADIANS(skemA7!$K$28*E98-skemA7!$K$22))</f>
        <v>0.3600732972796325</v>
      </c>
      <c r="M98" s="408">
        <f>skemA7!$L$21*COS(RADIANS(skemA7!$L$28*E98-skemA7!$L$22))</f>
        <v>1.9578994830897551</v>
      </c>
      <c r="N98" s="408">
        <f>skemA7!$M$21*COS(RADIANS(skemA7!$M$28*E98-skemA7!$M$22))</f>
        <v>9.3695007804209691</v>
      </c>
      <c r="O98" s="409">
        <f>skemA7!$D$21+'Forcasting Pasut'!F98+'Forcasting Pasut'!G98+K98+L98+'Forcasting Pasut'!H98+'Forcasting Pasut'!I98+'Forcasting Pasut'!J98+'Forcasting Pasut'!M98+'Forcasting Pasut'!N98</f>
        <v>191.16891620648099</v>
      </c>
      <c r="P98" s="405"/>
      <c r="Q98" s="406">
        <f>Y90</f>
        <v>246</v>
      </c>
      <c r="R98" s="406"/>
      <c r="S98" s="406"/>
      <c r="T98" s="406"/>
      <c r="U98" s="406"/>
      <c r="V98" s="406"/>
      <c r="W98" s="406"/>
      <c r="X98" s="406"/>
      <c r="Y98" s="406"/>
      <c r="Z98" s="406"/>
      <c r="AA98" s="406"/>
      <c r="AB98" s="406"/>
      <c r="AC98" s="406"/>
      <c r="AD98" s="406"/>
      <c r="AE98" s="406"/>
      <c r="AF98" s="406"/>
      <c r="AG98" s="406"/>
      <c r="AH98" s="406"/>
      <c r="AI98" s="406"/>
      <c r="AJ98" s="406"/>
      <c r="AK98" s="406"/>
      <c r="AL98" s="406"/>
      <c r="AM98" s="406"/>
      <c r="AN98" s="406"/>
      <c r="AO98" s="407"/>
      <c r="AP98" s="410"/>
    </row>
    <row r="99" spans="1:42">
      <c r="A99" s="402"/>
      <c r="B99" s="77"/>
      <c r="D99" s="131"/>
      <c r="E99" s="113">
        <f t="shared" si="1"/>
        <v>81</v>
      </c>
      <c r="F99" s="408">
        <f>skemA7!$E$21*COS(RADIANS(skemA7!$E$28*E99-skemA7!$E$22))</f>
        <v>-15.776475013052989</v>
      </c>
      <c r="G99" s="408">
        <f>skemA7!$F$21*COS(RADIANS(skemA7!$F$28*E99-skemA7!$F$22))</f>
        <v>15.331308956068904</v>
      </c>
      <c r="H99" s="408">
        <f>skemA7!$G$21*COS(RADIANS(skemA7!$G$28*E99-skemA7!$G$22))</f>
        <v>14.183147801250657</v>
      </c>
      <c r="I99" s="408">
        <f>skemA7!$H$21*COS(RADIANS(skemA7!$H$28*E99-skemA7!$H$22))</f>
        <v>34.400150110784836</v>
      </c>
      <c r="J99" s="408">
        <f>skemA7!$I$21*COS(RADIANS(skemA7!$I$28*E99-skemA7!$I$22))</f>
        <v>-15.656182492598981</v>
      </c>
      <c r="K99" s="408">
        <f>skemA7!$J$21*COS(RADIANS(skemA7!$J$28*E99-skemA7!$J$22))</f>
        <v>-7.4251481452184021E-2</v>
      </c>
      <c r="L99" s="408">
        <f>skemA7!$K$21*COS(RADIANS(skemA7!$K$28*E99-skemA7!$K$22))</f>
        <v>-2.6310811638737022</v>
      </c>
      <c r="M99" s="408">
        <f>skemA7!$L$21*COS(RADIANS(skemA7!$L$28*E99-skemA7!$L$22))</f>
        <v>4.6466755160483943</v>
      </c>
      <c r="N99" s="408">
        <f>skemA7!$M$21*COS(RADIANS(skemA7!$M$28*E99-skemA7!$M$22))</f>
        <v>10.903452270431282</v>
      </c>
      <c r="O99" s="409">
        <f>skemA7!$D$21+'Forcasting Pasut'!F99+'Forcasting Pasut'!G99+K99+L99+'Forcasting Pasut'!H99+'Forcasting Pasut'!I99+'Forcasting Pasut'!J99+'Forcasting Pasut'!M99+'Forcasting Pasut'!N99</f>
        <v>211.49506346912347</v>
      </c>
      <c r="P99" s="405"/>
      <c r="Q99" s="406">
        <f>Z90</f>
        <v>202.8</v>
      </c>
      <c r="R99" s="406"/>
      <c r="S99" s="406"/>
      <c r="T99" s="406"/>
      <c r="U99" s="406"/>
      <c r="V99" s="406"/>
      <c r="W99" s="406"/>
      <c r="X99" s="406"/>
      <c r="Y99" s="406"/>
      <c r="Z99" s="406"/>
      <c r="AA99" s="406"/>
      <c r="AB99" s="406"/>
      <c r="AC99" s="406"/>
      <c r="AD99" s="406"/>
      <c r="AE99" s="406"/>
      <c r="AF99" s="406"/>
      <c r="AG99" s="406"/>
      <c r="AH99" s="406"/>
      <c r="AI99" s="406"/>
      <c r="AJ99" s="406"/>
      <c r="AK99" s="406"/>
      <c r="AL99" s="406"/>
      <c r="AM99" s="406"/>
      <c r="AN99" s="406"/>
      <c r="AO99" s="407"/>
      <c r="AP99" s="410"/>
    </row>
    <row r="100" spans="1:42">
      <c r="A100" s="402"/>
      <c r="B100" s="77"/>
      <c r="D100" s="131"/>
      <c r="E100" s="113">
        <f t="shared" si="1"/>
        <v>82</v>
      </c>
      <c r="F100" s="408">
        <f>skemA7!$E$21*COS(RADIANS(skemA7!$E$28*E100-skemA7!$E$22))</f>
        <v>-6.2489988622728685</v>
      </c>
      <c r="G100" s="408">
        <f>skemA7!$F$21*COS(RADIANS(skemA7!$F$28*E100-skemA7!$F$22))</f>
        <v>21.84296770750311</v>
      </c>
      <c r="H100" s="408">
        <f>skemA7!$G$21*COS(RADIANS(skemA7!$G$28*E100-skemA7!$G$22))</f>
        <v>17.399739003016922</v>
      </c>
      <c r="I100" s="408">
        <f>skemA7!$H$21*COS(RADIANS(skemA7!$H$28*E100-skemA7!$H$22))</f>
        <v>35.753551297544291</v>
      </c>
      <c r="J100" s="408">
        <f>skemA7!$I$21*COS(RADIANS(skemA7!$I$28*E100-skemA7!$I$22))</f>
        <v>-20.641085280299759</v>
      </c>
      <c r="K100" s="408">
        <f>skemA7!$J$21*COS(RADIANS(skemA7!$J$28*E100-skemA7!$J$22))</f>
        <v>-1.5481600238235744</v>
      </c>
      <c r="L100" s="408">
        <f>skemA7!$K$21*COS(RADIANS(skemA7!$K$28*E100-skemA7!$K$22))</f>
        <v>-3.0715467308850388</v>
      </c>
      <c r="M100" s="408">
        <f>skemA7!$L$21*COS(RADIANS(skemA7!$L$28*E100-skemA7!$L$22))</f>
        <v>6.0837201742949159</v>
      </c>
      <c r="N100" s="408">
        <f>skemA7!$M$21*COS(RADIANS(skemA7!$M$28*E100-skemA7!$M$22))</f>
        <v>11.698384905583215</v>
      </c>
      <c r="O100" s="409">
        <f>skemA7!$D$21+'Forcasting Pasut'!F100+'Forcasting Pasut'!G100+K100+L100+'Forcasting Pasut'!H100+'Forcasting Pasut'!I100+'Forcasting Pasut'!J100+'Forcasting Pasut'!M100+'Forcasting Pasut'!N100</f>
        <v>227.43689115617843</v>
      </c>
      <c r="P100" s="405"/>
      <c r="Q100" s="406">
        <f>AA90</f>
        <v>165.3</v>
      </c>
      <c r="R100" s="406"/>
      <c r="S100" s="406"/>
      <c r="T100" s="406"/>
      <c r="U100" s="406"/>
      <c r="V100" s="406"/>
      <c r="W100" s="406"/>
      <c r="X100" s="406"/>
      <c r="Y100" s="406"/>
      <c r="Z100" s="406"/>
      <c r="AA100" s="406"/>
      <c r="AB100" s="406"/>
      <c r="AC100" s="406"/>
      <c r="AD100" s="406"/>
      <c r="AE100" s="406"/>
      <c r="AF100" s="406"/>
      <c r="AG100" s="406"/>
      <c r="AH100" s="406"/>
      <c r="AI100" s="406"/>
      <c r="AJ100" s="406"/>
      <c r="AK100" s="406"/>
      <c r="AL100" s="406"/>
      <c r="AM100" s="406"/>
      <c r="AN100" s="406"/>
      <c r="AO100" s="407"/>
      <c r="AP100" s="410"/>
    </row>
    <row r="101" spans="1:42">
      <c r="A101" s="402"/>
      <c r="B101" s="77"/>
      <c r="D101" s="131"/>
      <c r="E101" s="113">
        <f t="shared" si="1"/>
        <v>83</v>
      </c>
      <c r="F101" s="408">
        <f>skemA7!$E$21*COS(RADIANS(skemA7!$E$28*E101-skemA7!$E$22))</f>
        <v>4.8437882958676415</v>
      </c>
      <c r="G101" s="408">
        <f>skemA7!$F$21*COS(RADIANS(skemA7!$F$28*E101-skemA7!$F$22))</f>
        <v>22.501820901412824</v>
      </c>
      <c r="H101" s="408">
        <f>skemA7!$G$21*COS(RADIANS(skemA7!$G$28*E101-skemA7!$G$22))</f>
        <v>16.416600795572499</v>
      </c>
      <c r="I101" s="408">
        <f>skemA7!$H$21*COS(RADIANS(skemA7!$H$28*E101-skemA7!$H$22))</f>
        <v>34.657145748130837</v>
      </c>
      <c r="J101" s="408">
        <f>skemA7!$I$21*COS(RADIANS(skemA7!$I$28*E101-skemA7!$I$22))</f>
        <v>-24.409646854889811</v>
      </c>
      <c r="K101" s="408">
        <f>skemA7!$J$21*COS(RADIANS(skemA7!$J$28*E101-skemA7!$J$22))</f>
        <v>-1.5680144432390801</v>
      </c>
      <c r="L101" s="408">
        <f>skemA7!$K$21*COS(RADIANS(skemA7!$K$28*E101-skemA7!$K$22))</f>
        <v>-0.53431619262988295</v>
      </c>
      <c r="M101" s="408">
        <f>skemA7!$L$21*COS(RADIANS(skemA7!$L$28*E101-skemA7!$L$22))</f>
        <v>5.8819192986036963</v>
      </c>
      <c r="N101" s="408">
        <f>skemA7!$M$21*COS(RADIANS(skemA7!$M$28*E101-skemA7!$M$22))</f>
        <v>11.700419401486016</v>
      </c>
      <c r="O101" s="409">
        <f>skemA7!$D$21+'Forcasting Pasut'!F101+'Forcasting Pasut'!G101+K101+L101+'Forcasting Pasut'!H101+'Forcasting Pasut'!I101+'Forcasting Pasut'!J101+'Forcasting Pasut'!M101+'Forcasting Pasut'!N101</f>
        <v>235.65803591583196</v>
      </c>
      <c r="P101" s="405"/>
      <c r="Q101" s="406">
        <f>AB90</f>
        <v>134.5</v>
      </c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  <c r="AC101" s="406"/>
      <c r="AD101" s="406"/>
      <c r="AE101" s="406"/>
      <c r="AF101" s="406"/>
      <c r="AG101" s="406"/>
      <c r="AH101" s="406"/>
      <c r="AI101" s="406"/>
      <c r="AJ101" s="406"/>
      <c r="AK101" s="406"/>
      <c r="AL101" s="406"/>
      <c r="AM101" s="406"/>
      <c r="AN101" s="406"/>
      <c r="AO101" s="407"/>
      <c r="AP101" s="410"/>
    </row>
    <row r="102" spans="1:42">
      <c r="A102" s="402"/>
      <c r="B102" s="77"/>
      <c r="D102" s="131"/>
      <c r="E102" s="113">
        <f t="shared" si="1"/>
        <v>84</v>
      </c>
      <c r="F102" s="408">
        <f>skemA7!$E$21*COS(RADIANS(skemA7!$E$28*E102-skemA7!$E$22))</f>
        <v>14.723255480049051</v>
      </c>
      <c r="G102" s="408">
        <f>skemA7!$F$21*COS(RADIANS(skemA7!$F$28*E102-skemA7!$F$22))</f>
        <v>17.131329356559146</v>
      </c>
      <c r="H102" s="408">
        <f>skemA7!$G$21*COS(RADIANS(skemA7!$G$28*E102-skemA7!$G$22))</f>
        <v>11.471030671851379</v>
      </c>
      <c r="I102" s="408">
        <f>skemA7!$H$21*COS(RADIANS(skemA7!$H$28*E102-skemA7!$H$22))</f>
        <v>31.186058355123034</v>
      </c>
      <c r="J102" s="408">
        <f>skemA7!$I$21*COS(RADIANS(skemA7!$I$28*E102-skemA7!$I$22))</f>
        <v>-26.739792810151048</v>
      </c>
      <c r="K102" s="408">
        <f>skemA7!$J$21*COS(RADIANS(skemA7!$J$28*E102-skemA7!$J$22))</f>
        <v>-0.11516718391260823</v>
      </c>
      <c r="L102" s="408">
        <f>skemA7!$K$21*COS(RADIANS(skemA7!$K$28*E102-skemA7!$K$22))</f>
        <v>2.5209045913137387</v>
      </c>
      <c r="M102" s="408">
        <f>skemA7!$L$21*COS(RADIANS(skemA7!$L$28*E102-skemA7!$L$22))</f>
        <v>4.0956344398673359</v>
      </c>
      <c r="N102" s="408">
        <f>skemA7!$M$21*COS(RADIANS(skemA7!$M$28*E102-skemA7!$M$22))</f>
        <v>10.90941786320559</v>
      </c>
      <c r="O102" s="409">
        <f>skemA7!$D$21+'Forcasting Pasut'!F102+'Forcasting Pasut'!G102+K102+L102+'Forcasting Pasut'!H102+'Forcasting Pasut'!I102+'Forcasting Pasut'!J102+'Forcasting Pasut'!M102+'Forcasting Pasut'!N102</f>
        <v>231.35098972942288</v>
      </c>
      <c r="P102" s="405"/>
      <c r="Q102" s="406">
        <f>AC90</f>
        <v>118</v>
      </c>
      <c r="R102" s="406"/>
      <c r="S102" s="406"/>
      <c r="T102" s="406"/>
      <c r="U102" s="406"/>
      <c r="V102" s="406"/>
      <c r="W102" s="406"/>
      <c r="X102" s="406"/>
      <c r="Y102" s="406"/>
      <c r="Z102" s="406"/>
      <c r="AA102" s="406"/>
      <c r="AB102" s="406"/>
      <c r="AC102" s="406"/>
      <c r="AD102" s="406"/>
      <c r="AE102" s="406"/>
      <c r="AF102" s="406"/>
      <c r="AG102" s="406"/>
      <c r="AH102" s="406"/>
      <c r="AI102" s="406"/>
      <c r="AJ102" s="406"/>
      <c r="AK102" s="406"/>
      <c r="AL102" s="406"/>
      <c r="AM102" s="406"/>
      <c r="AN102" s="406"/>
      <c r="AO102" s="407"/>
      <c r="AP102" s="410"/>
    </row>
    <row r="103" spans="1:42">
      <c r="A103" s="402"/>
      <c r="B103" s="77"/>
      <c r="D103" s="131"/>
      <c r="E103" s="113">
        <f t="shared" si="1"/>
        <v>85</v>
      </c>
      <c r="F103" s="408">
        <f>skemA7!$E$21*COS(RADIANS(skemA7!$E$28*E103-skemA7!$E$22))</f>
        <v>20.914696089887091</v>
      </c>
      <c r="G103" s="408">
        <f>skemA7!$F$21*COS(RADIANS(skemA7!$F$28*E103-skemA7!$F$22))</f>
        <v>7.1705119453439687</v>
      </c>
      <c r="H103" s="408">
        <f>skemA7!$G$21*COS(RADIANS(skemA7!$G$28*E103-skemA7!$G$22))</f>
        <v>3.7567279333375927</v>
      </c>
      <c r="I103" s="408">
        <f>skemA7!$H$21*COS(RADIANS(skemA7!$H$28*E103-skemA7!$H$22))</f>
        <v>25.578125444385847</v>
      </c>
      <c r="J103" s="408">
        <f>skemA7!$I$21*COS(RADIANS(skemA7!$I$28*E103-skemA7!$I$22))</f>
        <v>-27.494211928215854</v>
      </c>
      <c r="K103" s="408">
        <f>skemA7!$J$21*COS(RADIANS(skemA7!$J$28*E103-skemA7!$J$22))</f>
        <v>1.4458467481223782</v>
      </c>
      <c r="L103" s="408">
        <f>skemA7!$K$21*COS(RADIANS(skemA7!$K$28*E103-skemA7!$K$22))</f>
        <v>3.1322466258885235</v>
      </c>
      <c r="M103" s="408">
        <f>skemA7!$L$21*COS(RADIANS(skemA7!$L$28*E103-skemA7!$L$22))</f>
        <v>1.2060588284138094</v>
      </c>
      <c r="N103" s="408">
        <f>skemA7!$M$21*COS(RADIANS(skemA7!$M$28*E103-skemA7!$M$22))</f>
        <v>9.3789931315663466</v>
      </c>
      <c r="O103" s="409">
        <f>skemA7!$D$21+'Forcasting Pasut'!F103+'Forcasting Pasut'!G103+K103+L103+'Forcasting Pasut'!H103+'Forcasting Pasut'!I103+'Forcasting Pasut'!J103+'Forcasting Pasut'!M103+'Forcasting Pasut'!N103</f>
        <v>211.25731378424695</v>
      </c>
      <c r="P103" s="405"/>
      <c r="Q103" s="406">
        <f>AD90</f>
        <v>115.19999999999999</v>
      </c>
      <c r="R103" s="406"/>
      <c r="S103" s="406"/>
      <c r="T103" s="406"/>
      <c r="U103" s="406"/>
      <c r="V103" s="406"/>
      <c r="W103" s="406"/>
      <c r="X103" s="406"/>
      <c r="Y103" s="406"/>
      <c r="Z103" s="406"/>
      <c r="AA103" s="406"/>
      <c r="AB103" s="406"/>
      <c r="AC103" s="406"/>
      <c r="AD103" s="406"/>
      <c r="AE103" s="406"/>
      <c r="AF103" s="406"/>
      <c r="AG103" s="406"/>
      <c r="AH103" s="406"/>
      <c r="AI103" s="406"/>
      <c r="AJ103" s="406"/>
      <c r="AK103" s="406"/>
      <c r="AL103" s="406"/>
      <c r="AM103" s="406"/>
      <c r="AN103" s="406"/>
      <c r="AO103" s="407"/>
      <c r="AP103" s="410"/>
    </row>
    <row r="104" spans="1:42">
      <c r="A104" s="402"/>
      <c r="B104" s="77"/>
      <c r="D104" s="131"/>
      <c r="E104" s="113">
        <f t="shared" si="1"/>
        <v>86</v>
      </c>
      <c r="F104" s="408">
        <f>skemA7!$E$21*COS(RADIANS(skemA7!$E$28*E104-skemA7!$E$22))</f>
        <v>21.867216878063651</v>
      </c>
      <c r="G104" s="408">
        <f>skemA7!$F$21*COS(RADIANS(skemA7!$F$28*E104-skemA7!$F$22))</f>
        <v>-4.7116383509439759</v>
      </c>
      <c r="H104" s="408">
        <f>skemA7!$G$21*COS(RADIANS(skemA7!$G$28*E104-skemA7!$G$22))</f>
        <v>-4.8643263823869693</v>
      </c>
      <c r="I104" s="408">
        <f>skemA7!$H$21*COS(RADIANS(skemA7!$H$28*E104-skemA7!$H$22))</f>
        <v>18.217598406960221</v>
      </c>
      <c r="J104" s="408">
        <f>skemA7!$I$21*COS(RADIANS(skemA7!$I$28*E104-skemA7!$I$22))</f>
        <v>-26.628447677230426</v>
      </c>
      <c r="K104" s="408">
        <f>skemA7!$J$21*COS(RADIANS(skemA7!$J$28*E104-skemA7!$J$22))</f>
        <v>1.6489006547606062</v>
      </c>
      <c r="L104" s="408">
        <f>skemA7!$K$21*COS(RADIANS(skemA7!$K$28*E104-skemA7!$K$22))</f>
        <v>0.70704733590567792</v>
      </c>
      <c r="M104" s="408">
        <f>skemA7!$L$21*COS(RADIANS(skemA7!$L$28*E104-skemA7!$L$22))</f>
        <v>-2.0084074860939598</v>
      </c>
      <c r="N104" s="408">
        <f>skemA7!$M$21*COS(RADIANS(skemA7!$M$28*E104-skemA7!$M$22))</f>
        <v>7.2128749890785571</v>
      </c>
      <c r="O104" s="409">
        <f>skemA7!$D$21+'Forcasting Pasut'!F104+'Forcasting Pasut'!G104+K104+L104+'Forcasting Pasut'!H104+'Forcasting Pasut'!I104+'Forcasting Pasut'!J104+'Forcasting Pasut'!M104+'Forcasting Pasut'!N104</f>
        <v>177.6091373336306</v>
      </c>
      <c r="P104" s="405"/>
      <c r="Q104" s="406">
        <f>AE90</f>
        <v>126.1</v>
      </c>
      <c r="R104" s="406"/>
      <c r="S104" s="406"/>
      <c r="T104" s="406"/>
      <c r="U104" s="406"/>
      <c r="V104" s="406"/>
      <c r="W104" s="406"/>
      <c r="X104" s="406"/>
      <c r="Y104" s="406"/>
      <c r="Z104" s="406"/>
      <c r="AA104" s="406"/>
      <c r="AB104" s="406"/>
      <c r="AC104" s="406"/>
      <c r="AD104" s="406"/>
      <c r="AE104" s="406"/>
      <c r="AF104" s="406"/>
      <c r="AG104" s="406"/>
      <c r="AH104" s="406"/>
      <c r="AI104" s="406"/>
      <c r="AJ104" s="406"/>
      <c r="AK104" s="406"/>
      <c r="AL104" s="406"/>
      <c r="AM104" s="406"/>
      <c r="AN104" s="406"/>
      <c r="AO104" s="407"/>
      <c r="AP104" s="410"/>
    </row>
    <row r="105" spans="1:42">
      <c r="A105" s="402"/>
      <c r="B105" s="77"/>
      <c r="D105" s="131"/>
      <c r="E105" s="113">
        <f t="shared" si="1"/>
        <v>87</v>
      </c>
      <c r="F105" s="408">
        <f>skemA7!$E$21*COS(RADIANS(skemA7!$E$28*E105-skemA7!$E$22))</f>
        <v>17.342221021738233</v>
      </c>
      <c r="G105" s="408">
        <f>skemA7!$F$21*COS(RADIANS(skemA7!$F$28*E105-skemA7!$F$22))</f>
        <v>-15.33130895606884</v>
      </c>
      <c r="H105" s="408">
        <f>skemA7!$G$21*COS(RADIANS(skemA7!$G$28*E105-skemA7!$G$22))</f>
        <v>-12.311290985583762</v>
      </c>
      <c r="I105" s="408">
        <f>skemA7!$H$21*COS(RADIANS(skemA7!$H$28*E105-skemA7!$H$22))</f>
        <v>9.6088150796111638</v>
      </c>
      <c r="J105" s="408">
        <f>skemA7!$I$21*COS(RADIANS(skemA7!$I$28*E105-skemA7!$I$22))</f>
        <v>-24.193517953056872</v>
      </c>
      <c r="K105" s="408">
        <f>skemA7!$J$21*COS(RADIANS(skemA7!$J$28*E105-skemA7!$J$22))</f>
        <v>0.30328339142646177</v>
      </c>
      <c r="L105" s="408">
        <f>skemA7!$K$21*COS(RADIANS(skemA7!$K$28*E105-skemA7!$K$22))</f>
        <v>-2.4035955702186702</v>
      </c>
      <c r="M105" s="408">
        <f>skemA7!$L$21*COS(RADIANS(skemA7!$L$28*E105-skemA7!$L$22))</f>
        <v>-4.6818447025147707</v>
      </c>
      <c r="N105" s="408">
        <f>skemA7!$M$21*COS(RADIANS(skemA7!$M$28*E105-skemA7!$M$22))</f>
        <v>4.5578795183411689</v>
      </c>
      <c r="O105" s="409">
        <f>skemA7!$D$21+'Forcasting Pasut'!F105+'Forcasting Pasut'!G105+K105+L105+'Forcasting Pasut'!H105+'Forcasting Pasut'!I105+'Forcasting Pasut'!J105+'Forcasting Pasut'!M105+'Forcasting Pasut'!N105</f>
        <v>139.05895980919135</v>
      </c>
      <c r="P105" s="405"/>
      <c r="Q105" s="406">
        <f>AF90</f>
        <v>147</v>
      </c>
      <c r="R105" s="406"/>
      <c r="S105" s="406"/>
      <c r="T105" s="406"/>
      <c r="U105" s="406"/>
      <c r="V105" s="406"/>
      <c r="W105" s="406"/>
      <c r="X105" s="406"/>
      <c r="Y105" s="406"/>
      <c r="Z105" s="406"/>
      <c r="AA105" s="406"/>
      <c r="AB105" s="406"/>
      <c r="AC105" s="406"/>
      <c r="AD105" s="406"/>
      <c r="AE105" s="406"/>
      <c r="AF105" s="406"/>
      <c r="AG105" s="406"/>
      <c r="AH105" s="406"/>
      <c r="AI105" s="406"/>
      <c r="AJ105" s="406"/>
      <c r="AK105" s="406"/>
      <c r="AL105" s="406"/>
      <c r="AM105" s="406"/>
      <c r="AN105" s="406"/>
      <c r="AO105" s="407"/>
      <c r="AP105" s="410"/>
    </row>
    <row r="106" spans="1:42">
      <c r="A106" s="402"/>
      <c r="B106" s="77"/>
      <c r="D106" s="131"/>
      <c r="E106" s="113">
        <f t="shared" si="1"/>
        <v>88</v>
      </c>
      <c r="F106" s="408">
        <f>skemA7!$E$21*COS(RADIANS(skemA7!$E$28*E106-skemA7!$E$22))</f>
        <v>8.4731742133005046</v>
      </c>
      <c r="G106" s="408">
        <f>skemA7!$F$21*COS(RADIANS(skemA7!$F$28*E106-skemA7!$F$22))</f>
        <v>-21.842967707503135</v>
      </c>
      <c r="H106" s="408">
        <f>skemA7!$G$21*COS(RADIANS(skemA7!$G$28*E106-skemA7!$G$22))</f>
        <v>-16.786711543864559</v>
      </c>
      <c r="I106" s="408">
        <f>skemA7!$H$21*COS(RADIANS(skemA7!$H$28*E106-skemA7!$H$22))</f>
        <v>0.3416428914528572</v>
      </c>
      <c r="J106" s="408">
        <f>skemA7!$I$21*COS(RADIANS(skemA7!$I$28*E106-skemA7!$I$22))</f>
        <v>-20.332908688451194</v>
      </c>
      <c r="K106" s="408">
        <f>skemA7!$J$21*COS(RADIANS(skemA7!$J$28*E106-skemA7!$J$22))</f>
        <v>-1.3271819876977462</v>
      </c>
      <c r="L106" s="408">
        <f>skemA7!$K$21*COS(RADIANS(skemA7!$K$28*E106-skemA7!$K$22))</f>
        <v>-3.1840843894430551</v>
      </c>
      <c r="M106" s="408">
        <f>skemA7!$L$21*COS(RADIANS(skemA7!$L$28*E106-skemA7!$L$22))</f>
        <v>-6.0940765936601284</v>
      </c>
      <c r="N106" s="408">
        <f>skemA7!$M$21*COS(RADIANS(skemA7!$M$28*E106-skemA7!$M$22))</f>
        <v>1.5939581387554889</v>
      </c>
      <c r="O106" s="409">
        <f>skemA7!$D$21+'Forcasting Pasut'!F106+'Forcasting Pasut'!G106+K106+L106+'Forcasting Pasut'!H106+'Forcasting Pasut'!I106+'Forcasting Pasut'!J106+'Forcasting Pasut'!M106+'Forcasting Pasut'!N106</f>
        <v>107.00916329840626</v>
      </c>
      <c r="P106" s="405"/>
      <c r="Q106" s="406">
        <f>AG90</f>
        <v>166.79999999999998</v>
      </c>
      <c r="R106" s="406"/>
      <c r="S106" s="406"/>
      <c r="T106" s="406"/>
      <c r="U106" s="406"/>
      <c r="V106" s="406"/>
      <c r="W106" s="406"/>
      <c r="X106" s="406"/>
      <c r="Y106" s="406"/>
      <c r="Z106" s="406"/>
      <c r="AA106" s="406"/>
      <c r="AB106" s="406"/>
      <c r="AC106" s="406"/>
      <c r="AD106" s="406"/>
      <c r="AE106" s="406"/>
      <c r="AF106" s="406"/>
      <c r="AG106" s="406"/>
      <c r="AH106" s="406"/>
      <c r="AI106" s="406"/>
      <c r="AJ106" s="406"/>
      <c r="AK106" s="406"/>
      <c r="AL106" s="406"/>
      <c r="AM106" s="406"/>
      <c r="AN106" s="406"/>
      <c r="AO106" s="407"/>
      <c r="AP106" s="410"/>
    </row>
    <row r="107" spans="1:42">
      <c r="A107" s="402"/>
      <c r="B107" s="77"/>
      <c r="D107" s="131"/>
      <c r="E107" s="113">
        <f t="shared" si="1"/>
        <v>89</v>
      </c>
      <c r="F107" s="408">
        <f>skemA7!$E$21*COS(RADIANS(skemA7!$E$28*E107-skemA7!$E$22))</f>
        <v>-2.5183170307472422</v>
      </c>
      <c r="G107" s="408">
        <f>skemA7!$F$21*COS(RADIANS(skemA7!$F$28*E107-skemA7!$F$22))</f>
        <v>-22.50182090141281</v>
      </c>
      <c r="H107" s="408">
        <f>skemA7!$G$21*COS(RADIANS(skemA7!$G$28*E107-skemA7!$G$22))</f>
        <v>-17.210367524384619</v>
      </c>
      <c r="I107" s="408">
        <f>skemA7!$H$21*COS(RADIANS(skemA7!$H$28*E107-skemA7!$H$22))</f>
        <v>-8.9489384134638374</v>
      </c>
      <c r="J107" s="408">
        <f>skemA7!$I$21*COS(RADIANS(skemA7!$I$28*E107-skemA7!$I$22))</f>
        <v>-15.274118490802062</v>
      </c>
      <c r="K107" s="408">
        <f>skemA7!$J$21*COS(RADIANS(skemA7!$J$28*E107-skemA7!$J$22))</f>
        <v>-1.7111389882122665</v>
      </c>
      <c r="L107" s="408">
        <f>skemA7!$K$21*COS(RADIANS(skemA7!$K$28*E107-skemA7!$K$22))</f>
        <v>-0.87777801523978183</v>
      </c>
      <c r="M107" s="408">
        <f>skemA7!$L$21*COS(RADIANS(skemA7!$L$28*E107-skemA7!$L$22))</f>
        <v>-5.8646731165002963</v>
      </c>
      <c r="N107" s="408">
        <f>skemA7!$M$21*COS(RADIANS(skemA7!$M$28*E107-skemA7!$M$22))</f>
        <v>-1.4779992178014263</v>
      </c>
      <c r="O107" s="409">
        <f>skemA7!$D$21+'Forcasting Pasut'!F107+'Forcasting Pasut'!G107+K107+L107+'Forcasting Pasut'!H107+'Forcasting Pasut'!I107+'Forcasting Pasut'!J107+'Forcasting Pasut'!M107+'Forcasting Pasut'!N107</f>
        <v>89.783167266952887</v>
      </c>
      <c r="P107" s="405"/>
      <c r="Q107" s="406">
        <f>AH90</f>
        <v>177.1</v>
      </c>
      <c r="R107" s="406"/>
      <c r="S107" s="406"/>
      <c r="T107" s="406"/>
      <c r="U107" s="406"/>
      <c r="V107" s="406"/>
      <c r="W107" s="406"/>
      <c r="X107" s="406"/>
      <c r="Y107" s="406"/>
      <c r="Z107" s="406"/>
      <c r="AA107" s="406"/>
      <c r="AB107" s="406"/>
      <c r="AC107" s="406"/>
      <c r="AD107" s="406"/>
      <c r="AE107" s="406"/>
      <c r="AF107" s="406"/>
      <c r="AG107" s="406"/>
      <c r="AH107" s="406"/>
      <c r="AI107" s="406"/>
      <c r="AJ107" s="406"/>
      <c r="AK107" s="406"/>
      <c r="AL107" s="406"/>
      <c r="AM107" s="406"/>
      <c r="AN107" s="406"/>
      <c r="AO107" s="407"/>
      <c r="AP107" s="410"/>
    </row>
    <row r="108" spans="1:42">
      <c r="A108" s="402"/>
      <c r="B108" s="77"/>
      <c r="D108" s="131"/>
      <c r="E108" s="113">
        <f t="shared" si="1"/>
        <v>90</v>
      </c>
      <c r="F108" s="408">
        <f>skemA7!$E$21*COS(RADIANS(skemA7!$E$28*E108-skemA7!$E$22))</f>
        <v>-12.878995330972476</v>
      </c>
      <c r="G108" s="408">
        <f>skemA7!$F$21*COS(RADIANS(skemA7!$F$28*E108-skemA7!$F$22))</f>
        <v>-17.131329356559203</v>
      </c>
      <c r="H108" s="408">
        <f>skemA7!$G$21*COS(RADIANS(skemA7!$G$28*E108-skemA7!$G$22))</f>
        <v>-13.480002193266028</v>
      </c>
      <c r="I108" s="408">
        <f>skemA7!$H$21*COS(RADIANS(skemA7!$H$28*E108-skemA7!$H$22))</f>
        <v>-17.626345115822641</v>
      </c>
      <c r="J108" s="408">
        <f>skemA7!$I$21*COS(RADIANS(skemA7!$I$28*E108-skemA7!$I$22))</f>
        <v>-9.315252567385226</v>
      </c>
      <c r="K108" s="408">
        <f>skemA7!$J$21*COS(RADIANS(skemA7!$J$28*E108-skemA7!$J$22))</f>
        <v>-0.48796968235463806</v>
      </c>
      <c r="L108" s="408">
        <f>skemA7!$K$21*COS(RADIANS(skemA7!$K$28*E108-skemA7!$K$22))</f>
        <v>2.2794860054762887</v>
      </c>
      <c r="M108" s="408">
        <f>skemA7!$L$21*COS(RADIANS(skemA7!$L$28*E108-skemA7!$L$22))</f>
        <v>-4.0554314696640938</v>
      </c>
      <c r="N108" s="408">
        <f>skemA7!$M$21*COS(RADIANS(skemA7!$M$28*E108-skemA7!$M$22))</f>
        <v>-4.4497801107640287</v>
      </c>
      <c r="O108" s="409">
        <f>skemA7!$D$21+'Forcasting Pasut'!F108+'Forcasting Pasut'!G108+K108+L108+'Forcasting Pasut'!H108+'Forcasting Pasut'!I108+'Forcasting Pasut'!J108+'Forcasting Pasut'!M108+'Forcasting Pasut'!N108</f>
        <v>89.022699144205163</v>
      </c>
      <c r="P108" s="405"/>
      <c r="Q108" s="406">
        <f>AI90</f>
        <v>176.5</v>
      </c>
      <c r="R108" s="406"/>
      <c r="S108" s="406"/>
      <c r="T108" s="406"/>
      <c r="U108" s="406"/>
      <c r="V108" s="406"/>
      <c r="W108" s="406"/>
      <c r="X108" s="406"/>
      <c r="Y108" s="406"/>
      <c r="Z108" s="406"/>
      <c r="AA108" s="406"/>
      <c r="AB108" s="406"/>
      <c r="AC108" s="406"/>
      <c r="AD108" s="406"/>
      <c r="AE108" s="406"/>
      <c r="AF108" s="406"/>
      <c r="AG108" s="406"/>
      <c r="AH108" s="406"/>
      <c r="AI108" s="406"/>
      <c r="AJ108" s="406"/>
      <c r="AK108" s="406"/>
      <c r="AL108" s="406"/>
      <c r="AM108" s="406"/>
      <c r="AN108" s="406"/>
      <c r="AO108" s="407"/>
      <c r="AP108" s="410"/>
    </row>
    <row r="109" spans="1:42">
      <c r="A109" s="402"/>
      <c r="B109" s="77"/>
      <c r="D109" s="131"/>
      <c r="E109" s="113">
        <f t="shared" si="1"/>
        <v>91</v>
      </c>
      <c r="F109" s="408">
        <f>skemA7!$E$21*COS(RADIANS(skemA7!$E$28*E109-skemA7!$E$22))</f>
        <v>-20.013615569797771</v>
      </c>
      <c r="G109" s="408">
        <f>skemA7!$F$21*COS(RADIANS(skemA7!$F$28*E109-skemA7!$F$22))</f>
        <v>-7.1705119453438932</v>
      </c>
      <c r="H109" s="408">
        <f>skemA7!$G$21*COS(RADIANS(skemA7!$G$28*E109-skemA7!$G$22))</f>
        <v>-6.4960040555019187</v>
      </c>
      <c r="I109" s="408">
        <f>skemA7!$H$21*COS(RADIANS(skemA7!$H$28*E109-skemA7!$H$22))</f>
        <v>-25.096007763905732</v>
      </c>
      <c r="J109" s="408">
        <f>skemA7!$I$21*COS(RADIANS(skemA7!$I$28*E109-skemA7!$I$22))</f>
        <v>-2.8074559334760441</v>
      </c>
      <c r="K109" s="408">
        <f>skemA7!$J$21*COS(RADIANS(skemA7!$J$28*E109-skemA7!$J$22))</f>
        <v>1.1935077554704421</v>
      </c>
      <c r="L109" s="408">
        <f>skemA7!$K$21*COS(RADIANS(skemA7!$K$28*E109-skemA7!$K$22))</f>
        <v>3.2269133558707841</v>
      </c>
      <c r="M109" s="408">
        <f>skemA7!$L$21*COS(RADIANS(skemA7!$L$28*E109-skemA7!$L$22))</f>
        <v>-1.1537290320881441</v>
      </c>
      <c r="N109" s="408">
        <f>skemA7!$M$21*COS(RADIANS(skemA7!$M$28*E109-skemA7!$M$22))</f>
        <v>-7.1199619027935874</v>
      </c>
      <c r="O109" s="409">
        <f>skemA7!$D$21+'Forcasting Pasut'!F109+'Forcasting Pasut'!G109+K109+L109+'Forcasting Pasut'!H109+'Forcasting Pasut'!I109+'Forcasting Pasut'!J109+'Forcasting Pasut'!M109+'Forcasting Pasut'!N109</f>
        <v>100.73145387395138</v>
      </c>
      <c r="P109" s="405"/>
      <c r="Q109" s="406">
        <f>AJ90</f>
        <v>165.3</v>
      </c>
      <c r="R109" s="406"/>
      <c r="S109" s="406"/>
      <c r="T109" s="406"/>
      <c r="U109" s="406"/>
      <c r="V109" s="406"/>
      <c r="W109" s="406"/>
      <c r="X109" s="406"/>
      <c r="Y109" s="406"/>
      <c r="Z109" s="406"/>
      <c r="AA109" s="406"/>
      <c r="AB109" s="406"/>
      <c r="AC109" s="406"/>
      <c r="AD109" s="406"/>
      <c r="AE109" s="406"/>
      <c r="AF109" s="406"/>
      <c r="AG109" s="406"/>
      <c r="AH109" s="406"/>
      <c r="AI109" s="406"/>
      <c r="AJ109" s="406"/>
      <c r="AK109" s="406"/>
      <c r="AL109" s="406"/>
      <c r="AM109" s="406"/>
      <c r="AN109" s="406"/>
      <c r="AO109" s="407"/>
      <c r="AP109" s="410"/>
    </row>
    <row r="110" spans="1:42">
      <c r="A110" s="402"/>
      <c r="B110" s="77"/>
      <c r="D110" s="131"/>
      <c r="E110" s="113">
        <f t="shared" si="1"/>
        <v>92</v>
      </c>
      <c r="F110" s="408">
        <f>skemA7!$E$21*COS(RADIANS(skemA7!$E$28*E110-skemA7!$E$22))</f>
        <v>-22.135027542956312</v>
      </c>
      <c r="G110" s="408">
        <f>skemA7!$F$21*COS(RADIANS(skemA7!$F$28*E110-skemA7!$F$22))</f>
        <v>4.7116383509438942</v>
      </c>
      <c r="H110" s="408">
        <f>skemA7!$G$21*COS(RADIANS(skemA7!$G$28*E110-skemA7!$G$22))</f>
        <v>2.05591755913236</v>
      </c>
      <c r="I110" s="408">
        <f>skemA7!$H$21*COS(RADIANS(skemA7!$H$28*E110-skemA7!$H$22))</f>
        <v>-30.846110630096984</v>
      </c>
      <c r="J110" s="408">
        <f>skemA7!$I$21*COS(RADIANS(skemA7!$I$28*E110-skemA7!$I$22))</f>
        <v>3.8657789179253341</v>
      </c>
      <c r="K110" s="408">
        <f>skemA7!$J$21*COS(RADIANS(skemA7!$J$28*E110-skemA7!$J$22))</f>
        <v>1.7540255728968661</v>
      </c>
      <c r="L110" s="408">
        <f>skemA7!$K$21*COS(RADIANS(skemA7!$K$28*E110-skemA7!$K$22))</f>
        <v>1.0460251787199226</v>
      </c>
      <c r="M110" s="408">
        <f>skemA7!$L$21*COS(RADIANS(skemA7!$L$28*E110-skemA7!$L$22))</f>
        <v>2.058767396243816</v>
      </c>
      <c r="N110" s="408">
        <f>skemA7!$M$21*COS(RADIANS(skemA7!$M$28*E110-skemA7!$M$22))</f>
        <v>-9.3075638695042358</v>
      </c>
      <c r="O110" s="409">
        <f>skemA7!$D$21+'Forcasting Pasut'!F110+'Forcasting Pasut'!G110+K110+L110+'Forcasting Pasut'!H110+'Forcasting Pasut'!I110+'Forcasting Pasut'!J110+'Forcasting Pasut'!M110+'Forcasting Pasut'!N110</f>
        <v>119.3717698988219</v>
      </c>
      <c r="P110" s="405"/>
      <c r="Q110" s="406">
        <f>AK90</f>
        <v>144.4</v>
      </c>
      <c r="R110" s="406"/>
      <c r="S110" s="406"/>
      <c r="T110" s="406"/>
      <c r="U110" s="406"/>
      <c r="V110" s="406"/>
      <c r="W110" s="406"/>
      <c r="X110" s="406"/>
      <c r="Y110" s="406"/>
      <c r="Z110" s="406"/>
      <c r="AA110" s="406"/>
      <c r="AB110" s="406"/>
      <c r="AC110" s="406"/>
      <c r="AD110" s="406"/>
      <c r="AE110" s="406"/>
      <c r="AF110" s="406"/>
      <c r="AG110" s="406"/>
      <c r="AH110" s="406"/>
      <c r="AI110" s="406"/>
      <c r="AJ110" s="406"/>
      <c r="AK110" s="406"/>
      <c r="AL110" s="406"/>
      <c r="AM110" s="406"/>
      <c r="AN110" s="406"/>
      <c r="AO110" s="407"/>
      <c r="AP110" s="410"/>
    </row>
    <row r="111" spans="1:42">
      <c r="A111" s="402"/>
      <c r="B111" s="77"/>
      <c r="D111" s="131"/>
      <c r="E111" s="113">
        <f t="shared" si="1"/>
        <v>93</v>
      </c>
      <c r="F111" s="408">
        <f>skemA7!$E$21*COS(RADIANS(skemA7!$E$28*E111-skemA7!$E$22))</f>
        <v>-18.711839008920002</v>
      </c>
      <c r="G111" s="408">
        <f>skemA7!$F$21*COS(RADIANS(skemA7!$F$28*E111-skemA7!$F$22))</f>
        <v>15.331308956068899</v>
      </c>
      <c r="H111" s="408">
        <f>skemA7!$G$21*COS(RADIANS(skemA7!$G$28*E111-skemA7!$G$22))</f>
        <v>10.1116077398064</v>
      </c>
      <c r="I111" s="408">
        <f>skemA7!$H$21*COS(RADIANS(skemA7!$H$28*E111-skemA7!$H$22))</f>
        <v>-34.482660943774782</v>
      </c>
      <c r="J111" s="408">
        <f>skemA7!$I$21*COS(RADIANS(skemA7!$I$28*E111-skemA7!$I$22))</f>
        <v>10.311210523771056</v>
      </c>
      <c r="K111" s="408">
        <f>skemA7!$J$21*COS(RADIANS(skemA7!$J$28*E111-skemA7!$J$22))</f>
        <v>0.66713738784705001</v>
      </c>
      <c r="L111" s="408">
        <f>skemA7!$K$21*COS(RADIANS(skemA7!$K$28*E111-skemA7!$K$22))</f>
        <v>-2.1489270428960658</v>
      </c>
      <c r="M111" s="408">
        <f>skemA7!$L$21*COS(RADIANS(skemA7!$L$28*E111-skemA7!$L$22))</f>
        <v>4.7166686663358304</v>
      </c>
      <c r="N111" s="408">
        <f>skemA7!$M$21*COS(RADIANS(skemA7!$M$28*E111-skemA7!$M$22))</f>
        <v>-10.86431378846339</v>
      </c>
      <c r="O111" s="409">
        <f>skemA7!$D$21+'Forcasting Pasut'!F111+'Forcasting Pasut'!G111+K111+L111+'Forcasting Pasut'!H111+'Forcasting Pasut'!I111+'Forcasting Pasut'!J111+'Forcasting Pasut'!M111+'Forcasting Pasut'!N111</f>
        <v>141.09851145529223</v>
      </c>
      <c r="P111" s="405"/>
      <c r="Q111" s="406">
        <f>AL90</f>
        <v>122.6</v>
      </c>
      <c r="R111" s="406"/>
      <c r="S111" s="406"/>
      <c r="T111" s="406"/>
      <c r="U111" s="406"/>
      <c r="V111" s="406"/>
      <c r="W111" s="406"/>
      <c r="X111" s="406"/>
      <c r="Y111" s="406"/>
      <c r="Z111" s="406"/>
      <c r="AA111" s="406"/>
      <c r="AB111" s="406"/>
      <c r="AC111" s="406"/>
      <c r="AD111" s="406"/>
      <c r="AE111" s="406"/>
      <c r="AF111" s="406"/>
      <c r="AG111" s="406"/>
      <c r="AH111" s="406"/>
      <c r="AI111" s="406"/>
      <c r="AJ111" s="406"/>
      <c r="AK111" s="406"/>
      <c r="AL111" s="406"/>
      <c r="AM111" s="406"/>
      <c r="AN111" s="406"/>
      <c r="AO111" s="407"/>
      <c r="AP111" s="410"/>
    </row>
    <row r="112" spans="1:42">
      <c r="A112" s="402"/>
      <c r="B112" s="77"/>
      <c r="D112" s="131"/>
      <c r="E112" s="113">
        <f t="shared" si="1"/>
        <v>94</v>
      </c>
      <c r="F112" s="408">
        <f>skemA7!$E$21*COS(RADIANS(skemA7!$E$28*E112-skemA7!$E$22))</f>
        <v>-10.60152407045215</v>
      </c>
      <c r="G112" s="408">
        <f>skemA7!$F$21*COS(RADIANS(skemA7!$F$28*E112-skemA7!$F$22))</f>
        <v>21.84296770750311</v>
      </c>
      <c r="H112" s="408">
        <f>skemA7!$G$21*COS(RADIANS(skemA7!$G$28*E112-skemA7!$G$22))</f>
        <v>15.726685656589298</v>
      </c>
      <c r="I112" s="408">
        <f>skemA7!$H$21*COS(RADIANS(skemA7!$H$28*E112-skemA7!$H$22))</f>
        <v>-35.756484982845272</v>
      </c>
      <c r="J112" s="408">
        <f>skemA7!$I$21*COS(RADIANS(skemA7!$I$28*E112-skemA7!$I$22))</f>
        <v>16.149021447525133</v>
      </c>
      <c r="K112" s="408">
        <f>skemA7!$J$21*COS(RADIANS(skemA7!$J$28*E112-skemA7!$J$22))</f>
        <v>-1.0463358106700802</v>
      </c>
      <c r="L112" s="408">
        <f>skemA7!$K$21*COS(RADIANS(skemA7!$K$28*E112-skemA7!$K$22))</f>
        <v>-3.260612348273535</v>
      </c>
      <c r="M112" s="408">
        <f>skemA7!$L$21*COS(RADIANS(skemA7!$L$28*E112-skemA7!$L$22))</f>
        <v>6.103983657402499</v>
      </c>
      <c r="N112" s="408">
        <f>skemA7!$M$21*COS(RADIANS(skemA7!$M$28*E112-skemA7!$M$22))</f>
        <v>-11.684697597346958</v>
      </c>
      <c r="O112" s="409">
        <f>skemA7!$D$21+'Forcasting Pasut'!F112+'Forcasting Pasut'!G112+K112+L112+'Forcasting Pasut'!H112+'Forcasting Pasut'!I112+'Forcasting Pasut'!J112+'Forcasting Pasut'!M112+'Forcasting Pasut'!N112</f>
        <v>163.64132262494928</v>
      </c>
      <c r="P112" s="405"/>
      <c r="Q112" s="406">
        <f>AM90</f>
        <v>95.6</v>
      </c>
      <c r="R112" s="406"/>
      <c r="S112" s="406"/>
      <c r="T112" s="406"/>
      <c r="U112" s="406"/>
      <c r="V112" s="406"/>
      <c r="W112" s="406"/>
      <c r="X112" s="406"/>
      <c r="Y112" s="406"/>
      <c r="Z112" s="406"/>
      <c r="AA112" s="406"/>
      <c r="AB112" s="406"/>
      <c r="AC112" s="406"/>
      <c r="AD112" s="406"/>
      <c r="AE112" s="406"/>
      <c r="AF112" s="406"/>
      <c r="AG112" s="406"/>
      <c r="AH112" s="406"/>
      <c r="AI112" s="406"/>
      <c r="AJ112" s="406"/>
      <c r="AK112" s="406"/>
      <c r="AL112" s="406"/>
      <c r="AM112" s="406"/>
      <c r="AN112" s="406"/>
      <c r="AO112" s="407"/>
      <c r="AP112" s="410"/>
    </row>
    <row r="113" spans="1:42">
      <c r="A113" s="402"/>
      <c r="B113" s="77"/>
      <c r="D113" s="131"/>
      <c r="E113" s="113">
        <f t="shared" si="1"/>
        <v>95</v>
      </c>
      <c r="F113" s="408">
        <f>skemA7!$E$21*COS(RADIANS(skemA7!$E$28*E113-skemA7!$E$22))</f>
        <v>0.16436541491827639</v>
      </c>
      <c r="G113" s="408">
        <f>skemA7!$F$21*COS(RADIANS(skemA7!$F$28*E113-skemA7!$F$22))</f>
        <v>22.501820901412827</v>
      </c>
      <c r="H113" s="408">
        <f>skemA7!$G$21*COS(RADIANS(skemA7!$G$28*E113-skemA7!$G$22))</f>
        <v>17.545854666351278</v>
      </c>
      <c r="I113" s="408">
        <f>skemA7!$H$21*COS(RADIANS(skemA7!$H$28*E113-skemA7!$H$22))</f>
        <v>-34.580301271808523</v>
      </c>
      <c r="J113" s="408">
        <f>skemA7!$I$21*COS(RADIANS(skemA7!$I$28*E113-skemA7!$I$22))</f>
        <v>21.035200222519034</v>
      </c>
      <c r="K113" s="408">
        <f>skemA7!$J$21*COS(RADIANS(skemA7!$J$28*E113-skemA7!$J$22))</f>
        <v>-1.7770753924492697</v>
      </c>
      <c r="L113" s="408">
        <f>skemA7!$K$21*COS(RADIANS(skemA7!$K$28*E113-skemA7!$K$22))</f>
        <v>-1.2113128010974394</v>
      </c>
      <c r="M113" s="408">
        <f>skemA7!$L$21*COS(RADIANS(skemA7!$L$28*E113-skemA7!$L$22))</f>
        <v>5.8469944941739005</v>
      </c>
      <c r="N113" s="408">
        <f>skemA7!$M$21*COS(RADIANS(skemA7!$M$28*E113-skemA7!$M$22))</f>
        <v>-11.713110971217446</v>
      </c>
      <c r="O113" s="409">
        <f>skemA7!$D$21+'Forcasting Pasut'!F113+'Forcasting Pasut'!G113+K113+L113+'Forcasting Pasut'!H113+'Forcasting Pasut'!I113+'Forcasting Pasut'!J113+'Forcasting Pasut'!M113+'Forcasting Pasut'!N113</f>
        <v>183.98075422831991</v>
      </c>
      <c r="P113" s="405"/>
      <c r="Q113" s="406">
        <f>AN90</f>
        <v>73.8</v>
      </c>
      <c r="R113" s="406"/>
      <c r="S113" s="406"/>
      <c r="T113" s="406"/>
      <c r="U113" s="406"/>
      <c r="V113" s="406"/>
      <c r="W113" s="406"/>
      <c r="X113" s="406"/>
      <c r="Y113" s="406"/>
      <c r="Z113" s="406"/>
      <c r="AA113" s="406"/>
      <c r="AB113" s="406"/>
      <c r="AC113" s="406"/>
      <c r="AD113" s="406"/>
      <c r="AE113" s="406"/>
      <c r="AF113" s="406"/>
      <c r="AG113" s="406"/>
      <c r="AH113" s="406"/>
      <c r="AI113" s="406"/>
      <c r="AJ113" s="406"/>
      <c r="AK113" s="406"/>
      <c r="AL113" s="406"/>
      <c r="AM113" s="406"/>
      <c r="AN113" s="406"/>
      <c r="AO113" s="407"/>
      <c r="AP113" s="410"/>
    </row>
    <row r="114" spans="1:42">
      <c r="A114" s="402">
        <v>5</v>
      </c>
      <c r="B114" s="77">
        <f>skemA1!B9</f>
        <v>44713</v>
      </c>
      <c r="C114" s="43" t="e">
        <f>skemA1!#REF!</f>
        <v>#REF!</v>
      </c>
      <c r="D114" s="139" t="e">
        <f>skemA1!#REF!</f>
        <v>#REF!</v>
      </c>
      <c r="E114" s="113">
        <f t="shared" si="1"/>
        <v>96</v>
      </c>
      <c r="F114" s="408">
        <f>skemA7!$E$21*COS(RADIANS(skemA7!$E$28*E114-skemA7!$E$22))</f>
        <v>10.889083026382361</v>
      </c>
      <c r="G114" s="408">
        <f>skemA7!$F$21*COS(RADIANS(skemA7!$F$28*E114-skemA7!$F$22))</f>
        <v>17.131329356559153</v>
      </c>
      <c r="H114" s="408">
        <f>skemA7!$G$21*COS(RADIANS(skemA7!$G$28*E114-skemA7!$G$22))</f>
        <v>15.130026712122202</v>
      </c>
      <c r="I114" s="408">
        <f>skemA7!$H$21*COS(RADIANS(skemA7!$H$28*E114-skemA7!$H$22))</f>
        <v>-31.03470104352678</v>
      </c>
      <c r="J114" s="408">
        <f>skemA7!$I$21*COS(RADIANS(skemA7!$I$28*E114-skemA7!$I$22))</f>
        <v>24.681813315319651</v>
      </c>
      <c r="K114" s="408">
        <f>skemA7!$J$21*COS(RADIANS(skemA7!$J$28*E114-skemA7!$J$22))</f>
        <v>-0.83876025027778778</v>
      </c>
      <c r="L114" s="408">
        <f>skemA7!$K$21*COS(RADIANS(skemA7!$K$28*E114-skemA7!$K$22))</f>
        <v>2.012288075704824</v>
      </c>
      <c r="M114" s="408">
        <f>skemA7!$L$21*COS(RADIANS(skemA7!$L$28*E114-skemA7!$L$22))</f>
        <v>4.0149294663085424</v>
      </c>
      <c r="N114" s="408">
        <f>skemA7!$M$21*COS(RADIANS(skemA7!$M$28*E114-skemA7!$M$22))</f>
        <v>-10.947628096259244</v>
      </c>
      <c r="O114" s="409">
        <f>skemA7!$D$21+'Forcasting Pasut'!F114+'Forcasting Pasut'!G114+K114+L114+'Forcasting Pasut'!H114+'Forcasting Pasut'!I114+'Forcasting Pasut'!J114+'Forcasting Pasut'!M114+'Forcasting Pasut'!N114</f>
        <v>197.20669952785013</v>
      </c>
      <c r="P114" s="405"/>
      <c r="Q114" s="406">
        <f>skemA1!C9</f>
        <v>68.7</v>
      </c>
      <c r="R114" s="406">
        <f>skemA1!D9</f>
        <v>86.4</v>
      </c>
      <c r="S114" s="406">
        <f>skemA1!E9</f>
        <v>124.6</v>
      </c>
      <c r="T114" s="406">
        <f>skemA1!F9</f>
        <v>170.1</v>
      </c>
      <c r="U114" s="406">
        <f>skemA1!G9</f>
        <v>219.3</v>
      </c>
      <c r="V114" s="406">
        <f>skemA1!H9</f>
        <v>259.5</v>
      </c>
      <c r="W114" s="406">
        <f>skemA1!I9</f>
        <v>281.8</v>
      </c>
      <c r="X114" s="406">
        <f>skemA1!J9</f>
        <v>284</v>
      </c>
      <c r="Y114" s="406">
        <f>skemA1!K9</f>
        <v>265.7</v>
      </c>
      <c r="Z114" s="406">
        <f>skemA1!L9</f>
        <v>228.79999999999998</v>
      </c>
      <c r="AA114" s="406">
        <f>skemA1!M9</f>
        <v>188.2</v>
      </c>
      <c r="AB114" s="406">
        <f>skemA1!N9</f>
        <v>151.5</v>
      </c>
      <c r="AC114" s="406">
        <f>skemA1!O9</f>
        <v>127</v>
      </c>
      <c r="AD114" s="406">
        <f>skemA1!P9</f>
        <v>116.9</v>
      </c>
      <c r="AE114" s="406">
        <f>skemA1!Q9</f>
        <v>122.50000000000001</v>
      </c>
      <c r="AF114" s="406">
        <f>skemA1!R9</f>
        <v>137.5</v>
      </c>
      <c r="AG114" s="406">
        <f>skemA1!S9</f>
        <v>159.4</v>
      </c>
      <c r="AH114" s="406">
        <f>skemA1!T9</f>
        <v>178.4</v>
      </c>
      <c r="AI114" s="406">
        <f>skemA1!U9</f>
        <v>183.9</v>
      </c>
      <c r="AJ114" s="406">
        <f>skemA1!V9</f>
        <v>174.5</v>
      </c>
      <c r="AK114" s="406">
        <f>skemA1!W9</f>
        <v>155.4</v>
      </c>
      <c r="AL114" s="406">
        <f>skemA1!X9</f>
        <v>129.5</v>
      </c>
      <c r="AM114" s="406">
        <f>skemA1!Y9</f>
        <v>96.3</v>
      </c>
      <c r="AN114" s="406">
        <f>skemA1!Z9</f>
        <v>76.2</v>
      </c>
      <c r="AO114" s="407">
        <f>SUM(Q114:AN114)</f>
        <v>3986.1000000000004</v>
      </c>
      <c r="AP114" s="407">
        <f>AVERAGE(Q114:AN114)</f>
        <v>166.08750000000001</v>
      </c>
    </row>
    <row r="115" spans="1:42">
      <c r="A115" s="402"/>
      <c r="B115" s="77"/>
      <c r="D115" s="131"/>
      <c r="E115" s="113">
        <f t="shared" si="1"/>
        <v>97</v>
      </c>
      <c r="F115" s="408">
        <f>skemA7!$E$21*COS(RADIANS(skemA7!$E$28*E115-skemA7!$E$22))</f>
        <v>18.886195481096404</v>
      </c>
      <c r="G115" s="408">
        <f>skemA7!$F$21*COS(RADIANS(skemA7!$F$28*E115-skemA7!$F$22))</f>
        <v>7.1705119453439741</v>
      </c>
      <c r="H115" s="408">
        <f>skemA7!$G$21*COS(RADIANS(skemA7!$G$28*E115-skemA7!$G$22))</f>
        <v>9.0623038568244016</v>
      </c>
      <c r="I115" s="408">
        <f>skemA7!$H$21*COS(RADIANS(skemA7!$H$28*E115-skemA7!$H$22))</f>
        <v>-25.362626187904588</v>
      </c>
      <c r="J115" s="408">
        <f>skemA7!$I$21*COS(RADIANS(skemA7!$I$28*E115-skemA7!$I$22))</f>
        <v>26.873972519574863</v>
      </c>
      <c r="K115" s="408">
        <f>skemA7!$J$21*COS(RADIANS(skemA7!$J$28*E115-skemA7!$J$22))</f>
        <v>0.88733056192800075</v>
      </c>
      <c r="L115" s="408">
        <f>skemA7!$K$21*COS(RADIANS(skemA7!$K$28*E115-skemA7!$K$22))</f>
        <v>3.2850860213812942</v>
      </c>
      <c r="M115" s="408">
        <f>skemA7!$L$21*COS(RADIANS(skemA7!$L$28*E115-skemA7!$L$22))</f>
        <v>1.1013141638700628</v>
      </c>
      <c r="N115" s="408">
        <f>skemA7!$M$21*COS(RADIANS(skemA7!$M$28*E115-skemA7!$M$22))</f>
        <v>-9.440132198411618</v>
      </c>
      <c r="O115" s="409">
        <f>skemA7!$D$21+'Forcasting Pasut'!F115+'Forcasting Pasut'!G115+K115+L115+'Forcasting Pasut'!H115+'Forcasting Pasut'!I115+'Forcasting Pasut'!J115+'Forcasting Pasut'!M115+'Forcasting Pasut'!N115</f>
        <v>198.63227512922001</v>
      </c>
      <c r="P115" s="405"/>
      <c r="Q115" s="406">
        <f>R114</f>
        <v>86.4</v>
      </c>
      <c r="R115" s="406"/>
      <c r="S115" s="406"/>
      <c r="T115" s="406"/>
      <c r="U115" s="406"/>
      <c r="V115" s="406"/>
      <c r="W115" s="406"/>
      <c r="X115" s="406"/>
      <c r="Y115" s="406"/>
      <c r="Z115" s="406"/>
      <c r="AA115" s="406"/>
      <c r="AB115" s="406"/>
      <c r="AC115" s="406"/>
      <c r="AD115" s="406"/>
      <c r="AE115" s="406"/>
      <c r="AF115" s="406"/>
      <c r="AG115" s="406"/>
      <c r="AH115" s="406"/>
      <c r="AI115" s="406"/>
      <c r="AJ115" s="406"/>
      <c r="AK115" s="406"/>
      <c r="AL115" s="406"/>
      <c r="AM115" s="406"/>
      <c r="AN115" s="406"/>
      <c r="AO115" s="407"/>
      <c r="AP115" s="407"/>
    </row>
    <row r="116" spans="1:42">
      <c r="A116" s="402"/>
      <c r="B116" s="77"/>
      <c r="D116" s="131"/>
      <c r="E116" s="113">
        <f t="shared" si="1"/>
        <v>98</v>
      </c>
      <c r="F116" s="408">
        <f>skemA7!$E$21*COS(RADIANS(skemA7!$E$28*E116-skemA7!$E$22))</f>
        <v>22.152506998686963</v>
      </c>
      <c r="G116" s="408">
        <f>skemA7!$F$21*COS(RADIANS(skemA7!$F$28*E116-skemA7!$F$22))</f>
        <v>-4.7116383509439705</v>
      </c>
      <c r="H116" s="408">
        <f>skemA7!$G$21*COS(RADIANS(skemA7!$G$28*E116-skemA7!$G$22))</f>
        <v>0.80723646629474988</v>
      </c>
      <c r="I116" s="408">
        <f>skemA7!$H$21*COS(RADIANS(skemA7!$H$28*E116-skemA7!$H$22))</f>
        <v>-17.95272305432815</v>
      </c>
      <c r="J116" s="408">
        <f>skemA7!$I$21*COS(RADIANS(skemA7!$I$28*E116-skemA7!$I$22))</f>
        <v>27.482497923006548</v>
      </c>
      <c r="K116" s="408">
        <f>skemA7!$J$21*COS(RADIANS(skemA7!$J$28*E116-skemA7!$J$22))</f>
        <v>1.7800277700219527</v>
      </c>
      <c r="L116" s="408">
        <f>skemA7!$K$21*COS(RADIANS(skemA7!$K$28*E116-skemA7!$K$22))</f>
        <v>1.3731732306159605</v>
      </c>
      <c r="M116" s="408">
        <f>skemA7!$L$21*COS(RADIANS(skemA7!$L$28*E116-skemA7!$L$22))</f>
        <v>-2.1089755001780897</v>
      </c>
      <c r="N116" s="408">
        <f>skemA7!$M$21*COS(RADIANS(skemA7!$M$28*E116-skemA7!$M$22))</f>
        <v>-7.2927989798742097</v>
      </c>
      <c r="O116" s="409">
        <f>skemA7!$D$21+'Forcasting Pasut'!F116+'Forcasting Pasut'!G116+K116+L116+'Forcasting Pasut'!H116+'Forcasting Pasut'!I116+'Forcasting Pasut'!J116+'Forcasting Pasut'!M116+'Forcasting Pasut'!N116</f>
        <v>187.69762546881898</v>
      </c>
      <c r="P116" s="405"/>
      <c r="Q116" s="406">
        <f>S114</f>
        <v>124.6</v>
      </c>
      <c r="R116" s="406"/>
      <c r="S116" s="406"/>
      <c r="T116" s="406"/>
      <c r="U116" s="406"/>
      <c r="V116" s="406"/>
      <c r="W116" s="406"/>
      <c r="X116" s="406"/>
      <c r="Y116" s="406"/>
      <c r="Z116" s="406"/>
      <c r="AA116" s="406"/>
      <c r="AB116" s="406"/>
      <c r="AC116" s="406"/>
      <c r="AD116" s="406"/>
      <c r="AE116" s="406"/>
      <c r="AF116" s="406"/>
      <c r="AG116" s="406"/>
      <c r="AH116" s="406"/>
      <c r="AI116" s="406"/>
      <c r="AJ116" s="406"/>
      <c r="AK116" s="406"/>
      <c r="AL116" s="406"/>
      <c r="AM116" s="406"/>
      <c r="AN116" s="406"/>
      <c r="AO116" s="407"/>
      <c r="AP116" s="407"/>
    </row>
    <row r="117" spans="1:42">
      <c r="A117" s="402"/>
      <c r="B117" s="77"/>
      <c r="D117" s="131"/>
      <c r="E117" s="113">
        <f t="shared" si="1"/>
        <v>99</v>
      </c>
      <c r="F117" s="408">
        <f>skemA7!$E$21*COS(RADIANS(skemA7!$E$28*E117-skemA7!$E$22))</f>
        <v>19.869839582224078</v>
      </c>
      <c r="G117" s="408">
        <f>skemA7!$F$21*COS(RADIANS(skemA7!$F$28*E117-skemA7!$F$22))</f>
        <v>-15.331308956068836</v>
      </c>
      <c r="H117" s="408">
        <f>skemA7!$G$21*COS(RADIANS(skemA7!$G$28*E117-skemA7!$G$22))</f>
        <v>-7.6426714748371651</v>
      </c>
      <c r="I117" s="408">
        <f>skemA7!$H$21*COS(RADIANS(skemA7!$H$28*E117-skemA7!$H$22))</f>
        <v>-9.3127126929372839</v>
      </c>
      <c r="J117" s="408">
        <f>skemA7!$I$21*COS(RADIANS(skemA7!$I$28*E117-skemA7!$I$22))</f>
        <v>26.471530242182286</v>
      </c>
      <c r="K117" s="408">
        <f>skemA7!$J$21*COS(RADIANS(skemA7!$J$28*E117-skemA7!$J$22))</f>
        <v>1.000897338758568</v>
      </c>
      <c r="L117" s="408">
        <f>skemA7!$K$21*COS(RADIANS(skemA7!$K$28*E117-skemA7!$K$22))</f>
        <v>-1.8699556994145716</v>
      </c>
      <c r="M117" s="408">
        <f>skemA7!$L$21*COS(RADIANS(skemA7!$L$28*E117-skemA7!$L$22))</f>
        <v>-4.7511448397158</v>
      </c>
      <c r="N117" s="408">
        <f>skemA7!$M$21*COS(RADIANS(skemA7!$M$28*E117-skemA7!$M$22))</f>
        <v>-4.6511713106301515</v>
      </c>
      <c r="O117" s="409">
        <f>skemA7!$D$21+'Forcasting Pasut'!F117+'Forcasting Pasut'!G117+K117+L117+'Forcasting Pasut'!H117+'Forcasting Pasut'!I117+'Forcasting Pasut'!J117+'Forcasting Pasut'!M117+'Forcasting Pasut'!N117</f>
        <v>169.95162115507839</v>
      </c>
      <c r="P117" s="405"/>
      <c r="Q117" s="406">
        <f>T114</f>
        <v>170.1</v>
      </c>
      <c r="R117" s="406"/>
      <c r="S117" s="406"/>
      <c r="T117" s="406"/>
      <c r="U117" s="406"/>
      <c r="V117" s="406"/>
      <c r="W117" s="406"/>
      <c r="X117" s="406"/>
      <c r="Y117" s="406"/>
      <c r="Z117" s="406"/>
      <c r="AA117" s="406"/>
      <c r="AB117" s="406"/>
      <c r="AC117" s="406"/>
      <c r="AD117" s="406"/>
      <c r="AE117" s="406"/>
      <c r="AF117" s="406"/>
      <c r="AG117" s="406"/>
      <c r="AH117" s="406"/>
      <c r="AI117" s="406"/>
      <c r="AJ117" s="406"/>
      <c r="AK117" s="406"/>
      <c r="AL117" s="406"/>
      <c r="AM117" s="406"/>
      <c r="AN117" s="406"/>
      <c r="AO117" s="407"/>
      <c r="AP117" s="407"/>
    </row>
    <row r="118" spans="1:42">
      <c r="A118" s="402"/>
      <c r="B118" s="77"/>
      <c r="D118" s="131"/>
      <c r="E118" s="113">
        <f t="shared" si="1"/>
        <v>100</v>
      </c>
      <c r="F118" s="408">
        <f>skemA7!$E$21*COS(RADIANS(skemA7!$E$28*E118-skemA7!$E$22))</f>
        <v>12.609978330710579</v>
      </c>
      <c r="G118" s="408">
        <f>skemA7!$F$21*COS(RADIANS(skemA7!$F$28*E118-skemA7!$F$22))</f>
        <v>-21.842967707503131</v>
      </c>
      <c r="H118" s="408">
        <f>skemA7!$G$21*COS(RADIANS(skemA7!$G$28*E118-skemA7!$G$22))</f>
        <v>-14.247887828799733</v>
      </c>
      <c r="I118" s="408">
        <f>skemA7!$H$21*COS(RADIANS(skemA7!$H$28*E118-skemA7!$H$22))</f>
        <v>-3.4602185987665388E-2</v>
      </c>
      <c r="J118" s="408">
        <f>skemA7!$I$21*COS(RADIANS(skemA7!$I$28*E118-skemA7!$I$22))</f>
        <v>23.900643944171517</v>
      </c>
      <c r="K118" s="408">
        <f>skemA7!$J$21*COS(RADIANS(skemA7!$J$28*E118-skemA7!$J$22))</f>
        <v>-0.71829024401493125</v>
      </c>
      <c r="L118" s="408">
        <f>skemA7!$K$21*COS(RADIANS(skemA7!$K$28*E118-skemA7!$K$22))</f>
        <v>-3.3002651313145037</v>
      </c>
      <c r="M118" s="408">
        <f>skemA7!$L$21*COS(RADIANS(skemA7!$L$28*E118-skemA7!$L$22))</f>
        <v>-6.1134406350102131</v>
      </c>
      <c r="N118" s="408">
        <f>skemA7!$M$21*COS(RADIANS(skemA7!$M$28*E118-skemA7!$M$22))</f>
        <v>-1.6942945615095202</v>
      </c>
      <c r="O118" s="409">
        <f>skemA7!$D$21+'Forcasting Pasut'!F118+'Forcasting Pasut'!G118+K118+L118+'Forcasting Pasut'!H118+'Forcasting Pasut'!I118+'Forcasting Pasut'!J118+'Forcasting Pasut'!M118+'Forcasting Pasut'!N118</f>
        <v>154.72719294625969</v>
      </c>
      <c r="P118" s="405"/>
      <c r="Q118" s="406">
        <f>U114</f>
        <v>219.3</v>
      </c>
      <c r="R118" s="406"/>
      <c r="S118" s="406"/>
      <c r="T118" s="406"/>
      <c r="U118" s="406"/>
      <c r="V118" s="406"/>
      <c r="W118" s="406"/>
      <c r="X118" s="406"/>
      <c r="Y118" s="406"/>
      <c r="Z118" s="406"/>
      <c r="AA118" s="406"/>
      <c r="AB118" s="406"/>
      <c r="AC118" s="406"/>
      <c r="AD118" s="406"/>
      <c r="AE118" s="406"/>
      <c r="AF118" s="406"/>
      <c r="AG118" s="406"/>
      <c r="AH118" s="406"/>
      <c r="AI118" s="406"/>
      <c r="AJ118" s="406"/>
      <c r="AK118" s="406"/>
      <c r="AL118" s="406"/>
      <c r="AM118" s="406"/>
      <c r="AN118" s="406"/>
      <c r="AO118" s="407"/>
      <c r="AP118" s="407"/>
    </row>
    <row r="119" spans="1:42">
      <c r="A119" s="402"/>
      <c r="B119" s="77"/>
      <c r="D119" s="131"/>
      <c r="E119" s="113">
        <f t="shared" si="1"/>
        <v>101</v>
      </c>
      <c r="F119" s="408">
        <f>skemA7!$E$21*COS(RADIANS(skemA7!$E$28*E119-skemA7!$E$22))</f>
        <v>2.1914450552976619</v>
      </c>
      <c r="G119" s="408">
        <f>skemA7!$F$21*COS(RADIANS(skemA7!$F$28*E119-skemA7!$F$22))</f>
        <v>-22.50182090141281</v>
      </c>
      <c r="H119" s="408">
        <f>skemA7!$G$21*COS(RADIANS(skemA7!$G$28*E119-skemA7!$G$22))</f>
        <v>-17.414128832421053</v>
      </c>
      <c r="I119" s="408">
        <f>skemA7!$H$21*COS(RADIANS(skemA7!$H$28*E119-skemA7!$H$22))</f>
        <v>9.245879237003523</v>
      </c>
      <c r="J119" s="408">
        <f>skemA7!$I$21*COS(RADIANS(skemA7!$I$28*E119-skemA7!$I$22))</f>
        <v>19.921336632711114</v>
      </c>
      <c r="K119" s="408">
        <f>skemA7!$J$21*COS(RADIANS(skemA7!$J$28*E119-skemA7!$J$22))</f>
        <v>-1.7628493163523107</v>
      </c>
      <c r="L119" s="408">
        <f>skemA7!$K$21*COS(RADIANS(skemA7!$K$28*E119-skemA7!$K$22))</f>
        <v>-1.5311485121478592</v>
      </c>
      <c r="M119" s="408">
        <f>skemA7!$L$21*COS(RADIANS(skemA7!$L$28*E119-skemA7!$L$22))</f>
        <v>-5.8288847351835003</v>
      </c>
      <c r="N119" s="408">
        <f>skemA7!$M$21*COS(RADIANS(skemA7!$M$28*E119-skemA7!$M$22))</f>
        <v>1.3774188095896369</v>
      </c>
      <c r="O119" s="409">
        <f>skemA7!$D$21+'Forcasting Pasut'!F119+'Forcasting Pasut'!G119+K119+L119+'Forcasting Pasut'!H119+'Forcasting Pasut'!I119+'Forcasting Pasut'!J119+'Forcasting Pasut'!M119+'Forcasting Pasut'!N119</f>
        <v>149.86556640260164</v>
      </c>
      <c r="P119" s="405"/>
      <c r="Q119" s="406">
        <f>V114</f>
        <v>259.5</v>
      </c>
      <c r="R119" s="406"/>
      <c r="S119" s="406"/>
      <c r="T119" s="406"/>
      <c r="U119" s="406"/>
      <c r="V119" s="406"/>
      <c r="W119" s="406"/>
      <c r="X119" s="406"/>
      <c r="Y119" s="406"/>
      <c r="Z119" s="406"/>
      <c r="AA119" s="406"/>
      <c r="AB119" s="406"/>
      <c r="AC119" s="406"/>
      <c r="AD119" s="406"/>
      <c r="AE119" s="406"/>
      <c r="AF119" s="406"/>
      <c r="AG119" s="406"/>
      <c r="AH119" s="406"/>
      <c r="AI119" s="406"/>
      <c r="AJ119" s="406"/>
      <c r="AK119" s="406"/>
      <c r="AL119" s="406"/>
      <c r="AM119" s="406"/>
      <c r="AN119" s="406"/>
      <c r="AO119" s="407"/>
      <c r="AP119" s="407"/>
    </row>
    <row r="120" spans="1:42">
      <c r="A120" s="402"/>
      <c r="B120" s="77"/>
      <c r="D120" s="131"/>
      <c r="E120" s="113">
        <f t="shared" si="1"/>
        <v>102</v>
      </c>
      <c r="F120" s="408">
        <f>skemA7!$E$21*COS(RADIANS(skemA7!$E$28*E120-skemA7!$E$22))</f>
        <v>-8.7760230403460611</v>
      </c>
      <c r="G120" s="408">
        <f>skemA7!$F$21*COS(RADIANS(skemA7!$F$28*E120-skemA7!$F$22))</f>
        <v>-17.13132935655921</v>
      </c>
      <c r="H120" s="408">
        <f>skemA7!$G$21*COS(RADIANS(skemA7!$G$28*E120-skemA7!$G$22))</f>
        <v>-16.377167191415168</v>
      </c>
      <c r="I120" s="408">
        <f>skemA7!$H$21*COS(RADIANS(skemA7!$H$28*E120-skemA7!$H$22))</f>
        <v>17.892839893116143</v>
      </c>
      <c r="J120" s="408">
        <f>skemA7!$I$21*COS(RADIANS(skemA7!$I$28*E120-skemA7!$I$22))</f>
        <v>14.768101572899935</v>
      </c>
      <c r="K120" s="408">
        <f>skemA7!$J$21*COS(RADIANS(skemA7!$J$28*E120-skemA7!$J$22))</f>
        <v>-1.1517149996681528</v>
      </c>
      <c r="L120" s="408">
        <f>skemA7!$K$21*COS(RADIANS(skemA7!$K$28*E120-skemA7!$K$22))</f>
        <v>1.7223326180199241</v>
      </c>
      <c r="M120" s="408">
        <f>skemA7!$L$21*COS(RADIANS(skemA7!$L$28*E120-skemA7!$L$22))</f>
        <v>-3.9741314162750525</v>
      </c>
      <c r="N120" s="408">
        <f>skemA7!$M$21*COS(RADIANS(skemA7!$M$28*E120-skemA7!$M$22))</f>
        <v>4.355772899052436</v>
      </c>
      <c r="O120" s="409">
        <f>skemA7!$D$21+'Forcasting Pasut'!F120+'Forcasting Pasut'!G120+K120+L120+'Forcasting Pasut'!H120+'Forcasting Pasut'!I120+'Forcasting Pasut'!J120+'Forcasting Pasut'!M120+'Forcasting Pasut'!N120</f>
        <v>157.49699994434204</v>
      </c>
      <c r="P120" s="405"/>
      <c r="Q120" s="406">
        <f>W114</f>
        <v>281.8</v>
      </c>
      <c r="R120" s="406"/>
      <c r="S120" s="406"/>
      <c r="T120" s="406"/>
      <c r="U120" s="406"/>
      <c r="V120" s="406"/>
      <c r="W120" s="406"/>
      <c r="X120" s="406"/>
      <c r="Y120" s="406"/>
      <c r="Z120" s="406"/>
      <c r="AA120" s="406"/>
      <c r="AB120" s="406"/>
      <c r="AC120" s="406"/>
      <c r="AD120" s="406"/>
      <c r="AE120" s="406"/>
      <c r="AF120" s="406"/>
      <c r="AG120" s="406"/>
      <c r="AH120" s="406"/>
      <c r="AI120" s="406"/>
      <c r="AJ120" s="406"/>
      <c r="AK120" s="406"/>
      <c r="AL120" s="406"/>
      <c r="AM120" s="406"/>
      <c r="AN120" s="406"/>
      <c r="AO120" s="407"/>
      <c r="AP120" s="407"/>
    </row>
    <row r="121" spans="1:42">
      <c r="A121" s="402"/>
      <c r="B121" s="77"/>
      <c r="D121" s="131"/>
      <c r="E121" s="113">
        <f t="shared" si="1"/>
        <v>103</v>
      </c>
      <c r="F121" s="408">
        <f>skemA7!$E$21*COS(RADIANS(skemA7!$E$28*E121-skemA7!$E$22))</f>
        <v>-17.545186132472864</v>
      </c>
      <c r="G121" s="408">
        <f>skemA7!$F$21*COS(RADIANS(skemA7!$F$28*E121-skemA7!$F$22))</f>
        <v>-7.1705119453438986</v>
      </c>
      <c r="H121" s="408">
        <f>skemA7!$G$21*COS(RADIANS(skemA7!$G$28*E121-skemA7!$G$22))</f>
        <v>-11.387291619836974</v>
      </c>
      <c r="I121" s="408">
        <f>skemA7!$H$21*COS(RADIANS(skemA7!$H$28*E121-skemA7!$H$22))</f>
        <v>25.313796471070798</v>
      </c>
      <c r="J121" s="408">
        <f>skemA7!$I$21*COS(RADIANS(skemA7!$I$28*E121-skemA7!$I$22))</f>
        <v>8.7446094341322755</v>
      </c>
      <c r="K121" s="408">
        <f>skemA7!$J$21*COS(RADIANS(skemA7!$J$28*E121-skemA7!$J$22))</f>
        <v>0.54112658110203782</v>
      </c>
      <c r="L121" s="408">
        <f>skemA7!$K$21*COS(RADIANS(skemA7!$K$28*E121-skemA7!$K$22))</f>
        <v>3.3061067314972394</v>
      </c>
      <c r="M121" s="408">
        <f>skemA7!$L$21*COS(RADIANS(skemA7!$L$28*E121-skemA7!$L$22))</f>
        <v>-1.048818088646468</v>
      </c>
      <c r="N121" s="408">
        <f>skemA7!$M$21*COS(RADIANS(skemA7!$M$28*E121-skemA7!$M$22))</f>
        <v>7.0388995486143529</v>
      </c>
      <c r="O121" s="409">
        <f>skemA7!$D$21+'Forcasting Pasut'!F121+'Forcasting Pasut'!G121+K121+L121+'Forcasting Pasut'!H121+'Forcasting Pasut'!I121+'Forcasting Pasut'!J121+'Forcasting Pasut'!M121+'Forcasting Pasut'!N121</f>
        <v>173.96104994563376</v>
      </c>
      <c r="P121" s="405"/>
      <c r="Q121" s="406">
        <f>X114</f>
        <v>284</v>
      </c>
      <c r="R121" s="406"/>
      <c r="S121" s="406"/>
      <c r="T121" s="406"/>
      <c r="U121" s="406"/>
      <c r="V121" s="406"/>
      <c r="W121" s="406"/>
      <c r="X121" s="406"/>
      <c r="Y121" s="406"/>
      <c r="Z121" s="406"/>
      <c r="AA121" s="406"/>
      <c r="AB121" s="406"/>
      <c r="AC121" s="406"/>
      <c r="AD121" s="406"/>
      <c r="AE121" s="406"/>
      <c r="AF121" s="406"/>
      <c r="AG121" s="406"/>
      <c r="AH121" s="406"/>
      <c r="AI121" s="406"/>
      <c r="AJ121" s="406"/>
      <c r="AK121" s="406"/>
      <c r="AL121" s="406"/>
      <c r="AM121" s="406"/>
      <c r="AN121" s="406"/>
      <c r="AO121" s="407"/>
      <c r="AP121" s="407"/>
    </row>
    <row r="122" spans="1:42">
      <c r="A122" s="402"/>
      <c r="B122" s="77"/>
      <c r="D122" s="131"/>
      <c r="E122" s="113">
        <f t="shared" si="1"/>
        <v>104</v>
      </c>
      <c r="F122" s="408">
        <f>skemA7!$E$21*COS(RADIANS(skemA7!$E$28*E122-skemA7!$E$22))</f>
        <v>-21.919457565208443</v>
      </c>
      <c r="G122" s="408">
        <f>skemA7!$F$21*COS(RADIANS(skemA7!$F$28*E122-skemA7!$F$22))</f>
        <v>4.7116383509438879</v>
      </c>
      <c r="H122" s="408">
        <f>skemA7!$G$21*COS(RADIANS(skemA7!$G$28*E122-skemA7!$G$22))</f>
        <v>-3.6488953090226</v>
      </c>
      <c r="I122" s="408">
        <f>skemA7!$H$21*COS(RADIANS(skemA7!$H$28*E122-skemA7!$H$22))</f>
        <v>31.000270546941906</v>
      </c>
      <c r="J122" s="408">
        <f>skemA7!$I$21*COS(RADIANS(skemA7!$I$28*E122-skemA7!$I$22))</f>
        <v>2.2058135357584439</v>
      </c>
      <c r="K122" s="408">
        <f>skemA7!$J$21*COS(RADIANS(skemA7!$J$28*E122-skemA7!$J$22))</f>
        <v>1.7257343073711136</v>
      </c>
      <c r="L122" s="408">
        <f>skemA7!$K$21*COS(RADIANS(skemA7!$K$28*E122-skemA7!$K$22))</f>
        <v>1.6847916828969183</v>
      </c>
      <c r="M122" s="408">
        <f>skemA7!$L$21*COS(RADIANS(skemA7!$L$28*E122-skemA7!$L$22))</f>
        <v>2.1590280957289085</v>
      </c>
      <c r="N122" s="408">
        <f>skemA7!$M$21*COS(RADIANS(skemA7!$M$28*E122-skemA7!$M$22))</f>
        <v>9.2449406517950603</v>
      </c>
      <c r="O122" s="409">
        <f>skemA7!$D$21+'Forcasting Pasut'!F122+'Forcasting Pasut'!G122+K122+L122+'Forcasting Pasut'!H122+'Forcasting Pasut'!I122+'Forcasting Pasut'!J122+'Forcasting Pasut'!M122+'Forcasting Pasut'!N122</f>
        <v>193.33218326272245</v>
      </c>
      <c r="P122" s="405"/>
      <c r="Q122" s="406">
        <f>Y114</f>
        <v>265.7</v>
      </c>
      <c r="R122" s="406"/>
      <c r="S122" s="406"/>
      <c r="T122" s="406"/>
      <c r="U122" s="406"/>
      <c r="V122" s="406"/>
      <c r="W122" s="406"/>
      <c r="X122" s="406"/>
      <c r="Y122" s="406"/>
      <c r="Z122" s="406"/>
      <c r="AA122" s="406"/>
      <c r="AB122" s="406"/>
      <c r="AC122" s="406"/>
      <c r="AD122" s="406"/>
      <c r="AE122" s="406"/>
      <c r="AF122" s="406"/>
      <c r="AG122" s="406"/>
      <c r="AH122" s="406"/>
      <c r="AI122" s="406"/>
      <c r="AJ122" s="406"/>
      <c r="AK122" s="406"/>
      <c r="AL122" s="406"/>
      <c r="AM122" s="406"/>
      <c r="AN122" s="406"/>
      <c r="AO122" s="407"/>
      <c r="AP122" s="407"/>
    </row>
    <row r="123" spans="1:42">
      <c r="A123" s="402"/>
      <c r="B123" s="77"/>
      <c r="D123" s="131"/>
      <c r="E123" s="113">
        <f t="shared" si="1"/>
        <v>105</v>
      </c>
      <c r="F123" s="408">
        <f>skemA7!$E$21*COS(RADIANS(skemA7!$E$28*E123-skemA7!$E$22))</f>
        <v>-20.803126589718588</v>
      </c>
      <c r="G123" s="408">
        <f>skemA7!$F$21*COS(RADIANS(skemA7!$F$28*E123-skemA7!$F$22))</f>
        <v>15.331308956068895</v>
      </c>
      <c r="H123" s="408">
        <f>skemA7!$G$21*COS(RADIANS(skemA7!$G$28*E123-skemA7!$G$22))</f>
        <v>4.9702253010342137</v>
      </c>
      <c r="I123" s="408">
        <f>skemA7!$H$21*COS(RADIANS(skemA7!$H$28*E123-skemA7!$H$22))</f>
        <v>34.562629147483975</v>
      </c>
      <c r="J123" s="408">
        <f>skemA7!$I$21*COS(RADIANS(skemA7!$I$28*E123-skemA7!$I$22))</f>
        <v>-4.4629668995497491</v>
      </c>
      <c r="K123" s="408">
        <f>skemA7!$J$21*COS(RADIANS(skemA7!$J$28*E123-skemA7!$J$22))</f>
        <v>1.289507593953527</v>
      </c>
      <c r="L123" s="408">
        <f>skemA7!$K$21*COS(RADIANS(skemA7!$K$28*E123-skemA7!$K$22))</f>
        <v>-1.5698365046189338</v>
      </c>
      <c r="M123" s="408">
        <f>skemA7!$L$21*COS(RADIANS(skemA7!$L$28*E123-skemA7!$L$22))</f>
        <v>4.785270680503853</v>
      </c>
      <c r="N123" s="408">
        <f>skemA7!$M$21*COS(RADIANS(skemA7!$M$28*E123-skemA7!$M$22))</f>
        <v>10.824374210478029</v>
      </c>
      <c r="O123" s="409">
        <f>skemA7!$D$21+'Forcasting Pasut'!F123+'Forcasting Pasut'!G123+K123+L123+'Forcasting Pasut'!H123+'Forcasting Pasut'!I123+'Forcasting Pasut'!J123+'Forcasting Pasut'!M123+'Forcasting Pasut'!N123</f>
        <v>211.09570486115243</v>
      </c>
      <c r="P123" s="405"/>
      <c r="Q123" s="406">
        <f>Z114</f>
        <v>228.79999999999998</v>
      </c>
      <c r="R123" s="406"/>
      <c r="S123" s="406"/>
      <c r="T123" s="406"/>
      <c r="U123" s="406"/>
      <c r="V123" s="406"/>
      <c r="W123" s="406"/>
      <c r="X123" s="406"/>
      <c r="Y123" s="406"/>
      <c r="Z123" s="406"/>
      <c r="AA123" s="406"/>
      <c r="AB123" s="406"/>
      <c r="AC123" s="406"/>
      <c r="AD123" s="406"/>
      <c r="AE123" s="406"/>
      <c r="AF123" s="406"/>
      <c r="AG123" s="406"/>
      <c r="AH123" s="406"/>
      <c r="AI123" s="406"/>
      <c r="AJ123" s="406"/>
      <c r="AK123" s="406"/>
      <c r="AL123" s="406"/>
      <c r="AM123" s="406"/>
      <c r="AN123" s="406"/>
      <c r="AO123" s="407"/>
      <c r="AP123" s="407"/>
    </row>
    <row r="124" spans="1:42">
      <c r="A124" s="402"/>
      <c r="B124" s="77"/>
      <c r="D124" s="131"/>
      <c r="E124" s="113">
        <f t="shared" si="1"/>
        <v>106</v>
      </c>
      <c r="F124" s="408">
        <f>skemA7!$E$21*COS(RADIANS(skemA7!$E$28*E124-skemA7!$E$22))</f>
        <v>-14.475822823851555</v>
      </c>
      <c r="G124" s="408">
        <f>skemA7!$F$21*COS(RADIANS(skemA7!$F$28*E124-skemA7!$F$22))</f>
        <v>21.842967707503156</v>
      </c>
      <c r="H124" s="408">
        <f>skemA7!$G$21*COS(RADIANS(skemA7!$G$28*E124-skemA7!$G$22))</f>
        <v>12.389695654064898</v>
      </c>
      <c r="I124" s="408">
        <f>skemA7!$H$21*COS(RADIANS(skemA7!$H$28*E124-skemA7!$H$22))</f>
        <v>35.75678211159272</v>
      </c>
      <c r="J124" s="408">
        <f>skemA7!$I$21*COS(RADIANS(skemA7!$I$28*E124-skemA7!$I$22))</f>
        <v>-10.868752899296245</v>
      </c>
      <c r="K124" s="408">
        <f>skemA7!$J$21*COS(RADIANS(skemA7!$J$28*E124-skemA7!$J$22))</f>
        <v>-0.35784316653784787</v>
      </c>
      <c r="L124" s="408">
        <f>skemA7!$K$21*COS(RADIANS(skemA7!$K$28*E124-skemA7!$K$22))</f>
        <v>-3.3025942941668847</v>
      </c>
      <c r="M124" s="408">
        <f>skemA7!$L$21*COS(RADIANS(skemA7!$L$28*E124-skemA7!$L$22))</f>
        <v>6.1224468291592471</v>
      </c>
      <c r="N124" s="408">
        <f>skemA7!$M$21*COS(RADIANS(skemA7!$M$28*E124-skemA7!$M$22))</f>
        <v>11.670148700896954</v>
      </c>
      <c r="O124" s="409">
        <f>skemA7!$D$21+'Forcasting Pasut'!F124+'Forcasting Pasut'!G124+K124+L124+'Forcasting Pasut'!H124+'Forcasting Pasut'!I124+'Forcasting Pasut'!J124+'Forcasting Pasut'!M124+'Forcasting Pasut'!N124</f>
        <v>224.94534678488168</v>
      </c>
      <c r="P124" s="405"/>
      <c r="Q124" s="406">
        <f>AA114</f>
        <v>188.2</v>
      </c>
      <c r="R124" s="406"/>
      <c r="S124" s="406"/>
      <c r="T124" s="406"/>
      <c r="U124" s="406"/>
      <c r="V124" s="406"/>
      <c r="W124" s="406"/>
      <c r="X124" s="406"/>
      <c r="Y124" s="406"/>
      <c r="Z124" s="406"/>
      <c r="AA124" s="406"/>
      <c r="AB124" s="406"/>
      <c r="AC124" s="406"/>
      <c r="AD124" s="406"/>
      <c r="AE124" s="406"/>
      <c r="AF124" s="406"/>
      <c r="AG124" s="406"/>
      <c r="AH124" s="406"/>
      <c r="AI124" s="406"/>
      <c r="AJ124" s="406"/>
      <c r="AK124" s="406"/>
      <c r="AL124" s="406"/>
      <c r="AM124" s="406"/>
      <c r="AN124" s="406"/>
      <c r="AO124" s="407"/>
      <c r="AP124" s="407"/>
    </row>
    <row r="125" spans="1:42">
      <c r="A125" s="402"/>
      <c r="B125" s="77"/>
      <c r="D125" s="131"/>
      <c r="E125" s="113">
        <f t="shared" si="1"/>
        <v>107</v>
      </c>
      <c r="F125" s="408">
        <f>skemA7!$E$21*COS(RADIANS(skemA7!$E$28*E125-skemA7!$E$22))</f>
        <v>-4.522471861276756</v>
      </c>
      <c r="G125" s="408">
        <f>skemA7!$F$21*COS(RADIANS(skemA7!$F$28*E125-skemA7!$F$22))</f>
        <v>22.501820901412827</v>
      </c>
      <c r="H125" s="408">
        <f>skemA7!$G$21*COS(RADIANS(skemA7!$G$28*E125-skemA7!$G$22))</f>
        <v>16.818697632798333</v>
      </c>
      <c r="I125" s="408">
        <f>skemA7!$H$21*COS(RADIANS(skemA7!$H$28*E125-skemA7!$H$22))</f>
        <v>34.500906966553508</v>
      </c>
      <c r="J125" s="408">
        <f>skemA7!$I$21*COS(RADIANS(skemA7!$I$28*E125-skemA7!$I$22))</f>
        <v>-16.634063269636449</v>
      </c>
      <c r="K125" s="408">
        <f>skemA7!$J$21*COS(RADIANS(skemA7!$J$28*E125-skemA7!$J$22))</f>
        <v>-1.6691024870817475</v>
      </c>
      <c r="L125" s="408">
        <f>skemA7!$K$21*COS(RADIANS(skemA7!$K$28*E125-skemA7!$K$22))</f>
        <v>-1.833668036999291</v>
      </c>
      <c r="M125" s="408">
        <f>skemA7!$L$21*COS(RADIANS(skemA7!$L$28*E125-skemA7!$L$22))</f>
        <v>5.8103451748785782</v>
      </c>
      <c r="N125" s="408">
        <f>skemA7!$M$21*COS(RADIANS(skemA7!$M$28*E125-skemA7!$M$22))</f>
        <v>11.72493885763358</v>
      </c>
      <c r="O125" s="409">
        <f>skemA7!$D$21+'Forcasting Pasut'!F125+'Forcasting Pasut'!G125+K125+L125+'Forcasting Pasut'!H125+'Forcasting Pasut'!I125+'Forcasting Pasut'!J125+'Forcasting Pasut'!M125+'Forcasting Pasut'!N125</f>
        <v>232.86572284379986</v>
      </c>
      <c r="P125" s="405"/>
      <c r="Q125" s="406">
        <f>AB114</f>
        <v>151.5</v>
      </c>
      <c r="R125" s="406"/>
      <c r="S125" s="406"/>
      <c r="T125" s="406"/>
      <c r="U125" s="406"/>
      <c r="V125" s="406"/>
      <c r="W125" s="406"/>
      <c r="X125" s="406"/>
      <c r="Y125" s="406"/>
      <c r="Z125" s="406"/>
      <c r="AA125" s="406"/>
      <c r="AB125" s="406"/>
      <c r="AC125" s="406"/>
      <c r="AD125" s="406"/>
      <c r="AE125" s="406"/>
      <c r="AF125" s="406"/>
      <c r="AG125" s="406"/>
      <c r="AH125" s="406"/>
      <c r="AI125" s="406"/>
      <c r="AJ125" s="406"/>
      <c r="AK125" s="406"/>
      <c r="AL125" s="406"/>
      <c r="AM125" s="406"/>
      <c r="AN125" s="406"/>
      <c r="AO125" s="407"/>
      <c r="AP125" s="407"/>
    </row>
    <row r="126" spans="1:42">
      <c r="A126" s="402"/>
      <c r="B126" s="77"/>
      <c r="D126" s="131"/>
      <c r="E126" s="113">
        <f t="shared" si="1"/>
        <v>108</v>
      </c>
      <c r="F126" s="408">
        <f>skemA7!$E$21*COS(RADIANS(skemA7!$E$28*E126-skemA7!$E$22))</f>
        <v>6.5637125584580369</v>
      </c>
      <c r="G126" s="408">
        <f>skemA7!$F$21*COS(RADIANS(skemA7!$F$28*E126-skemA7!$F$22))</f>
        <v>17.131329356559153</v>
      </c>
      <c r="H126" s="408">
        <f>skemA7!$G$21*COS(RADIANS(skemA7!$G$28*E126-skemA7!$G$22))</f>
        <v>17.188214635301012</v>
      </c>
      <c r="I126" s="408">
        <f>skemA7!$H$21*COS(RADIANS(skemA7!$H$28*E126-skemA7!$H$22))</f>
        <v>30.881055343000245</v>
      </c>
      <c r="J126" s="408">
        <f>skemA7!$I$21*COS(RADIANS(skemA7!$I$28*E126-skemA7!$I$22))</f>
        <v>-21.419158868243649</v>
      </c>
      <c r="K126" s="408">
        <f>skemA7!$J$21*COS(RADIANS(skemA7!$J$28*E126-skemA7!$J$22))</f>
        <v>-1.4127167866780606</v>
      </c>
      <c r="L126" s="408">
        <f>skemA7!$K$21*COS(RADIANS(skemA7!$K$28*E126-skemA7!$K$22))</f>
        <v>1.4128988196818524</v>
      </c>
      <c r="M126" s="408">
        <f>skemA7!$L$21*COS(RADIANS(skemA7!$L$28*E126-skemA7!$L$22))</f>
        <v>3.9330403278671926</v>
      </c>
      <c r="N126" s="408">
        <f>skemA7!$M$21*COS(RADIANS(skemA7!$M$28*E126-skemA7!$M$22))</f>
        <v>10.985031089993436</v>
      </c>
      <c r="O126" s="409">
        <f>skemA7!$D$21+'Forcasting Pasut'!F126+'Forcasting Pasut'!G126+K126+L126+'Forcasting Pasut'!H126+'Forcasting Pasut'!I126+'Forcasting Pasut'!J126+'Forcasting Pasut'!M126+'Forcasting Pasut'!N126</f>
        <v>231.43172544145648</v>
      </c>
      <c r="P126" s="405"/>
      <c r="Q126" s="406">
        <f>AC114</f>
        <v>127</v>
      </c>
      <c r="R126" s="406"/>
      <c r="S126" s="406"/>
      <c r="T126" s="406"/>
      <c r="U126" s="406"/>
      <c r="V126" s="406"/>
      <c r="W126" s="406"/>
      <c r="X126" s="406"/>
      <c r="Y126" s="406"/>
      <c r="Z126" s="406"/>
      <c r="AA126" s="406"/>
      <c r="AB126" s="406"/>
      <c r="AC126" s="406"/>
      <c r="AD126" s="406"/>
      <c r="AE126" s="406"/>
      <c r="AF126" s="406"/>
      <c r="AG126" s="406"/>
      <c r="AH126" s="406"/>
      <c r="AI126" s="406"/>
      <c r="AJ126" s="406"/>
      <c r="AK126" s="406"/>
      <c r="AL126" s="406"/>
      <c r="AM126" s="406"/>
      <c r="AN126" s="406"/>
      <c r="AO126" s="407"/>
      <c r="AP126" s="407"/>
    </row>
    <row r="127" spans="1:42">
      <c r="A127" s="402"/>
      <c r="B127" s="77"/>
      <c r="D127" s="131"/>
      <c r="E127" s="113">
        <f t="shared" si="1"/>
        <v>109</v>
      </c>
      <c r="F127" s="408">
        <f>skemA7!$E$21*COS(RADIANS(skemA7!$E$28*E127-skemA7!$E$22))</f>
        <v>16.00575337321715</v>
      </c>
      <c r="G127" s="408">
        <f>skemA7!$F$21*COS(RADIANS(skemA7!$F$28*E127-skemA7!$F$22))</f>
        <v>7.1705119453439785</v>
      </c>
      <c r="H127" s="408">
        <f>skemA7!$G$21*COS(RADIANS(skemA7!$G$28*E127-skemA7!$G$22))</f>
        <v>13.409057310954051</v>
      </c>
      <c r="I127" s="408">
        <f>skemA7!$H$21*COS(RADIANS(skemA7!$H$28*E127-skemA7!$H$22))</f>
        <v>25.145256781202495</v>
      </c>
      <c r="J127" s="408">
        <f>skemA7!$I$21*COS(RADIANS(skemA7!$I$28*E127-skemA7!$I$22))</f>
        <v>-24.94206280745794</v>
      </c>
      <c r="K127" s="408">
        <f>skemA7!$J$21*COS(RADIANS(skemA7!$J$28*E127-skemA7!$J$22))</f>
        <v>0.17051280365180066</v>
      </c>
      <c r="L127" s="408">
        <f>skemA7!$K$21*COS(RADIANS(skemA7!$K$28*E127-skemA7!$K$22))</f>
        <v>3.2897377571364719</v>
      </c>
      <c r="M127" s="408">
        <f>skemA7!$L$21*COS(RADIANS(skemA7!$L$28*E127-skemA7!$L$22))</f>
        <v>0.99624467729183297</v>
      </c>
      <c r="N127" s="408">
        <f>skemA7!$M$21*COS(RADIANS(skemA7!$M$28*E127-skemA7!$M$22))</f>
        <v>9.5005751833454344</v>
      </c>
      <c r="O127" s="409">
        <f>skemA7!$D$21+'Forcasting Pasut'!F127+'Forcasting Pasut'!G127+K127+L127+'Forcasting Pasut'!H127+'Forcasting Pasut'!I127+'Forcasting Pasut'!J127+'Forcasting Pasut'!M127+'Forcasting Pasut'!N127</f>
        <v>216.91390599020249</v>
      </c>
      <c r="P127" s="405"/>
      <c r="Q127" s="406">
        <f>AD114</f>
        <v>116.9</v>
      </c>
      <c r="R127" s="406"/>
      <c r="S127" s="406"/>
      <c r="T127" s="406"/>
      <c r="U127" s="406"/>
      <c r="V127" s="406"/>
      <c r="W127" s="406"/>
      <c r="X127" s="406"/>
      <c r="Y127" s="406"/>
      <c r="Z127" s="406"/>
      <c r="AA127" s="406"/>
      <c r="AB127" s="406"/>
      <c r="AC127" s="406"/>
      <c r="AD127" s="406"/>
      <c r="AE127" s="406"/>
      <c r="AF127" s="406"/>
      <c r="AG127" s="406"/>
      <c r="AH127" s="406"/>
      <c r="AI127" s="406"/>
      <c r="AJ127" s="406"/>
      <c r="AK127" s="406"/>
      <c r="AL127" s="406"/>
      <c r="AM127" s="406"/>
      <c r="AN127" s="406"/>
      <c r="AO127" s="407"/>
      <c r="AP127" s="407"/>
    </row>
    <row r="128" spans="1:42">
      <c r="A128" s="402"/>
      <c r="B128" s="77"/>
      <c r="D128" s="131"/>
      <c r="E128" s="113">
        <f t="shared" si="1"/>
        <v>110</v>
      </c>
      <c r="F128" s="408">
        <f>skemA7!$E$21*COS(RADIANS(skemA7!$E$28*E128-skemA7!$E$22))</f>
        <v>21.438514863658447</v>
      </c>
      <c r="G128" s="408">
        <f>skemA7!$F$21*COS(RADIANS(skemA7!$F$28*E128-skemA7!$F$22))</f>
        <v>-4.7116383509439652</v>
      </c>
      <c r="H128" s="408">
        <f>skemA7!$G$21*COS(RADIANS(skemA7!$G$28*E128-skemA7!$G$22))</f>
        <v>6.3933909603026144</v>
      </c>
      <c r="I128" s="408">
        <f>skemA7!$H$21*COS(RADIANS(skemA7!$H$28*E128-skemA7!$H$22))</f>
        <v>17.68652393148631</v>
      </c>
      <c r="J128" s="408">
        <f>skemA7!$I$21*COS(RADIANS(skemA7!$I$28*E128-skemA7!$I$22))</f>
        <v>-26.995176833945997</v>
      </c>
      <c r="K128" s="408">
        <f>skemA7!$J$21*COS(RADIANS(skemA7!$J$28*E128-skemA7!$J$22))</f>
        <v>1.5935943205581091</v>
      </c>
      <c r="L128" s="408">
        <f>skemA7!$K$21*COS(RADIANS(skemA7!$K$28*E128-skemA7!$K$22))</f>
        <v>1.9773563554459366</v>
      </c>
      <c r="M128" s="408">
        <f>skemA7!$L$21*COS(RADIANS(skemA7!$L$28*E128-skemA7!$L$22))</f>
        <v>-2.2089214921951634</v>
      </c>
      <c r="N128" s="408">
        <f>skemA7!$M$21*COS(RADIANS(skemA7!$M$28*E128-skemA7!$M$22))</f>
        <v>7.3721852255041069</v>
      </c>
      <c r="O128" s="409">
        <f>skemA7!$D$21+'Forcasting Pasut'!F128+'Forcasting Pasut'!G128+K128+L128+'Forcasting Pasut'!H128+'Forcasting Pasut'!I128+'Forcasting Pasut'!J128+'Forcasting Pasut'!M128+'Forcasting Pasut'!N128</f>
        <v>188.71414794538762</v>
      </c>
      <c r="P128" s="405"/>
      <c r="Q128" s="406">
        <f>AE114</f>
        <v>122.50000000000001</v>
      </c>
      <c r="R128" s="406"/>
      <c r="S128" s="406"/>
      <c r="T128" s="406"/>
      <c r="U128" s="406"/>
      <c r="V128" s="406"/>
      <c r="W128" s="406"/>
      <c r="X128" s="406"/>
      <c r="Y128" s="406"/>
      <c r="Z128" s="406"/>
      <c r="AA128" s="406"/>
      <c r="AB128" s="406"/>
      <c r="AC128" s="406"/>
      <c r="AD128" s="406"/>
      <c r="AE128" s="406"/>
      <c r="AF128" s="406"/>
      <c r="AG128" s="406"/>
      <c r="AH128" s="406"/>
      <c r="AI128" s="406"/>
      <c r="AJ128" s="406"/>
      <c r="AK128" s="406"/>
      <c r="AL128" s="406"/>
      <c r="AM128" s="406"/>
      <c r="AN128" s="406"/>
      <c r="AO128" s="407"/>
      <c r="AP128" s="407"/>
    </row>
    <row r="129" spans="1:42">
      <c r="A129" s="402"/>
      <c r="B129" s="77"/>
      <c r="D129" s="131"/>
      <c r="E129" s="113">
        <f t="shared" si="1"/>
        <v>111</v>
      </c>
      <c r="F129" s="408">
        <f>skemA7!$E$21*COS(RADIANS(skemA7!$E$28*E129-skemA7!$E$22))</f>
        <v>21.501145227953064</v>
      </c>
      <c r="G129" s="408">
        <f>skemA7!$F$21*COS(RADIANS(skemA7!$F$28*E129-skemA7!$F$22))</f>
        <v>-15.331308956068831</v>
      </c>
      <c r="H129" s="408">
        <f>skemA7!$G$21*COS(RADIANS(skemA7!$G$28*E129-skemA7!$G$22))</f>
        <v>-2.1654314133161541</v>
      </c>
      <c r="I129" s="408">
        <f>skemA7!$H$21*COS(RADIANS(skemA7!$H$28*E129-skemA7!$H$22))</f>
        <v>9.015923619814961</v>
      </c>
      <c r="J129" s="408">
        <f>skemA7!$I$21*COS(RADIANS(skemA7!$I$28*E129-skemA7!$I$22))</f>
        <v>-27.457514712162453</v>
      </c>
      <c r="K129" s="408">
        <f>skemA7!$J$21*COS(RADIANS(skemA7!$J$28*E129-skemA7!$J$22))</f>
        <v>1.519949170666941</v>
      </c>
      <c r="L129" s="408">
        <f>skemA7!$K$21*COS(RADIANS(skemA7!$K$28*E129-skemA7!$K$22))</f>
        <v>-1.2519635903112187</v>
      </c>
      <c r="M129" s="408">
        <f>skemA7!$L$21*COS(RADIANS(skemA7!$L$28*E129-skemA7!$L$22))</f>
        <v>-4.81904367238125</v>
      </c>
      <c r="N129" s="408">
        <f>skemA7!$M$21*COS(RADIANS(skemA7!$M$28*E129-skemA7!$M$22))</f>
        <v>4.7441201420210906</v>
      </c>
      <c r="O129" s="409">
        <f>skemA7!$D$21+'Forcasting Pasut'!F129+'Forcasting Pasut'!G129+K129+L129+'Forcasting Pasut'!H129+'Forcasting Pasut'!I129+'Forcasting Pasut'!J129+'Forcasting Pasut'!M129+'Forcasting Pasut'!N129</f>
        <v>151.92419478173341</v>
      </c>
      <c r="P129" s="405"/>
      <c r="Q129" s="406">
        <f>AF114</f>
        <v>137.5</v>
      </c>
      <c r="R129" s="406"/>
      <c r="S129" s="406"/>
      <c r="T129" s="406"/>
      <c r="U129" s="406"/>
      <c r="V129" s="406"/>
      <c r="W129" s="406"/>
      <c r="X129" s="406"/>
      <c r="Y129" s="406"/>
      <c r="Z129" s="406"/>
      <c r="AA129" s="406"/>
      <c r="AB129" s="406"/>
      <c r="AC129" s="406"/>
      <c r="AD129" s="406"/>
      <c r="AE129" s="406"/>
      <c r="AF129" s="406"/>
      <c r="AG129" s="406"/>
      <c r="AH129" s="406"/>
      <c r="AI129" s="406"/>
      <c r="AJ129" s="406"/>
      <c r="AK129" s="406"/>
      <c r="AL129" s="406"/>
      <c r="AM129" s="406"/>
      <c r="AN129" s="406"/>
      <c r="AO129" s="407"/>
      <c r="AP129" s="407"/>
    </row>
    <row r="130" spans="1:42">
      <c r="A130" s="402"/>
      <c r="B130" s="77"/>
      <c r="D130" s="131"/>
      <c r="E130" s="113">
        <f t="shared" si="1"/>
        <v>112</v>
      </c>
      <c r="F130" s="408">
        <f>skemA7!$E$21*COS(RADIANS(skemA7!$E$28*E130-skemA7!$E$22))</f>
        <v>16.177956193341455</v>
      </c>
      <c r="G130" s="408">
        <f>skemA7!$F$21*COS(RADIANS(skemA7!$F$28*E130-skemA7!$F$22))</f>
        <v>-21.842967707503131</v>
      </c>
      <c r="H130" s="408">
        <f>skemA7!$G$21*COS(RADIANS(skemA7!$G$28*E130-skemA7!$G$22))</f>
        <v>-10.201589280958377</v>
      </c>
      <c r="I130" s="408">
        <f>skemA7!$H$21*COS(RADIANS(skemA7!$H$28*E130-skemA7!$H$22))</f>
        <v>-0.27244107092003356</v>
      </c>
      <c r="J130" s="408">
        <f>skemA7!$I$21*COS(RADIANS(skemA7!$I$28*E130-skemA7!$I$22))</f>
        <v>-26.301831720813869</v>
      </c>
      <c r="K130" s="408">
        <f>skemA7!$J$21*COS(RADIANS(skemA7!$J$28*E130-skemA7!$J$22))</f>
        <v>1.8745936157862127E-2</v>
      </c>
      <c r="L130" s="408">
        <f>skemA7!$K$21*COS(RADIANS(skemA7!$K$28*E130-skemA7!$K$22))</f>
        <v>-3.2675734956774125</v>
      </c>
      <c r="M130" s="408">
        <f>skemA7!$L$21*COS(RADIANS(skemA7!$L$28*E130-skemA7!$L$22))</f>
        <v>-6.1310015757647438</v>
      </c>
      <c r="N130" s="408">
        <f>skemA7!$M$21*COS(RADIANS(skemA7!$M$28*E130-skemA7!$M$22))</f>
        <v>1.7945060529836776</v>
      </c>
      <c r="O130" s="409">
        <f>skemA7!$D$21+'Forcasting Pasut'!F130+'Forcasting Pasut'!G130+K130+L130+'Forcasting Pasut'!H130+'Forcasting Pasut'!I130+'Forcasting Pasut'!J130+'Forcasting Pasut'!M130+'Forcasting Pasut'!N130</f>
        <v>116.14212229636267</v>
      </c>
      <c r="P130" s="405"/>
      <c r="Q130" s="406">
        <f>AG114</f>
        <v>159.4</v>
      </c>
      <c r="R130" s="406"/>
      <c r="S130" s="406"/>
      <c r="T130" s="406"/>
      <c r="U130" s="406"/>
      <c r="V130" s="406"/>
      <c r="W130" s="406"/>
      <c r="X130" s="406"/>
      <c r="Y130" s="406"/>
      <c r="Z130" s="406"/>
      <c r="AA130" s="406"/>
      <c r="AB130" s="406"/>
      <c r="AC130" s="406"/>
      <c r="AD130" s="406"/>
      <c r="AE130" s="406"/>
      <c r="AF130" s="406"/>
      <c r="AG130" s="406"/>
      <c r="AH130" s="406"/>
      <c r="AI130" s="406"/>
      <c r="AJ130" s="406"/>
      <c r="AK130" s="406"/>
      <c r="AL130" s="406"/>
      <c r="AM130" s="406"/>
      <c r="AN130" s="406"/>
      <c r="AO130" s="407"/>
      <c r="AP130" s="407"/>
    </row>
    <row r="131" spans="1:42">
      <c r="A131" s="402"/>
      <c r="B131" s="77"/>
      <c r="D131" s="131"/>
      <c r="E131" s="113">
        <f t="shared" si="1"/>
        <v>113</v>
      </c>
      <c r="F131" s="408">
        <f>skemA7!$E$21*COS(RADIANS(skemA7!$E$28*E131-skemA7!$E$22))</f>
        <v>6.8023527697752897</v>
      </c>
      <c r="G131" s="408">
        <f>skemA7!$F$21*COS(RADIANS(skemA7!$F$28*E131-skemA7!$F$22))</f>
        <v>-22.50182090141281</v>
      </c>
      <c r="H131" s="408">
        <f>skemA7!$G$21*COS(RADIANS(skemA7!$G$28*E131-skemA7!$G$22))</f>
        <v>-15.775416275907533</v>
      </c>
      <c r="I131" s="408">
        <f>skemA7!$H$21*COS(RADIANS(skemA7!$H$28*E131-skemA7!$H$22))</f>
        <v>-9.5421383021570865</v>
      </c>
      <c r="J131" s="408">
        <f>skemA7!$I$21*COS(RADIANS(skemA7!$I$28*E131-skemA7!$I$22))</f>
        <v>-23.596230134203079</v>
      </c>
      <c r="K131" s="408">
        <f>skemA7!$J$21*COS(RADIANS(skemA7!$J$28*E131-skemA7!$J$22))</f>
        <v>-1.5000637507460597</v>
      </c>
      <c r="L131" s="408">
        <f>skemA7!$K$21*COS(RADIANS(skemA7!$K$28*E131-skemA7!$K$22))</f>
        <v>-2.1154500978465349</v>
      </c>
      <c r="M131" s="408">
        <f>skemA7!$L$21*COS(RADIANS(skemA7!$L$28*E131-skemA7!$L$22))</f>
        <v>-5.7913771803006453</v>
      </c>
      <c r="N131" s="408">
        <f>skemA7!$M$21*COS(RADIANS(skemA7!$M$28*E131-skemA7!$M$22))</f>
        <v>-1.2767368353936317</v>
      </c>
      <c r="O131" s="409">
        <f>skemA7!$D$21+'Forcasting Pasut'!F131+'Forcasting Pasut'!G131+K131+L131+'Forcasting Pasut'!H131+'Forcasting Pasut'!I131+'Forcasting Pasut'!J131+'Forcasting Pasut'!M131+'Forcasting Pasut'!N131</f>
        <v>90.871438257325167</v>
      </c>
      <c r="P131" s="405"/>
      <c r="Q131" s="406">
        <f>AH114</f>
        <v>178.4</v>
      </c>
      <c r="R131" s="406"/>
      <c r="S131" s="406"/>
      <c r="T131" s="406"/>
      <c r="U131" s="406"/>
      <c r="V131" s="406"/>
      <c r="W131" s="406"/>
      <c r="X131" s="406"/>
      <c r="Y131" s="406"/>
      <c r="Z131" s="406"/>
      <c r="AA131" s="406"/>
      <c r="AB131" s="406"/>
      <c r="AC131" s="406"/>
      <c r="AD131" s="406"/>
      <c r="AE131" s="406"/>
      <c r="AF131" s="406"/>
      <c r="AG131" s="406"/>
      <c r="AH131" s="406"/>
      <c r="AI131" s="406"/>
      <c r="AJ131" s="406"/>
      <c r="AK131" s="406"/>
      <c r="AL131" s="406"/>
      <c r="AM131" s="406"/>
      <c r="AN131" s="406"/>
      <c r="AO131" s="407"/>
      <c r="AP131" s="407"/>
    </row>
    <row r="132" spans="1:42">
      <c r="A132" s="402"/>
      <c r="B132" s="77"/>
      <c r="D132" s="131"/>
      <c r="E132" s="113">
        <f t="shared" si="1"/>
        <v>114</v>
      </c>
      <c r="F132" s="408">
        <f>skemA7!$E$21*COS(RADIANS(skemA7!$E$28*E132-skemA7!$E$22))</f>
        <v>-4.2771712178933976</v>
      </c>
      <c r="G132" s="408">
        <f>skemA7!$F$21*COS(RADIANS(skemA7!$F$28*E132-skemA7!$F$22))</f>
        <v>-17.13132935655921</v>
      </c>
      <c r="H132" s="408">
        <f>skemA7!$G$21*COS(RADIANS(skemA7!$G$28*E132-skemA7!$G$22))</f>
        <v>-17.541572381943727</v>
      </c>
      <c r="I132" s="408">
        <f>skemA7!$H$21*COS(RADIANS(skemA7!$H$28*E132-skemA7!$H$22))</f>
        <v>-18.15801531577219</v>
      </c>
      <c r="J132" s="408">
        <f>skemA7!$I$21*COS(RADIANS(skemA7!$I$28*E132-skemA7!$I$22))</f>
        <v>-19.500146080390415</v>
      </c>
      <c r="K132" s="408">
        <f>skemA7!$J$21*COS(RADIANS(skemA7!$J$28*E132-skemA7!$J$22))</f>
        <v>-1.6099920249378341</v>
      </c>
      <c r="L132" s="408">
        <f>skemA7!$K$21*COS(RADIANS(skemA7!$K$28*E132-skemA7!$K$22))</f>
        <v>1.0874861539460663</v>
      </c>
      <c r="M132" s="408">
        <f>skemA7!$L$21*COS(RADIANS(skemA7!$L$28*E132-skemA7!$L$22))</f>
        <v>-3.8916592309964138</v>
      </c>
      <c r="N132" s="408">
        <f>skemA7!$M$21*COS(RADIANS(skemA7!$M$28*E132-skemA7!$M$22))</f>
        <v>-4.261444508075372</v>
      </c>
      <c r="O132" s="409">
        <f>skemA7!$D$21+'Forcasting Pasut'!F132+'Forcasting Pasut'!G132+K132+L132+'Forcasting Pasut'!H132+'Forcasting Pasut'!I132+'Forcasting Pasut'!J132+'Forcasting Pasut'!M132+'Forcasting Pasut'!N132</f>
        <v>80.88447500289476</v>
      </c>
      <c r="P132" s="405"/>
      <c r="Q132" s="406">
        <f>AI114</f>
        <v>183.9</v>
      </c>
      <c r="R132" s="406"/>
      <c r="S132" s="406"/>
      <c r="T132" s="406"/>
      <c r="U132" s="406"/>
      <c r="V132" s="406"/>
      <c r="W132" s="406"/>
      <c r="X132" s="406"/>
      <c r="Y132" s="406"/>
      <c r="Z132" s="406"/>
      <c r="AA132" s="406"/>
      <c r="AB132" s="406"/>
      <c r="AC132" s="406"/>
      <c r="AD132" s="406"/>
      <c r="AE132" s="406"/>
      <c r="AF132" s="406"/>
      <c r="AG132" s="406"/>
      <c r="AH132" s="406"/>
      <c r="AI132" s="406"/>
      <c r="AJ132" s="406"/>
      <c r="AK132" s="406"/>
      <c r="AL132" s="406"/>
      <c r="AM132" s="406"/>
      <c r="AN132" s="406"/>
      <c r="AO132" s="407"/>
      <c r="AP132" s="407"/>
    </row>
    <row r="133" spans="1:42">
      <c r="A133" s="402"/>
      <c r="B133" s="77"/>
      <c r="D133" s="131"/>
      <c r="E133" s="113">
        <f t="shared" si="1"/>
        <v>115</v>
      </c>
      <c r="F133" s="408">
        <f>skemA7!$E$21*COS(RADIANS(skemA7!$E$28*E133-skemA7!$E$22))</f>
        <v>-14.285307078392266</v>
      </c>
      <c r="G133" s="408">
        <f>skemA7!$F$21*COS(RADIANS(skemA7!$F$28*E133-skemA7!$F$22))</f>
        <v>-7.1705119453439048</v>
      </c>
      <c r="H133" s="408">
        <f>skemA7!$G$21*COS(RADIANS(skemA7!$G$28*E133-skemA7!$G$22))</f>
        <v>-15.073765127755095</v>
      </c>
      <c r="I133" s="408">
        <f>skemA7!$H$21*COS(RADIANS(skemA7!$H$28*E133-skemA7!$H$22))</f>
        <v>-25.529718628545393</v>
      </c>
      <c r="J133" s="408">
        <f>skemA7!$I$21*COS(RADIANS(skemA7!$I$28*E133-skemA7!$I$22))</f>
        <v>-14.254954263242384</v>
      </c>
      <c r="K133" s="408">
        <f>skemA7!$J$21*COS(RADIANS(skemA7!$J$28*E133-skemA7!$J$22))</f>
        <v>-0.20779267293939058</v>
      </c>
      <c r="L133" s="408">
        <f>skemA7!$K$21*COS(RADIANS(skemA7!$K$28*E133-skemA7!$K$22))</f>
        <v>3.2361642196021574</v>
      </c>
      <c r="M133" s="408">
        <f>skemA7!$L$21*COS(RADIANS(skemA7!$L$28*E133-skemA7!$L$22))</f>
        <v>-0.94359780638342639</v>
      </c>
      <c r="N133" s="408">
        <f>skemA7!$M$21*COS(RADIANS(skemA7!$M$28*E133-skemA7!$M$22))</f>
        <v>-6.9573181709140819</v>
      </c>
      <c r="O133" s="409">
        <f>skemA7!$D$21+'Forcasting Pasut'!F133+'Forcasting Pasut'!G133+K133+L133+'Forcasting Pasut'!H133+'Forcasting Pasut'!I133+'Forcasting Pasut'!J133+'Forcasting Pasut'!M133+'Forcasting Pasut'!N133</f>
        <v>84.981517491603483</v>
      </c>
      <c r="P133" s="405"/>
      <c r="Q133" s="406">
        <f>AJ114</f>
        <v>174.5</v>
      </c>
      <c r="R133" s="406"/>
      <c r="S133" s="406"/>
      <c r="T133" s="406"/>
      <c r="U133" s="406"/>
      <c r="V133" s="406"/>
      <c r="W133" s="406"/>
      <c r="X133" s="406"/>
      <c r="Y133" s="406"/>
      <c r="Z133" s="406"/>
      <c r="AA133" s="406"/>
      <c r="AB133" s="406"/>
      <c r="AC133" s="406"/>
      <c r="AD133" s="406"/>
      <c r="AE133" s="406"/>
      <c r="AF133" s="406"/>
      <c r="AG133" s="406"/>
      <c r="AH133" s="406"/>
      <c r="AI133" s="406"/>
      <c r="AJ133" s="406"/>
      <c r="AK133" s="406"/>
      <c r="AL133" s="406"/>
      <c r="AM133" s="406"/>
      <c r="AN133" s="406"/>
      <c r="AO133" s="407"/>
      <c r="AP133" s="407"/>
    </row>
    <row r="134" spans="1:42">
      <c r="A134" s="402"/>
      <c r="B134" s="77"/>
      <c r="D134" s="131"/>
      <c r="E134" s="113">
        <f t="shared" si="1"/>
        <v>116</v>
      </c>
      <c r="F134" s="408">
        <f>skemA7!$E$21*COS(RADIANS(skemA7!$E$28*E134-skemA7!$E$22))</f>
        <v>-20.715118009384181</v>
      </c>
      <c r="G134" s="408">
        <f>skemA7!$F$21*COS(RADIANS(skemA7!$F$28*E134-skemA7!$F$22))</f>
        <v>4.7116383509438826</v>
      </c>
      <c r="H134" s="408">
        <f>skemA7!$G$21*COS(RADIANS(skemA7!$G$28*E134-skemA7!$G$22))</f>
        <v>-8.9676426836897445</v>
      </c>
      <c r="I134" s="408">
        <f>skemA7!$H$21*COS(RADIANS(skemA7!$H$28*E134-skemA7!$H$22))</f>
        <v>-31.15214461363928</v>
      </c>
      <c r="J134" s="408">
        <f>skemA7!$I$21*COS(RADIANS(skemA7!$I$28*E134-skemA7!$I$22))</f>
        <v>-8.1697441948284144</v>
      </c>
      <c r="K134" s="408">
        <f>skemA7!$J$21*COS(RADIANS(skemA7!$J$28*E134-skemA7!$J$22))</f>
        <v>1.3895685409842609</v>
      </c>
      <c r="L134" s="408">
        <f>skemA7!$K$21*COS(RADIANS(skemA7!$K$28*E134-skemA7!$K$22))</f>
        <v>2.247558552662893</v>
      </c>
      <c r="M134" s="408">
        <f>skemA7!$L$21*COS(RADIANS(skemA7!$L$28*E134-skemA7!$L$22))</f>
        <v>2.2586520106146435</v>
      </c>
      <c r="N134" s="408">
        <f>skemA7!$M$21*COS(RADIANS(skemA7!$M$28*E134-skemA7!$M$22))</f>
        <v>-9.1816357449077106</v>
      </c>
      <c r="O134" s="409">
        <f>skemA7!$D$21+'Forcasting Pasut'!F134+'Forcasting Pasut'!G134+K134+L134+'Forcasting Pasut'!H134+'Forcasting Pasut'!I134+'Forcasting Pasut'!J134+'Forcasting Pasut'!M134+'Forcasting Pasut'!N134</f>
        <v>98.589451174273592</v>
      </c>
      <c r="P134" s="405"/>
      <c r="Q134" s="406">
        <f>AK114</f>
        <v>155.4</v>
      </c>
      <c r="R134" s="406"/>
      <c r="S134" s="406"/>
      <c r="T134" s="406"/>
      <c r="U134" s="406"/>
      <c r="V134" s="406"/>
      <c r="W134" s="406"/>
      <c r="X134" s="406"/>
      <c r="Y134" s="406"/>
      <c r="Z134" s="406"/>
      <c r="AA134" s="406"/>
      <c r="AB134" s="406"/>
      <c r="AC134" s="406"/>
      <c r="AD134" s="406"/>
      <c r="AE134" s="406"/>
      <c r="AF134" s="406"/>
      <c r="AG134" s="406"/>
      <c r="AH134" s="406"/>
      <c r="AI134" s="406"/>
      <c r="AJ134" s="406"/>
      <c r="AK134" s="406"/>
      <c r="AL134" s="406"/>
      <c r="AM134" s="406"/>
      <c r="AN134" s="406"/>
      <c r="AO134" s="407"/>
      <c r="AP134" s="407"/>
    </row>
    <row r="135" spans="1:42">
      <c r="A135" s="402"/>
      <c r="B135" s="77"/>
      <c r="D135" s="131"/>
      <c r="E135" s="113">
        <f t="shared" si="1"/>
        <v>117</v>
      </c>
      <c r="F135" s="408">
        <f>skemA7!$E$21*COS(RADIANS(skemA7!$E$28*E135-skemA7!$E$22))</f>
        <v>-21.956001409179756</v>
      </c>
      <c r="G135" s="408">
        <f>skemA7!$F$21*COS(RADIANS(skemA7!$F$28*E135-skemA7!$F$22))</f>
        <v>15.33130895606889</v>
      </c>
      <c r="H135" s="408">
        <f>skemA7!$G$21*COS(RADIANS(skemA7!$G$28*E135-skemA7!$G$22))</f>
        <v>-0.69702382370363869</v>
      </c>
      <c r="I135" s="408">
        <f>skemA7!$H$21*COS(RADIANS(skemA7!$H$28*E135-skemA7!$H$22))</f>
        <v>-34.640048825340322</v>
      </c>
      <c r="J135" s="408">
        <f>skemA7!$I$21*COS(RADIANS(skemA7!$I$28*E135-skemA7!$I$22))</f>
        <v>-1.6031061186425832</v>
      </c>
      <c r="K135" s="408">
        <f>skemA7!$J$21*COS(RADIANS(skemA7!$J$28*E135-skemA7!$J$22))</f>
        <v>1.6818270297013749</v>
      </c>
      <c r="L135" s="408">
        <f>skemA7!$K$21*COS(RADIANS(skemA7!$K$28*E135-skemA7!$K$22))</f>
        <v>-0.91993187006661048</v>
      </c>
      <c r="M135" s="408">
        <f>skemA7!$L$21*COS(RADIANS(skemA7!$L$28*E135-skemA7!$L$22))</f>
        <v>4.8524613250473063</v>
      </c>
      <c r="N135" s="408">
        <f>skemA7!$M$21*COS(RADIANS(skemA7!$M$28*E135-skemA7!$M$22))</f>
        <v>-10.78363648147821</v>
      </c>
      <c r="O135" s="409">
        <f>skemA7!$D$21+'Forcasting Pasut'!F135+'Forcasting Pasut'!G135+K135+L135+'Forcasting Pasut'!H135+'Forcasting Pasut'!I135+'Forcasting Pasut'!J135+'Forcasting Pasut'!M135+'Forcasting Pasut'!N135</f>
        <v>117.43416774792367</v>
      </c>
      <c r="P135" s="405"/>
      <c r="Q135" s="406">
        <f>AL114</f>
        <v>129.5</v>
      </c>
      <c r="R135" s="406"/>
      <c r="S135" s="406"/>
      <c r="T135" s="406"/>
      <c r="U135" s="406"/>
      <c r="V135" s="406"/>
      <c r="W135" s="406"/>
      <c r="X135" s="406"/>
      <c r="Y135" s="406"/>
      <c r="Z135" s="406"/>
      <c r="AA135" s="406"/>
      <c r="AB135" s="406"/>
      <c r="AC135" s="406"/>
      <c r="AD135" s="406"/>
      <c r="AE135" s="406"/>
      <c r="AF135" s="406"/>
      <c r="AG135" s="406"/>
      <c r="AH135" s="406"/>
      <c r="AI135" s="406"/>
      <c r="AJ135" s="406"/>
      <c r="AK135" s="406"/>
      <c r="AL135" s="406"/>
      <c r="AM135" s="406"/>
      <c r="AN135" s="406"/>
      <c r="AO135" s="407"/>
      <c r="AP135" s="407"/>
    </row>
    <row r="136" spans="1:42">
      <c r="A136" s="402"/>
      <c r="B136" s="77"/>
      <c r="D136" s="131"/>
      <c r="E136" s="113">
        <f t="shared" si="1"/>
        <v>118</v>
      </c>
      <c r="F136" s="408">
        <f>skemA7!$E$21*COS(RADIANS(skemA7!$E$28*E136-skemA7!$E$22))</f>
        <v>-17.697128537470313</v>
      </c>
      <c r="G136" s="408">
        <f>skemA7!$F$21*COS(RADIANS(skemA7!$F$28*E136-skemA7!$F$22))</f>
        <v>21.842967707503153</v>
      </c>
      <c r="H136" s="408">
        <f>skemA7!$G$21*COS(RADIANS(skemA7!$G$28*E136-skemA7!$G$22))</f>
        <v>7.7418338501417523</v>
      </c>
      <c r="I136" s="408">
        <f>skemA7!$H$21*COS(RADIANS(skemA7!$H$28*E136-skemA7!$H$22))</f>
        <v>-35.754442661877427</v>
      </c>
      <c r="J136" s="408">
        <f>skemA7!$I$21*COS(RADIANS(skemA7!$I$28*E136-skemA7!$I$22))</f>
        <v>5.0580000542839763</v>
      </c>
      <c r="K136" s="408">
        <f>skemA7!$J$21*COS(RADIANS(skemA7!$J$28*E136-skemA7!$J$22))</f>
        <v>0.39448942434274764</v>
      </c>
      <c r="L136" s="408">
        <f>skemA7!$K$21*COS(RADIANS(skemA7!$K$28*E136-skemA7!$K$22))</f>
        <v>-3.1955987958380745</v>
      </c>
      <c r="M136" s="408">
        <f>skemA7!$L$21*COS(RADIANS(skemA7!$L$28*E136-skemA7!$L$22))</f>
        <v>6.1391042440299906</v>
      </c>
      <c r="N136" s="408">
        <f>skemA7!$M$21*COS(RADIANS(skemA7!$M$28*E136-skemA7!$M$22))</f>
        <v>-11.654739289017296</v>
      </c>
      <c r="O136" s="409">
        <f>skemA7!$D$21+'Forcasting Pasut'!F136+'Forcasting Pasut'!G136+K136+L136+'Forcasting Pasut'!H136+'Forcasting Pasut'!I136+'Forcasting Pasut'!J136+'Forcasting Pasut'!M136+'Forcasting Pasut'!N136</f>
        <v>139.04280496161576</v>
      </c>
      <c r="P136" s="405"/>
      <c r="Q136" s="406">
        <f>AM114</f>
        <v>96.3</v>
      </c>
      <c r="R136" s="406"/>
      <c r="S136" s="406"/>
      <c r="T136" s="406"/>
      <c r="U136" s="406"/>
      <c r="V136" s="406"/>
      <c r="W136" s="406"/>
      <c r="X136" s="406"/>
      <c r="Y136" s="406"/>
      <c r="Z136" s="406"/>
      <c r="AA136" s="406"/>
      <c r="AB136" s="406"/>
      <c r="AC136" s="406"/>
      <c r="AD136" s="406"/>
      <c r="AE136" s="406"/>
      <c r="AF136" s="406"/>
      <c r="AG136" s="406"/>
      <c r="AH136" s="406"/>
      <c r="AI136" s="406"/>
      <c r="AJ136" s="406"/>
      <c r="AK136" s="406"/>
      <c r="AL136" s="406"/>
      <c r="AM136" s="406"/>
      <c r="AN136" s="406"/>
      <c r="AO136" s="407"/>
      <c r="AP136" s="407"/>
    </row>
    <row r="137" spans="1:42">
      <c r="A137" s="402"/>
      <c r="B137" s="77"/>
      <c r="D137" s="131"/>
      <c r="E137" s="113">
        <f t="shared" si="1"/>
        <v>119</v>
      </c>
      <c r="F137" s="408">
        <f>skemA7!$E$21*COS(RADIANS(skemA7!$E$28*E137-skemA7!$E$22))</f>
        <v>-9.0053039707912674</v>
      </c>
      <c r="G137" s="408">
        <f>skemA7!$F$21*COS(RADIANS(skemA7!$F$28*E137-skemA7!$F$22))</f>
        <v>22.501820901412827</v>
      </c>
      <c r="H137" s="408">
        <f>skemA7!$G$21*COS(RADIANS(skemA7!$G$28*E137-skemA7!$G$22))</f>
        <v>14.312065374133619</v>
      </c>
      <c r="I137" s="408">
        <f>skemA7!$H$21*COS(RADIANS(skemA7!$H$28*E137-skemA7!$H$22))</f>
        <v>-34.418968686620609</v>
      </c>
      <c r="J137" s="408">
        <f>skemA7!$I$21*COS(RADIANS(skemA7!$I$28*E137-skemA7!$I$22))</f>
        <v>11.421047581630807</v>
      </c>
      <c r="K137" s="408">
        <f>skemA7!$J$21*COS(RADIANS(skemA7!$J$28*E137-skemA7!$J$22))</f>
        <v>-1.2633583124629808</v>
      </c>
      <c r="L137" s="408">
        <f>skemA7!$K$21*COS(RADIANS(skemA7!$K$28*E137-skemA7!$K$22))</f>
        <v>-2.3733079426570867</v>
      </c>
      <c r="M137" s="408">
        <f>skemA7!$L$21*COS(RADIANS(skemA7!$L$28*E137-skemA7!$L$22))</f>
        <v>5.7719821500824198</v>
      </c>
      <c r="N137" s="408">
        <f>skemA7!$M$21*COS(RADIANS(skemA7!$M$28*E137-skemA7!$M$22))</f>
        <v>-11.735902188587971</v>
      </c>
      <c r="O137" s="409">
        <f>skemA7!$D$21+'Forcasting Pasut'!F137+'Forcasting Pasut'!G137+K137+L137+'Forcasting Pasut'!H137+'Forcasting Pasut'!I137+'Forcasting Pasut'!J137+'Forcasting Pasut'!M137+'Forcasting Pasut'!N137</f>
        <v>161.37839387165701</v>
      </c>
      <c r="P137" s="405"/>
      <c r="Q137" s="406">
        <f>AN114</f>
        <v>76.2</v>
      </c>
      <c r="R137" s="406"/>
      <c r="S137" s="406"/>
      <c r="T137" s="406"/>
      <c r="U137" s="406"/>
      <c r="V137" s="406"/>
      <c r="W137" s="406"/>
      <c r="X137" s="406"/>
      <c r="Y137" s="406"/>
      <c r="Z137" s="406"/>
      <c r="AA137" s="406"/>
      <c r="AB137" s="406"/>
      <c r="AC137" s="406"/>
      <c r="AD137" s="406"/>
      <c r="AE137" s="406"/>
      <c r="AF137" s="406"/>
      <c r="AG137" s="406"/>
      <c r="AH137" s="406"/>
      <c r="AI137" s="406"/>
      <c r="AJ137" s="406"/>
      <c r="AK137" s="406"/>
      <c r="AL137" s="406"/>
      <c r="AM137" s="406"/>
      <c r="AN137" s="406"/>
      <c r="AO137" s="407"/>
      <c r="AP137" s="407"/>
    </row>
    <row r="138" spans="1:42">
      <c r="A138" s="402">
        <v>6</v>
      </c>
      <c r="B138" s="77">
        <f>skemA1!B10</f>
        <v>44714</v>
      </c>
      <c r="C138" s="43" t="e">
        <f>skemA1!#REF!</f>
        <v>#REF!</v>
      </c>
      <c r="D138" s="139" t="e">
        <f>skemA1!#REF!</f>
        <v>#REF!</v>
      </c>
      <c r="E138" s="113">
        <f t="shared" si="1"/>
        <v>120</v>
      </c>
      <c r="F138" s="408">
        <f>skemA7!$E$21*COS(RADIANS(skemA7!$E$28*E138-skemA7!$E$22))</f>
        <v>1.9422581533405827</v>
      </c>
      <c r="G138" s="408">
        <f>skemA7!$F$21*COS(RADIANS(skemA7!$F$28*E138-skemA7!$F$22))</f>
        <v>17.13132935655916</v>
      </c>
      <c r="H138" s="408">
        <f>skemA7!$G$21*COS(RADIANS(skemA7!$G$28*E138-skemA7!$G$22))</f>
        <v>17.427831181836627</v>
      </c>
      <c r="I138" s="408">
        <f>skemA7!$H$21*COS(RADIANS(skemA7!$H$28*E138-skemA7!$H$22))</f>
        <v>-30.725132582833172</v>
      </c>
      <c r="J138" s="408">
        <f>skemA7!$I$21*COS(RADIANS(skemA7!$I$28*E138-skemA7!$I$22))</f>
        <v>17.111073769169842</v>
      </c>
      <c r="K138" s="408">
        <f>skemA7!$J$21*COS(RADIANS(skemA7!$J$28*E138-skemA7!$J$22))</f>
        <v>-1.7346417828239318</v>
      </c>
      <c r="L138" s="408">
        <f>skemA7!$K$21*COS(RADIANS(skemA7!$K$28*E138-skemA7!$K$22))</f>
        <v>0.74977480354246351</v>
      </c>
      <c r="M138" s="408">
        <f>skemA7!$L$21*COS(RADIANS(skemA7!$L$28*E138-skemA7!$L$22))</f>
        <v>3.8499911769580906</v>
      </c>
      <c r="N138" s="408">
        <f>skemA7!$M$21*COS(RADIANS(skemA7!$M$28*E138-skemA7!$M$22))</f>
        <v>-11.021624086443941</v>
      </c>
      <c r="O138" s="409">
        <f>skemA7!$D$21+'Forcasting Pasut'!F138+'Forcasting Pasut'!G138+K138+L138+'Forcasting Pasut'!H138+'Forcasting Pasut'!I138+'Forcasting Pasut'!J138+'Forcasting Pasut'!M138+'Forcasting Pasut'!N138</f>
        <v>180.89917895482299</v>
      </c>
      <c r="P138" s="405"/>
      <c r="Q138" s="406">
        <f>skemA1!C10</f>
        <v>65.8</v>
      </c>
      <c r="R138" s="406">
        <f>skemA1!D10</f>
        <v>75</v>
      </c>
      <c r="S138" s="406">
        <f>skemA1!E10</f>
        <v>106.1</v>
      </c>
      <c r="T138" s="406">
        <f>skemA1!F10</f>
        <v>149.30000000000001</v>
      </c>
      <c r="U138" s="406">
        <f>skemA1!G10</f>
        <v>199.9</v>
      </c>
      <c r="V138" s="406">
        <f>skemA1!H10</f>
        <v>243.5</v>
      </c>
      <c r="W138" s="406">
        <f>skemA1!I10</f>
        <v>274.5</v>
      </c>
      <c r="X138" s="406">
        <f>skemA1!J10</f>
        <v>284.60000000000002</v>
      </c>
      <c r="Y138" s="406">
        <f>skemA1!K10</f>
        <v>275.8</v>
      </c>
      <c r="Z138" s="406">
        <f>skemA1!L10</f>
        <v>250.59999999999997</v>
      </c>
      <c r="AA138" s="406">
        <f>skemA1!M10</f>
        <v>212.3</v>
      </c>
      <c r="AB138" s="406">
        <f>skemA1!N10</f>
        <v>174.9</v>
      </c>
      <c r="AC138" s="406">
        <f>skemA1!O10</f>
        <v>142.9</v>
      </c>
      <c r="AD138" s="406">
        <f>skemA1!P10</f>
        <v>126.1</v>
      </c>
      <c r="AE138" s="406">
        <f>skemA1!Q10</f>
        <v>123.10000000000001</v>
      </c>
      <c r="AF138" s="406">
        <f>skemA1!R10</f>
        <v>137.20000000000002</v>
      </c>
      <c r="AG138" s="406">
        <f>skemA1!S10</f>
        <v>158.80000000000001</v>
      </c>
      <c r="AH138" s="406">
        <f>skemA1!T10</f>
        <v>176.89999999999998</v>
      </c>
      <c r="AI138" s="406">
        <f>skemA1!U10</f>
        <v>181.29999999999998</v>
      </c>
      <c r="AJ138" s="406">
        <f>skemA1!V10</f>
        <v>177.7</v>
      </c>
      <c r="AK138" s="406">
        <f>skemA1!W10</f>
        <v>164.1</v>
      </c>
      <c r="AL138" s="406">
        <f>skemA1!X10</f>
        <v>140.79999999999998</v>
      </c>
      <c r="AM138" s="406">
        <f>skemA1!Y10</f>
        <v>115.10000000000001</v>
      </c>
      <c r="AN138" s="406">
        <f>skemA1!Z10</f>
        <v>90.4</v>
      </c>
      <c r="AO138" s="407">
        <f>SUM(Q138:AN138)</f>
        <v>4046.7</v>
      </c>
      <c r="AP138" s="410">
        <f>AVERAGE(Q138:AN138)</f>
        <v>168.61249999999998</v>
      </c>
    </row>
    <row r="139" spans="1:42">
      <c r="A139" s="402"/>
      <c r="B139" s="77"/>
      <c r="D139" s="131"/>
      <c r="E139" s="113">
        <f t="shared" si="1"/>
        <v>121</v>
      </c>
      <c r="F139" s="408">
        <f>skemA7!$E$21*COS(RADIANS(skemA7!$E$28*E139-skemA7!$E$22))</f>
        <v>12.403304255695906</v>
      </c>
      <c r="G139" s="408">
        <f>skemA7!$F$21*COS(RADIANS(skemA7!$F$28*E139-skemA7!$F$22))</f>
        <v>7.1705119453439838</v>
      </c>
      <c r="H139" s="408">
        <f>skemA7!$G$21*COS(RADIANS(skemA7!$G$28*E139-skemA7!$G$22))</f>
        <v>16.33708704473937</v>
      </c>
      <c r="I139" s="408">
        <f>skemA7!$H$21*COS(RADIANS(skemA7!$H$28*E139-skemA7!$H$22))</f>
        <v>-24.926033252329514</v>
      </c>
      <c r="J139" s="408">
        <f>skemA7!$I$21*COS(RADIANS(skemA7!$I$28*E139-skemA7!$I$22))</f>
        <v>21.7927758330794</v>
      </c>
      <c r="K139" s="408">
        <f>skemA7!$J$21*COS(RADIANS(skemA7!$J$28*E139-skemA7!$J$22))</f>
        <v>-0.57672478465877786</v>
      </c>
      <c r="L139" s="408">
        <f>skemA7!$K$21*COS(RADIANS(skemA7!$K$28*E139-skemA7!$K$22))</f>
        <v>3.1459919969942751</v>
      </c>
      <c r="M139" s="408">
        <f>skemA7!$L$21*COS(RADIANS(skemA7!$L$28*E139-skemA7!$L$22))</f>
        <v>0.89088135791503476</v>
      </c>
      <c r="N139" s="408">
        <f>skemA7!$M$21*COS(RADIANS(skemA7!$M$28*E139-skemA7!$M$22))</f>
        <v>-9.5603176295161738</v>
      </c>
      <c r="O139" s="409">
        <f>skemA7!$D$21+'Forcasting Pasut'!F139+'Forcasting Pasut'!G139+K139+L139+'Forcasting Pasut'!H139+'Forcasting Pasut'!I139+'Forcasting Pasut'!J139+'Forcasting Pasut'!M139+'Forcasting Pasut'!N139</f>
        <v>192.84579573278072</v>
      </c>
      <c r="P139" s="405"/>
      <c r="Q139" s="406">
        <f>R138</f>
        <v>75</v>
      </c>
      <c r="R139" s="406"/>
      <c r="S139" s="406"/>
      <c r="T139" s="406"/>
      <c r="U139" s="406"/>
      <c r="V139" s="406"/>
      <c r="W139" s="406"/>
      <c r="X139" s="406"/>
      <c r="Y139" s="406"/>
      <c r="Z139" s="406"/>
      <c r="AA139" s="406"/>
      <c r="AB139" s="406"/>
      <c r="AC139" s="406"/>
      <c r="AD139" s="406"/>
      <c r="AE139" s="406"/>
      <c r="AF139" s="406"/>
      <c r="AG139" s="406"/>
      <c r="AH139" s="406"/>
      <c r="AI139" s="406"/>
      <c r="AJ139" s="406"/>
      <c r="AK139" s="406"/>
      <c r="AL139" s="406"/>
      <c r="AM139" s="406"/>
      <c r="AN139" s="406"/>
      <c r="AO139" s="407"/>
      <c r="AP139" s="410"/>
    </row>
    <row r="140" spans="1:42">
      <c r="A140" s="402"/>
      <c r="B140" s="77"/>
      <c r="D140" s="131"/>
      <c r="E140" s="113">
        <f t="shared" si="1"/>
        <v>122</v>
      </c>
      <c r="F140" s="408">
        <f>skemA7!$E$21*COS(RADIANS(skemA7!$E$28*E140-skemA7!$E$22))</f>
        <v>19.757448099467123</v>
      </c>
      <c r="G140" s="408">
        <f>skemA7!$F$21*COS(RADIANS(skemA7!$F$28*E140-skemA7!$F$22))</f>
        <v>-4.7116383509439599</v>
      </c>
      <c r="H140" s="408">
        <f>skemA7!$G$21*COS(RADIANS(skemA7!$G$28*E140-skemA7!$G$22))</f>
        <v>11.303103017047679</v>
      </c>
      <c r="I140" s="408">
        <f>skemA7!$H$21*COS(RADIANS(skemA7!$H$28*E140-skemA7!$H$22))</f>
        <v>-17.41902066701525</v>
      </c>
      <c r="J140" s="408">
        <f>skemA7!$I$21*COS(RADIANS(skemA7!$I$28*E140-skemA7!$I$22))</f>
        <v>25.190269676641282</v>
      </c>
      <c r="K140" s="408">
        <f>skemA7!$J$21*COS(RADIANS(skemA7!$J$28*E140-skemA7!$J$22))</f>
        <v>1.1228604119092678</v>
      </c>
      <c r="L140" s="408">
        <f>skemA7!$K$21*COS(RADIANS(skemA7!$K$28*E140-skemA7!$K$22))</f>
        <v>2.4923424824275968</v>
      </c>
      <c r="M140" s="408">
        <f>skemA7!$L$21*COS(RADIANS(skemA7!$L$28*E140-skemA7!$L$22))</f>
        <v>-2.3082159840349021</v>
      </c>
      <c r="N140" s="408">
        <f>skemA7!$M$21*COS(RADIANS(skemA7!$M$28*E140-skemA7!$M$22))</f>
        <v>-7.4510278723076819</v>
      </c>
      <c r="O140" s="409">
        <f>skemA7!$D$21+'Forcasting Pasut'!F140+'Forcasting Pasut'!G140+K140+L140+'Forcasting Pasut'!H140+'Forcasting Pasut'!I140+'Forcasting Pasut'!J140+'Forcasting Pasut'!M140+'Forcasting Pasut'!N140</f>
        <v>194.14443977870843</v>
      </c>
      <c r="P140" s="405"/>
      <c r="Q140" s="406">
        <f>S138</f>
        <v>106.1</v>
      </c>
      <c r="R140" s="406"/>
      <c r="S140" s="406"/>
      <c r="T140" s="406"/>
      <c r="U140" s="406"/>
      <c r="V140" s="406"/>
      <c r="W140" s="406"/>
      <c r="X140" s="406"/>
      <c r="Y140" s="406"/>
      <c r="Z140" s="406"/>
      <c r="AA140" s="406"/>
      <c r="AB140" s="406"/>
      <c r="AC140" s="406"/>
      <c r="AD140" s="406"/>
      <c r="AE140" s="406"/>
      <c r="AF140" s="406"/>
      <c r="AG140" s="406"/>
      <c r="AH140" s="406"/>
      <c r="AI140" s="406"/>
      <c r="AJ140" s="406"/>
      <c r="AK140" s="406"/>
      <c r="AL140" s="406"/>
      <c r="AM140" s="406"/>
      <c r="AN140" s="406"/>
      <c r="AO140" s="407"/>
      <c r="AP140" s="410"/>
    </row>
    <row r="141" spans="1:42">
      <c r="A141" s="402"/>
      <c r="B141" s="77"/>
      <c r="D141" s="131"/>
      <c r="E141" s="113">
        <f t="shared" si="1"/>
        <v>123</v>
      </c>
      <c r="F141" s="408">
        <f>skemA7!$E$21*COS(RADIANS(skemA7!$E$28*E141-skemA7!$E$22))</f>
        <v>22.162551037796209</v>
      </c>
      <c r="G141" s="408">
        <f>skemA7!$F$21*COS(RADIANS(skemA7!$F$28*E141-skemA7!$F$22))</f>
        <v>-15.331308956068826</v>
      </c>
      <c r="H141" s="408">
        <f>skemA7!$G$21*COS(RADIANS(skemA7!$G$28*E141-skemA7!$G$22))</f>
        <v>3.5409186325688382</v>
      </c>
      <c r="I141" s="408">
        <f>skemA7!$H$21*COS(RADIANS(skemA7!$H$28*E141-skemA7!$H$22))</f>
        <v>-8.7184697444191013</v>
      </c>
      <c r="J141" s="408">
        <f>skemA7!$I$21*COS(RADIANS(skemA7!$I$28*E141-skemA7!$I$22))</f>
        <v>27.10334723292992</v>
      </c>
      <c r="K141" s="408">
        <f>skemA7!$J$21*COS(RADIANS(skemA7!$J$28*E141-skemA7!$J$22))</f>
        <v>1.767838987510445</v>
      </c>
      <c r="L141" s="408">
        <f>skemA7!$K$21*COS(RADIANS(skemA7!$K$28*E141-skemA7!$K$22))</f>
        <v>-0.57749638335121012</v>
      </c>
      <c r="M141" s="408">
        <f>skemA7!$L$21*COS(RADIANS(skemA7!$L$28*E141-skemA7!$L$22))</f>
        <v>-4.8855211744025935</v>
      </c>
      <c r="N141" s="408">
        <f>skemA7!$M$21*COS(RADIANS(skemA7!$M$28*E141-skemA7!$M$22))</f>
        <v>-4.8367191587964209</v>
      </c>
      <c r="O141" s="409">
        <f>skemA7!$D$21+'Forcasting Pasut'!F141+'Forcasting Pasut'!G141+K141+L141+'Forcasting Pasut'!H141+'Forcasting Pasut'!I141+'Forcasting Pasut'!J141+'Forcasting Pasut'!M141+'Forcasting Pasut'!N141</f>
        <v>186.39345943928453</v>
      </c>
      <c r="P141" s="405"/>
      <c r="Q141" s="406">
        <f>T138</f>
        <v>149.30000000000001</v>
      </c>
      <c r="R141" s="406"/>
      <c r="S141" s="406"/>
      <c r="T141" s="406"/>
      <c r="U141" s="406"/>
      <c r="V141" s="406"/>
      <c r="W141" s="406"/>
      <c r="X141" s="406"/>
      <c r="Y141" s="406"/>
      <c r="Z141" s="406"/>
      <c r="AA141" s="406"/>
      <c r="AB141" s="406"/>
      <c r="AC141" s="406"/>
      <c r="AD141" s="406"/>
      <c r="AE141" s="406"/>
      <c r="AF141" s="406"/>
      <c r="AG141" s="406"/>
      <c r="AH141" s="406"/>
      <c r="AI141" s="406"/>
      <c r="AJ141" s="406"/>
      <c r="AK141" s="406"/>
      <c r="AL141" s="406"/>
      <c r="AM141" s="406"/>
      <c r="AN141" s="406"/>
      <c r="AO141" s="407"/>
      <c r="AP141" s="410"/>
    </row>
    <row r="142" spans="1:42">
      <c r="A142" s="402"/>
      <c r="B142" s="77"/>
      <c r="D142" s="131"/>
      <c r="E142" s="113">
        <f t="shared" si="1"/>
        <v>124</v>
      </c>
      <c r="F142" s="408">
        <f>skemA7!$E$21*COS(RADIANS(skemA7!$E$28*E142-skemA7!$E$22))</f>
        <v>19.016159111868856</v>
      </c>
      <c r="G142" s="408">
        <f>skemA7!$F$21*COS(RADIANS(skemA7!$F$28*E142-skemA7!$F$22))</f>
        <v>-21.842967707503128</v>
      </c>
      <c r="H142" s="408">
        <f>skemA7!$G$21*COS(RADIANS(skemA7!$G$28*E142-skemA7!$G$22))</f>
        <v>-5.0759280036967214</v>
      </c>
      <c r="I142" s="408">
        <f>skemA7!$H$21*COS(RADIANS(skemA7!$H$28*E142-skemA7!$H$22))</f>
        <v>0.57946423898814647</v>
      </c>
      <c r="J142" s="408">
        <f>skemA7!$I$21*COS(RADIANS(skemA7!$I$28*E142-skemA7!$I$22))</f>
        <v>27.41927435817378</v>
      </c>
      <c r="K142" s="408">
        <f>skemA7!$J$21*COS(RADIANS(skemA7!$J$28*E142-skemA7!$J$22))</f>
        <v>0.75243780329641585</v>
      </c>
      <c r="L142" s="408">
        <f>skemA7!$K$21*COS(RADIANS(skemA7!$K$28*E142-skemA7!$K$22))</f>
        <v>-3.0874841766330965</v>
      </c>
      <c r="M142" s="408">
        <f>skemA7!$L$21*COS(RADIANS(skemA7!$L$28*E142-skemA7!$L$22))</f>
        <v>-6.146754236492928</v>
      </c>
      <c r="N142" s="408">
        <f>skemA7!$M$21*COS(RADIANS(skemA7!$M$28*E142-skemA7!$M$22))</f>
        <v>-1.8945852239376515</v>
      </c>
      <c r="O142" s="409">
        <f>skemA7!$D$21+'Forcasting Pasut'!F142+'Forcasting Pasut'!G142+K142+L142+'Forcasting Pasut'!H142+'Forcasting Pasut'!I142+'Forcasting Pasut'!J142+'Forcasting Pasut'!M142+'Forcasting Pasut'!N142</f>
        <v>175.88793512958088</v>
      </c>
      <c r="P142" s="405"/>
      <c r="Q142" s="406">
        <f>U138</f>
        <v>199.9</v>
      </c>
      <c r="R142" s="406"/>
      <c r="S142" s="406"/>
      <c r="T142" s="406"/>
      <c r="U142" s="406"/>
      <c r="V142" s="406"/>
      <c r="W142" s="406"/>
      <c r="X142" s="406"/>
      <c r="Y142" s="406"/>
      <c r="Z142" s="406"/>
      <c r="AA142" s="406"/>
      <c r="AB142" s="406"/>
      <c r="AC142" s="406"/>
      <c r="AD142" s="406"/>
      <c r="AE142" s="406"/>
      <c r="AF142" s="406"/>
      <c r="AG142" s="406"/>
      <c r="AH142" s="406"/>
      <c r="AI142" s="406"/>
      <c r="AJ142" s="406"/>
      <c r="AK142" s="406"/>
      <c r="AL142" s="406"/>
      <c r="AM142" s="406"/>
      <c r="AN142" s="406"/>
      <c r="AO142" s="407"/>
      <c r="AP142" s="410"/>
    </row>
    <row r="143" spans="1:42">
      <c r="A143" s="402"/>
      <c r="B143" s="77"/>
      <c r="D143" s="131"/>
      <c r="E143" s="113">
        <f t="shared" si="1"/>
        <v>125</v>
      </c>
      <c r="F143" s="408">
        <f>skemA7!$E$21*COS(RADIANS(skemA7!$E$28*E143-skemA7!$E$22))</f>
        <v>11.106411673871166</v>
      </c>
      <c r="G143" s="408">
        <f>skemA7!$F$21*COS(RADIANS(skemA7!$F$28*E143-skemA7!$F$22))</f>
        <v>-22.50182090141281</v>
      </c>
      <c r="H143" s="408">
        <f>skemA7!$G$21*COS(RADIANS(skemA7!$G$28*E143-skemA7!$G$22))</f>
        <v>-12.467611198575989</v>
      </c>
      <c r="I143" s="408">
        <f>skemA7!$H$21*COS(RADIANS(skemA7!$H$28*E143-skemA7!$H$22))</f>
        <v>9.8376937638304067</v>
      </c>
      <c r="J143" s="408">
        <f>skemA7!$I$21*COS(RADIANS(skemA7!$I$28*E143-skemA7!$I$22))</f>
        <v>26.11943404761967</v>
      </c>
      <c r="K143" s="408">
        <f>skemA7!$J$21*COS(RADIANS(skemA7!$J$28*E143-skemA7!$J$22))</f>
        <v>-0.96966376932379927</v>
      </c>
      <c r="L143" s="408">
        <f>skemA7!$K$21*COS(RADIANS(skemA7!$K$28*E143-skemA7!$K$22))</f>
        <v>-2.6043253850400587</v>
      </c>
      <c r="M143" s="408">
        <f>skemA7!$L$21*COS(RADIANS(skemA7!$L$28*E143-skemA7!$L$22))</f>
        <v>-5.7521615143447837</v>
      </c>
      <c r="N143" s="408">
        <f>skemA7!$M$21*COS(RADIANS(skemA7!$M$28*E143-skemA7!$M$22))</f>
        <v>1.1759607191455739</v>
      </c>
      <c r="O143" s="409">
        <f>skemA7!$D$21+'Forcasting Pasut'!F143+'Forcasting Pasut'!G143+K143+L143+'Forcasting Pasut'!H143+'Forcasting Pasut'!I143+'Forcasting Pasut'!J143+'Forcasting Pasut'!M143+'Forcasting Pasut'!N143</f>
        <v>170.11223640128665</v>
      </c>
      <c r="P143" s="405"/>
      <c r="Q143" s="406">
        <f>V138</f>
        <v>243.5</v>
      </c>
      <c r="R143" s="406"/>
      <c r="S143" s="406"/>
      <c r="T143" s="406"/>
      <c r="U143" s="406"/>
      <c r="V143" s="406"/>
      <c r="W143" s="406"/>
      <c r="X143" s="406"/>
      <c r="Y143" s="406"/>
      <c r="Z143" s="406"/>
      <c r="AA143" s="406"/>
      <c r="AB143" s="406"/>
      <c r="AC143" s="406"/>
      <c r="AD143" s="406"/>
      <c r="AE143" s="406"/>
      <c r="AF143" s="406"/>
      <c r="AG143" s="406"/>
      <c r="AH143" s="406"/>
      <c r="AI143" s="406"/>
      <c r="AJ143" s="406"/>
      <c r="AK143" s="406"/>
      <c r="AL143" s="406"/>
      <c r="AM143" s="406"/>
      <c r="AN143" s="406"/>
      <c r="AO143" s="407"/>
      <c r="AP143" s="410"/>
    </row>
    <row r="144" spans="1:42">
      <c r="A144" s="402"/>
      <c r="B144" s="77"/>
      <c r="D144" s="131"/>
      <c r="E144" s="113">
        <f t="shared" si="1"/>
        <v>126</v>
      </c>
      <c r="F144" s="408">
        <f>skemA7!$E$21*COS(RADIANS(skemA7!$E$28*E144-skemA7!$E$22))</f>
        <v>0.41462045117251428</v>
      </c>
      <c r="G144" s="408">
        <f>skemA7!$F$21*COS(RADIANS(skemA7!$F$28*E144-skemA7!$F$22))</f>
        <v>-17.131329356559217</v>
      </c>
      <c r="H144" s="408">
        <f>skemA7!$G$21*COS(RADIANS(skemA7!$G$28*E144-skemA7!$G$22))</f>
        <v>-16.850019748347862</v>
      </c>
      <c r="I144" s="408">
        <f>skemA7!$H$21*COS(RADIANS(skemA7!$H$28*E144-skemA7!$H$22))</f>
        <v>18.421851830694358</v>
      </c>
      <c r="J144" s="408">
        <f>skemA7!$I$21*COS(RADIANS(skemA7!$I$28*E144-skemA7!$I$22))</f>
        <v>23.28042350140122</v>
      </c>
      <c r="K144" s="408">
        <f>skemA7!$J$21*COS(RADIANS(skemA7!$J$28*E144-skemA7!$J$22))</f>
        <v>-1.7810432073005786</v>
      </c>
      <c r="L144" s="408">
        <f>skemA7!$K$21*COS(RADIANS(skemA7!$K$28*E144-skemA7!$K$22))</f>
        <v>0.40358404046111485</v>
      </c>
      <c r="M144" s="408">
        <f>skemA7!$L$21*COS(RADIANS(skemA7!$L$28*E144-skemA7!$L$22))</f>
        <v>-3.8080392382070771</v>
      </c>
      <c r="N144" s="408">
        <f>skemA7!$M$21*COS(RADIANS(skemA7!$M$28*E144-skemA7!$M$22))</f>
        <v>4.1668018932742763</v>
      </c>
      <c r="O144" s="409">
        <f>skemA7!$D$21+'Forcasting Pasut'!F144+'Forcasting Pasut'!G144+K144+L144+'Forcasting Pasut'!H144+'Forcasting Pasut'!I144+'Forcasting Pasut'!J144+'Forcasting Pasut'!M144+'Forcasting Pasut'!N144</f>
        <v>173.28516913210601</v>
      </c>
      <c r="P144" s="405"/>
      <c r="Q144" s="406">
        <f>W138</f>
        <v>274.5</v>
      </c>
      <c r="R144" s="406"/>
      <c r="S144" s="406"/>
      <c r="T144" s="406"/>
      <c r="U144" s="406"/>
      <c r="V144" s="406"/>
      <c r="W144" s="406"/>
      <c r="X144" s="406"/>
      <c r="Y144" s="406"/>
      <c r="Z144" s="406"/>
      <c r="AA144" s="406"/>
      <c r="AB144" s="406"/>
      <c r="AC144" s="406"/>
      <c r="AD144" s="406"/>
      <c r="AE144" s="406"/>
      <c r="AF144" s="406"/>
      <c r="AG144" s="406"/>
      <c r="AH144" s="406"/>
      <c r="AI144" s="406"/>
      <c r="AJ144" s="406"/>
      <c r="AK144" s="406"/>
      <c r="AL144" s="406"/>
      <c r="AM144" s="406"/>
      <c r="AN144" s="406"/>
      <c r="AO144" s="407"/>
      <c r="AP144" s="410"/>
    </row>
    <row r="145" spans="1:42">
      <c r="A145" s="402"/>
      <c r="B145" s="77"/>
      <c r="D145" s="131"/>
      <c r="E145" s="113">
        <f t="shared" si="1"/>
        <v>127</v>
      </c>
      <c r="F145" s="408">
        <f>skemA7!$E$21*COS(RADIANS(skemA7!$E$28*E145-skemA7!$E$22))</f>
        <v>-10.381029000723911</v>
      </c>
      <c r="G145" s="408">
        <f>skemA7!$F$21*COS(RADIANS(skemA7!$F$28*E145-skemA7!$F$22))</f>
        <v>-7.1705119453439101</v>
      </c>
      <c r="H145" s="408">
        <f>skemA7!$G$21*COS(RADIANS(skemA7!$G$28*E145-skemA7!$G$22))</f>
        <v>-17.165383184934488</v>
      </c>
      <c r="I145" s="408">
        <f>skemA7!$H$21*COS(RADIANS(skemA7!$H$28*E145-skemA7!$H$22))</f>
        <v>25.743758314994235</v>
      </c>
      <c r="J145" s="408">
        <f>skemA7!$I$21*COS(RADIANS(skemA7!$I$28*E145-skemA7!$I$22))</f>
        <v>19.069540392335842</v>
      </c>
      <c r="K145" s="408">
        <f>skemA7!$J$21*COS(RADIANS(skemA7!$J$28*E145-skemA7!$J$22))</f>
        <v>-0.91964129264820083</v>
      </c>
      <c r="L145" s="408">
        <f>skemA7!$K$21*COS(RADIANS(skemA7!$K$28*E145-skemA7!$K$22))</f>
        <v>3.0202408721648393</v>
      </c>
      <c r="M145" s="408">
        <f>skemA7!$L$21*COS(RADIANS(skemA7!$L$28*E145-skemA7!$L$22))</f>
        <v>-0.83809921901071593</v>
      </c>
      <c r="N145" s="408">
        <f>skemA7!$M$21*COS(RADIANS(skemA7!$M$28*E145-skemA7!$M$22))</f>
        <v>6.8752237852147067</v>
      </c>
      <c r="O145" s="409">
        <f>skemA7!$D$21+'Forcasting Pasut'!F145+'Forcasting Pasut'!G145+K145+L145+'Forcasting Pasut'!H145+'Forcasting Pasut'!I145+'Forcasting Pasut'!J145+'Forcasting Pasut'!M145+'Forcasting Pasut'!N145</f>
        <v>184.40241768756562</v>
      </c>
      <c r="P145" s="405"/>
      <c r="Q145" s="406">
        <f>X138</f>
        <v>284.60000000000002</v>
      </c>
      <c r="R145" s="406"/>
      <c r="S145" s="406"/>
      <c r="T145" s="406"/>
      <c r="U145" s="406"/>
      <c r="V145" s="406"/>
      <c r="W145" s="406"/>
      <c r="X145" s="406"/>
      <c r="Y145" s="406"/>
      <c r="Z145" s="406"/>
      <c r="AA145" s="406"/>
      <c r="AB145" s="406"/>
      <c r="AC145" s="406"/>
      <c r="AD145" s="406"/>
      <c r="AE145" s="406"/>
      <c r="AF145" s="406"/>
      <c r="AG145" s="406"/>
      <c r="AH145" s="406"/>
      <c r="AI145" s="406"/>
      <c r="AJ145" s="406"/>
      <c r="AK145" s="406"/>
      <c r="AL145" s="406"/>
      <c r="AM145" s="406"/>
      <c r="AN145" s="406"/>
      <c r="AO145" s="407"/>
      <c r="AP145" s="410"/>
    </row>
    <row r="146" spans="1:42">
      <c r="A146" s="402"/>
      <c r="B146" s="77"/>
      <c r="D146" s="131"/>
      <c r="E146" s="113">
        <f t="shared" si="1"/>
        <v>128</v>
      </c>
      <c r="F146" s="408">
        <f>skemA7!$E$21*COS(RADIANS(skemA7!$E$28*E146-skemA7!$E$22))</f>
        <v>-18.576335690411799</v>
      </c>
      <c r="G146" s="408">
        <f>skemA7!$F$21*COS(RADIANS(skemA7!$F$28*E146-skemA7!$F$22))</f>
        <v>4.7116383509438773</v>
      </c>
      <c r="H146" s="408">
        <f>skemA7!$G$21*COS(RADIANS(skemA7!$G$28*E146-skemA7!$G$22))</f>
        <v>-13.337583062019343</v>
      </c>
      <c r="I146" s="408">
        <f>skemA7!$H$21*COS(RADIANS(skemA7!$H$28*E146-skemA7!$H$22))</f>
        <v>31.301721631533425</v>
      </c>
      <c r="J146" s="408">
        <f>skemA7!$I$21*COS(RADIANS(skemA7!$I$28*E146-skemA7!$I$22))</f>
        <v>13.734924321592606</v>
      </c>
      <c r="K146" s="408">
        <f>skemA7!$J$21*COS(RADIANS(skemA7!$J$28*E146-skemA7!$J$22))</f>
        <v>0.80550092832796616</v>
      </c>
      <c r="L146" s="408">
        <f>skemA7!$K$21*COS(RADIANS(skemA7!$K$28*E146-skemA7!$K$22))</f>
        <v>2.7089398149060533</v>
      </c>
      <c r="M146" s="408">
        <f>skemA7!$L$21*COS(RADIANS(skemA7!$L$28*E146-skemA7!$L$22))</f>
        <v>2.3576097577842572</v>
      </c>
      <c r="N146" s="408">
        <f>skemA7!$M$21*COS(RADIANS(skemA7!$M$28*E146-skemA7!$M$22))</f>
        <v>9.1176538167217913</v>
      </c>
      <c r="O146" s="409">
        <f>skemA7!$D$21+'Forcasting Pasut'!F146+'Forcasting Pasut'!G146+K146+L146+'Forcasting Pasut'!H146+'Forcasting Pasut'!I146+'Forcasting Pasut'!J146+'Forcasting Pasut'!M146+'Forcasting Pasut'!N146</f>
        <v>198.99238883489608</v>
      </c>
      <c r="P146" s="405"/>
      <c r="Q146" s="406">
        <f>Y138</f>
        <v>275.8</v>
      </c>
      <c r="R146" s="406"/>
      <c r="S146" s="406"/>
      <c r="T146" s="406"/>
      <c r="U146" s="406"/>
      <c r="V146" s="406"/>
      <c r="W146" s="406"/>
      <c r="X146" s="406"/>
      <c r="Y146" s="406"/>
      <c r="Z146" s="406"/>
      <c r="AA146" s="406"/>
      <c r="AB146" s="406"/>
      <c r="AC146" s="406"/>
      <c r="AD146" s="406"/>
      <c r="AE146" s="406"/>
      <c r="AF146" s="406"/>
      <c r="AG146" s="406"/>
      <c r="AH146" s="406"/>
      <c r="AI146" s="406"/>
      <c r="AJ146" s="406"/>
      <c r="AK146" s="406"/>
      <c r="AL146" s="406"/>
      <c r="AM146" s="406"/>
      <c r="AN146" s="406"/>
      <c r="AO146" s="407"/>
      <c r="AP146" s="410"/>
    </row>
    <row r="147" spans="1:42">
      <c r="A147" s="402"/>
      <c r="B147" s="77"/>
      <c r="D147" s="131"/>
      <c r="E147" s="113">
        <f t="shared" si="1"/>
        <v>129</v>
      </c>
      <c r="F147" s="408">
        <f>skemA7!$E$21*COS(RADIANS(skemA7!$E$28*E147-skemA7!$E$22))</f>
        <v>-22.118458186359735</v>
      </c>
      <c r="G147" s="408">
        <f>skemA7!$F$21*COS(RADIANS(skemA7!$F$28*E147-skemA7!$F$22))</f>
        <v>15.331308956068886</v>
      </c>
      <c r="H147" s="408">
        <f>skemA7!$G$21*COS(RADIANS(skemA7!$G$28*E147-skemA7!$G$22))</f>
        <v>-6.2905254649753193</v>
      </c>
      <c r="I147" s="408">
        <f>skemA7!$H$21*COS(RADIANS(skemA7!$H$28*E147-skemA7!$H$22))</f>
        <v>34.71491426869099</v>
      </c>
      <c r="J147" s="408">
        <f>skemA7!$I$21*COS(RADIANS(skemA7!$I$28*E147-skemA7!$I$22))</f>
        <v>7.5909344081252916</v>
      </c>
      <c r="K147" s="408">
        <f>skemA7!$J$21*COS(RADIANS(skemA7!$J$28*E147-skemA7!$J$22))</f>
        <v>1.7741051119845679</v>
      </c>
      <c r="L147" s="408">
        <f>skemA7!$K$21*COS(RADIANS(skemA7!$K$28*E147-skemA7!$K$22))</f>
        <v>-0.22852982873230651</v>
      </c>
      <c r="M147" s="408">
        <f>skemA7!$L$21*COS(RADIANS(skemA7!$L$28*E147-skemA7!$L$22))</f>
        <v>4.9182207827309492</v>
      </c>
      <c r="N147" s="408">
        <f>skemA7!$M$21*COS(RADIANS(skemA7!$M$28*E147-skemA7!$M$22))</f>
        <v>10.74210360531978</v>
      </c>
      <c r="O147" s="409">
        <f>skemA7!$D$21+'Forcasting Pasut'!F147+'Forcasting Pasut'!G147+K147+L147+'Forcasting Pasut'!H147+'Forcasting Pasut'!I147+'Forcasting Pasut'!J147+'Forcasting Pasut'!M147+'Forcasting Pasut'!N147</f>
        <v>212.60239261837032</v>
      </c>
      <c r="P147" s="405"/>
      <c r="Q147" s="406">
        <f>Z138</f>
        <v>250.59999999999997</v>
      </c>
      <c r="R147" s="406"/>
      <c r="S147" s="406"/>
      <c r="T147" s="406"/>
      <c r="U147" s="406"/>
      <c r="V147" s="406"/>
      <c r="W147" s="406"/>
      <c r="X147" s="406"/>
      <c r="Y147" s="406"/>
      <c r="Z147" s="406"/>
      <c r="AA147" s="406"/>
      <c r="AB147" s="406"/>
      <c r="AC147" s="406"/>
      <c r="AD147" s="406"/>
      <c r="AE147" s="406"/>
      <c r="AF147" s="406"/>
      <c r="AG147" s="406"/>
      <c r="AH147" s="406"/>
      <c r="AI147" s="406"/>
      <c r="AJ147" s="406"/>
      <c r="AK147" s="406"/>
      <c r="AL147" s="406"/>
      <c r="AM147" s="406"/>
      <c r="AN147" s="406"/>
      <c r="AO147" s="407"/>
      <c r="AP147" s="410"/>
    </row>
    <row r="148" spans="1:42">
      <c r="A148" s="402"/>
      <c r="B148" s="77"/>
      <c r="D148" s="131"/>
      <c r="E148" s="113">
        <f t="shared" ref="E148:E211" si="2">E147+1</f>
        <v>130</v>
      </c>
      <c r="F148" s="408">
        <f>skemA7!$E$21*COS(RADIANS(skemA7!$E$28*E148-skemA7!$E$22))</f>
        <v>-20.120130631343834</v>
      </c>
      <c r="G148" s="408">
        <f>skemA7!$F$21*COS(RADIANS(skemA7!$F$28*E148-skemA7!$F$22))</f>
        <v>21.842967707503153</v>
      </c>
      <c r="H148" s="408">
        <f>skemA7!$G$21*COS(RADIANS(skemA7!$G$28*E148-skemA7!$G$22))</f>
        <v>2.2748597799756869</v>
      </c>
      <c r="I148" s="408">
        <f>skemA7!$H$21*COS(RADIANS(skemA7!$H$28*E148-skemA7!$H$22))</f>
        <v>35.749466806202122</v>
      </c>
      <c r="J148" s="408">
        <f>skemA7!$I$21*COS(RADIANS(skemA7!$I$28*E148-skemA7!$I$22))</f>
        <v>0.99962468364815926</v>
      </c>
      <c r="K148" s="408">
        <f>skemA7!$J$21*COS(RADIANS(skemA7!$J$28*E148-skemA7!$J$22))</f>
        <v>1.0764443017504499</v>
      </c>
      <c r="L148" s="408">
        <f>skemA7!$K$21*COS(RADIANS(skemA7!$K$28*E148-skemA7!$K$22))</f>
        <v>-2.9444523364892592</v>
      </c>
      <c r="M148" s="408">
        <f>skemA7!$L$21*COS(RADIANS(skemA7!$L$28*E148-skemA7!$L$22))</f>
        <v>6.1539509890702142</v>
      </c>
      <c r="N148" s="408">
        <f>skemA7!$M$21*COS(RADIANS(skemA7!$M$28*E148-skemA7!$M$22))</f>
        <v>11.63847049794343</v>
      </c>
      <c r="O148" s="409">
        <f>skemA7!$D$21+'Forcasting Pasut'!F148+'Forcasting Pasut'!G148+K148+L148+'Forcasting Pasut'!H148+'Forcasting Pasut'!I148+'Forcasting Pasut'!J148+'Forcasting Pasut'!M148+'Forcasting Pasut'!N148</f>
        <v>222.83952076377739</v>
      </c>
      <c r="P148" s="405"/>
      <c r="Q148" s="406">
        <f>AA138</f>
        <v>212.3</v>
      </c>
      <c r="R148" s="406"/>
      <c r="S148" s="406"/>
      <c r="T148" s="406"/>
      <c r="U148" s="406"/>
      <c r="V148" s="406"/>
      <c r="W148" s="406"/>
      <c r="X148" s="406"/>
      <c r="Y148" s="406"/>
      <c r="Z148" s="406"/>
      <c r="AA148" s="406"/>
      <c r="AB148" s="406"/>
      <c r="AC148" s="406"/>
      <c r="AD148" s="406"/>
      <c r="AE148" s="406"/>
      <c r="AF148" s="406"/>
      <c r="AG148" s="406"/>
      <c r="AH148" s="406"/>
      <c r="AI148" s="406"/>
      <c r="AJ148" s="406"/>
      <c r="AK148" s="406"/>
      <c r="AL148" s="406"/>
      <c r="AM148" s="406"/>
      <c r="AN148" s="406"/>
      <c r="AO148" s="407"/>
      <c r="AP148" s="410"/>
    </row>
    <row r="149" spans="1:42">
      <c r="A149" s="402"/>
      <c r="B149" s="77"/>
      <c r="D149" s="131"/>
      <c r="E149" s="113">
        <f t="shared" si="2"/>
        <v>131</v>
      </c>
      <c r="F149" s="408">
        <f>skemA7!$E$21*COS(RADIANS(skemA7!$E$28*E149-skemA7!$E$22))</f>
        <v>-13.081913865127081</v>
      </c>
      <c r="G149" s="408">
        <f>skemA7!$F$21*COS(RADIANS(skemA7!$F$28*E149-skemA7!$F$22))</f>
        <v>22.501820901412827</v>
      </c>
      <c r="H149" s="408">
        <f>skemA7!$G$21*COS(RADIANS(skemA7!$G$28*E149-skemA7!$G$22))</f>
        <v>10.291168080833561</v>
      </c>
      <c r="I149" s="408">
        <f>skemA7!$H$21*COS(RADIANS(skemA7!$H$28*E149-skemA7!$H$22))</f>
        <v>34.334492473848478</v>
      </c>
      <c r="J149" s="408">
        <f>skemA7!$I$21*COS(RADIANS(skemA7!$I$28*E149-skemA7!$I$22))</f>
        <v>-5.6505910859255684</v>
      </c>
      <c r="K149" s="408">
        <f>skemA7!$J$21*COS(RADIANS(skemA7!$J$28*E149-skemA7!$J$22))</f>
        <v>-0.63222845234393943</v>
      </c>
      <c r="L149" s="408">
        <f>skemA7!$K$21*COS(RADIANS(skemA7!$K$28*E149-skemA7!$K$22))</f>
        <v>-2.8058897842124679</v>
      </c>
      <c r="M149" s="408">
        <f>skemA7!$L$21*COS(RADIANS(skemA7!$L$28*E149-skemA7!$L$22))</f>
        <v>5.7319167345911453</v>
      </c>
      <c r="N149" s="408">
        <f>skemA7!$M$21*COS(RADIANS(skemA7!$M$28*E149-skemA7!$M$22))</f>
        <v>11.746000155683415</v>
      </c>
      <c r="O149" s="409">
        <f>skemA7!$D$21+'Forcasting Pasut'!F149+'Forcasting Pasut'!G149+K149+L149+'Forcasting Pasut'!H149+'Forcasting Pasut'!I149+'Forcasting Pasut'!J149+'Forcasting Pasut'!M149+'Forcasting Pasut'!N149</f>
        <v>228.60309412427762</v>
      </c>
      <c r="P149" s="405"/>
      <c r="Q149" s="406">
        <f>AB138</f>
        <v>174.9</v>
      </c>
      <c r="R149" s="406"/>
      <c r="S149" s="406"/>
      <c r="T149" s="406"/>
      <c r="U149" s="406"/>
      <c r="V149" s="406"/>
      <c r="W149" s="406"/>
      <c r="X149" s="406"/>
      <c r="Y149" s="406"/>
      <c r="Z149" s="406"/>
      <c r="AA149" s="406"/>
      <c r="AB149" s="406"/>
      <c r="AC149" s="406"/>
      <c r="AD149" s="406"/>
      <c r="AE149" s="406"/>
      <c r="AF149" s="406"/>
      <c r="AG149" s="406"/>
      <c r="AH149" s="406"/>
      <c r="AI149" s="406"/>
      <c r="AJ149" s="406"/>
      <c r="AK149" s="406"/>
      <c r="AL149" s="406"/>
      <c r="AM149" s="406"/>
      <c r="AN149" s="406"/>
      <c r="AO149" s="407"/>
      <c r="AP149" s="410"/>
    </row>
    <row r="150" spans="1:42">
      <c r="A150" s="402"/>
      <c r="B150" s="77"/>
      <c r="D150" s="131"/>
      <c r="E150" s="113">
        <f t="shared" si="2"/>
        <v>132</v>
      </c>
      <c r="F150" s="408">
        <f>skemA7!$E$21*COS(RADIANS(skemA7!$E$28*E150-skemA7!$E$22))</f>
        <v>-2.7668099971935889</v>
      </c>
      <c r="G150" s="408">
        <f>skemA7!$F$21*COS(RADIANS(skemA7!$F$28*E150-skemA7!$F$22))</f>
        <v>17.131329356559164</v>
      </c>
      <c r="H150" s="408">
        <f>skemA7!$G$21*COS(RADIANS(skemA7!$G$28*E150-skemA7!$G$22))</f>
        <v>15.823524108803092</v>
      </c>
      <c r="I150" s="408">
        <f>skemA7!$H$21*COS(RADIANS(skemA7!$H$28*E150-skemA7!$H$22))</f>
        <v>30.566944260217483</v>
      </c>
      <c r="J150" s="408">
        <f>skemA7!$I$21*COS(RADIANS(skemA7!$I$28*E150-skemA7!$I$22))</f>
        <v>-11.967827909726264</v>
      </c>
      <c r="K150" s="408">
        <f>skemA7!$J$21*COS(RADIANS(skemA7!$J$28*E150-skemA7!$J$22))</f>
        <v>-1.7471031664202725</v>
      </c>
      <c r="L150" s="408">
        <f>skemA7!$K$21*COS(RADIANS(skemA7!$K$28*E150-skemA7!$K$22))</f>
        <v>5.2829032738457363E-2</v>
      </c>
      <c r="M150" s="408">
        <f>skemA7!$L$21*COS(RADIANS(skemA7!$L$28*E150-skemA7!$L$22))</f>
        <v>3.7658065081306411</v>
      </c>
      <c r="N150" s="408">
        <f>skemA7!$M$21*COS(RADIANS(skemA7!$M$28*E150-skemA7!$M$22))</f>
        <v>11.057404387372792</v>
      </c>
      <c r="O150" s="409">
        <f>skemA7!$D$21+'Forcasting Pasut'!F150+'Forcasting Pasut'!G150+K150+L150+'Forcasting Pasut'!H150+'Forcasting Pasut'!I150+'Forcasting Pasut'!J150+'Forcasting Pasut'!M150+'Forcasting Pasut'!N150</f>
        <v>228.08441554599884</v>
      </c>
      <c r="P150" s="405"/>
      <c r="Q150" s="406">
        <f>AC138</f>
        <v>142.9</v>
      </c>
      <c r="R150" s="406"/>
      <c r="S150" s="406"/>
      <c r="T150" s="406"/>
      <c r="U150" s="406"/>
      <c r="V150" s="406"/>
      <c r="W150" s="406"/>
      <c r="X150" s="406"/>
      <c r="Y150" s="406"/>
      <c r="Z150" s="406"/>
      <c r="AA150" s="406"/>
      <c r="AB150" s="406"/>
      <c r="AC150" s="406"/>
      <c r="AD150" s="406"/>
      <c r="AE150" s="406"/>
      <c r="AF150" s="406"/>
      <c r="AG150" s="406"/>
      <c r="AH150" s="406"/>
      <c r="AI150" s="406"/>
      <c r="AJ150" s="406"/>
      <c r="AK150" s="406"/>
      <c r="AL150" s="406"/>
      <c r="AM150" s="406"/>
      <c r="AN150" s="406"/>
      <c r="AO150" s="407"/>
      <c r="AP150" s="410"/>
    </row>
    <row r="151" spans="1:42">
      <c r="A151" s="402"/>
      <c r="B151" s="77"/>
      <c r="D151" s="131"/>
      <c r="E151" s="113">
        <f t="shared" si="2"/>
        <v>133</v>
      </c>
      <c r="F151" s="408">
        <f>skemA7!$E$21*COS(RADIANS(skemA7!$E$28*E151-skemA7!$E$22))</f>
        <v>8.2413517891901726</v>
      </c>
      <c r="G151" s="408">
        <f>skemA7!$F$21*COS(RADIANS(skemA7!$F$28*E151-skemA7!$F$22))</f>
        <v>7.1705119453438346</v>
      </c>
      <c r="H151" s="408">
        <f>skemA7!$G$21*COS(RADIANS(skemA7!$G$28*E151-skemA7!$G$22))</f>
        <v>17.536597586294519</v>
      </c>
      <c r="I151" s="408">
        <f>skemA7!$H$21*COS(RADIANS(skemA7!$H$28*E151-skemA7!$H$22))</f>
        <v>24.704971766052171</v>
      </c>
      <c r="J151" s="408">
        <f>skemA7!$I$21*COS(RADIANS(skemA7!$I$28*E151-skemA7!$I$22))</f>
        <v>-17.579822634076304</v>
      </c>
      <c r="K151" s="408">
        <f>skemA7!$J$21*COS(RADIANS(skemA7!$J$28*E151-skemA7!$J$22))</f>
        <v>-1.2210735015755148</v>
      </c>
      <c r="L151" s="408">
        <f>skemA7!$K$21*COS(RADIANS(skemA7!$K$28*E151-skemA7!$K$22))</f>
        <v>2.8603329997089553</v>
      </c>
      <c r="M151" s="408">
        <f>skemA7!$L$21*COS(RADIANS(skemA7!$L$28*E151-skemA7!$L$22))</f>
        <v>0.78525528163857017</v>
      </c>
      <c r="N151" s="408">
        <f>skemA7!$M$21*COS(RADIANS(skemA7!$M$28*E151-skemA7!$M$22))</f>
        <v>9.6193551317274366</v>
      </c>
      <c r="O151" s="409">
        <f>skemA7!$D$21+'Forcasting Pasut'!F151+'Forcasting Pasut'!G151+K151+L151+'Forcasting Pasut'!H151+'Forcasting Pasut'!I151+'Forcasting Pasut'!J151+'Forcasting Pasut'!M151+'Forcasting Pasut'!N151</f>
        <v>218.28579932982109</v>
      </c>
      <c r="P151" s="405"/>
      <c r="Q151" s="406">
        <f>AD138</f>
        <v>126.1</v>
      </c>
      <c r="R151" s="406"/>
      <c r="S151" s="406"/>
      <c r="T151" s="406"/>
      <c r="U151" s="406"/>
      <c r="V151" s="406"/>
      <c r="W151" s="406"/>
      <c r="X151" s="406"/>
      <c r="Y151" s="406"/>
      <c r="Z151" s="406"/>
      <c r="AA151" s="406"/>
      <c r="AB151" s="406"/>
      <c r="AC151" s="406"/>
      <c r="AD151" s="406"/>
      <c r="AE151" s="406"/>
      <c r="AF151" s="406"/>
      <c r="AG151" s="406"/>
      <c r="AH151" s="406"/>
      <c r="AI151" s="406"/>
      <c r="AJ151" s="406"/>
      <c r="AK151" s="406"/>
      <c r="AL151" s="406"/>
      <c r="AM151" s="406"/>
      <c r="AN151" s="406"/>
      <c r="AO151" s="407"/>
      <c r="AP151" s="410"/>
    </row>
    <row r="152" spans="1:42">
      <c r="A152" s="402"/>
      <c r="B152" s="77"/>
      <c r="D152" s="131"/>
      <c r="E152" s="113">
        <f t="shared" si="2"/>
        <v>134</v>
      </c>
      <c r="F152" s="408">
        <f>skemA7!$E$21*COS(RADIANS(skemA7!$E$28*E152-skemA7!$E$22))</f>
        <v>17.185138312356106</v>
      </c>
      <c r="G152" s="408">
        <f>skemA7!$F$21*COS(RADIANS(skemA7!$F$28*E152-skemA7!$F$22))</f>
        <v>-4.7116383509437938</v>
      </c>
      <c r="H152" s="408">
        <f>skemA7!$G$21*COS(RADIANS(skemA7!$G$28*E152-skemA7!$G$22))</f>
        <v>15.016908456951166</v>
      </c>
      <c r="I152" s="408">
        <f>skemA7!$H$21*COS(RADIANS(skemA7!$H$28*E152-skemA7!$H$22))</f>
        <v>17.150232985658089</v>
      </c>
      <c r="J152" s="408">
        <f>skemA7!$I$21*COS(RADIANS(skemA7!$I$28*E152-skemA7!$I$22))</f>
        <v>-22.155870725842512</v>
      </c>
      <c r="K152" s="408">
        <f>skemA7!$J$21*COS(RADIANS(skemA7!$J$28*E152-skemA7!$J$22))</f>
        <v>0.4518059282004831</v>
      </c>
      <c r="L152" s="408">
        <f>skemA7!$K$21*COS(RADIANS(skemA7!$K$28*E152-skemA7!$K$22))</f>
        <v>2.8949009903661436</v>
      </c>
      <c r="M152" s="408">
        <f>skemA7!$L$21*COS(RADIANS(skemA7!$L$28*E152-skemA7!$L$22))</f>
        <v>-2.4068296897406625</v>
      </c>
      <c r="N152" s="408">
        <f>skemA7!$M$21*COS(RADIANS(skemA7!$M$28*E152-skemA7!$M$22))</f>
        <v>7.5293211067074184</v>
      </c>
      <c r="O152" s="409">
        <f>skemA7!$D$21+'Forcasting Pasut'!F152+'Forcasting Pasut'!G152+K152+L152+'Forcasting Pasut'!H152+'Forcasting Pasut'!I152+'Forcasting Pasut'!J152+'Forcasting Pasut'!M152+'Forcasting Pasut'!N152</f>
        <v>197.1222879792297</v>
      </c>
      <c r="P152" s="405"/>
      <c r="Q152" s="406">
        <f>AE138</f>
        <v>123.10000000000001</v>
      </c>
      <c r="R152" s="406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  <c r="AC152" s="406"/>
      <c r="AD152" s="406"/>
      <c r="AE152" s="406"/>
      <c r="AF152" s="406"/>
      <c r="AG152" s="406"/>
      <c r="AH152" s="406"/>
      <c r="AI152" s="406"/>
      <c r="AJ152" s="406"/>
      <c r="AK152" s="406"/>
      <c r="AL152" s="406"/>
      <c r="AM152" s="406"/>
      <c r="AN152" s="406"/>
      <c r="AO152" s="407"/>
      <c r="AP152" s="410"/>
    </row>
    <row r="153" spans="1:42">
      <c r="A153" s="402"/>
      <c r="B153" s="77"/>
      <c r="D153" s="131"/>
      <c r="E153" s="113">
        <f t="shared" si="2"/>
        <v>135</v>
      </c>
      <c r="F153" s="408">
        <f>skemA7!$E$21*COS(RADIANS(skemA7!$E$28*E153-skemA7!$E$22))</f>
        <v>21.824221513243103</v>
      </c>
      <c r="G153" s="408">
        <f>skemA7!$F$21*COS(RADIANS(skemA7!$F$28*E153-skemA7!$F$22))</f>
        <v>-15.331308956068824</v>
      </c>
      <c r="H153" s="408">
        <f>skemA7!$G$21*COS(RADIANS(skemA7!$G$28*E153-skemA7!$G$22))</f>
        <v>8.8726274833767853</v>
      </c>
      <c r="I153" s="408">
        <f>skemA7!$H$21*COS(RADIANS(skemA7!$H$28*E153-skemA7!$H$22))</f>
        <v>8.420372999945144</v>
      </c>
      <c r="J153" s="408">
        <f>skemA7!$I$21*COS(RADIANS(skemA7!$I$28*E153-skemA7!$I$22))</f>
        <v>-25.426314082671759</v>
      </c>
      <c r="K153" s="408">
        <f>skemA7!$J$21*COS(RADIANS(skemA7!$J$28*E153-skemA7!$J$22))</f>
        <v>1.7003427431521614</v>
      </c>
      <c r="L153" s="408">
        <f>skemA7!$K$21*COS(RADIANS(skemA7!$K$28*E153-skemA7!$K$22))</f>
        <v>0.1230212335520259</v>
      </c>
      <c r="M153" s="408">
        <f>skemA7!$L$21*COS(RADIANS(skemA7!$L$28*E153-skemA7!$L$22))</f>
        <v>-4.9505577388790734</v>
      </c>
      <c r="N153" s="408">
        <f>skemA7!$M$21*COS(RADIANS(skemA7!$M$28*E153-skemA7!$M$22))</f>
        <v>4.9289615330325534</v>
      </c>
      <c r="O153" s="409">
        <f>skemA7!$D$21+'Forcasting Pasut'!F153+'Forcasting Pasut'!G153+K153+L153+'Forcasting Pasut'!H153+'Forcasting Pasut'!I153+'Forcasting Pasut'!J153+'Forcasting Pasut'!M153+'Forcasting Pasut'!N153</f>
        <v>166.32968569419941</v>
      </c>
      <c r="P153" s="405"/>
      <c r="Q153" s="406">
        <f>AF138</f>
        <v>137.20000000000002</v>
      </c>
      <c r="R153" s="406"/>
      <c r="S153" s="406"/>
      <c r="T153" s="406"/>
      <c r="U153" s="406"/>
      <c r="V153" s="406"/>
      <c r="W153" s="406"/>
      <c r="X153" s="406"/>
      <c r="Y153" s="406"/>
      <c r="Z153" s="406"/>
      <c r="AA153" s="406"/>
      <c r="AB153" s="406"/>
      <c r="AC153" s="406"/>
      <c r="AD153" s="406"/>
      <c r="AE153" s="406"/>
      <c r="AF153" s="406"/>
      <c r="AG153" s="406"/>
      <c r="AH153" s="406"/>
      <c r="AI153" s="406"/>
      <c r="AJ153" s="406"/>
      <c r="AK153" s="406"/>
      <c r="AL153" s="406"/>
      <c r="AM153" s="406"/>
      <c r="AN153" s="406"/>
      <c r="AO153" s="407"/>
      <c r="AP153" s="410"/>
    </row>
    <row r="154" spans="1:42">
      <c r="A154" s="402"/>
      <c r="B154" s="77"/>
      <c r="D154" s="131"/>
      <c r="E154" s="113">
        <f t="shared" si="2"/>
        <v>136</v>
      </c>
      <c r="F154" s="408">
        <f>skemA7!$E$21*COS(RADIANS(skemA7!$E$28*E154-skemA7!$E$22))</f>
        <v>20.99655797362432</v>
      </c>
      <c r="G154" s="408">
        <f>skemA7!$F$21*COS(RADIANS(skemA7!$F$28*E154-skemA7!$F$22))</f>
        <v>-21.842967707503128</v>
      </c>
      <c r="H154" s="408">
        <f>skemA7!$G$21*COS(RADIANS(skemA7!$G$28*E154-skemA7!$G$22))</f>
        <v>0.58678366380533897</v>
      </c>
      <c r="I154" s="408">
        <f>skemA7!$H$21*COS(RADIANS(skemA7!$H$28*E154-skemA7!$H$22))</f>
        <v>-0.88644467941573279</v>
      </c>
      <c r="J154" s="408">
        <f>skemA7!$I$21*COS(RADIANS(skemA7!$I$28*E154-skemA7!$I$22))</f>
        <v>-27.19843148927745</v>
      </c>
      <c r="K154" s="408">
        <f>skemA7!$J$21*COS(RADIANS(skemA7!$J$28*E154-skemA7!$J$22))</f>
        <v>1.3518932401053212</v>
      </c>
      <c r="L154" s="408">
        <f>skemA7!$K$21*COS(RADIANS(skemA7!$K$28*E154-skemA7!$K$22))</f>
        <v>-2.7681208624378786</v>
      </c>
      <c r="M154" s="408">
        <f>skemA7!$L$21*COS(RADIANS(skemA7!$L$28*E154-skemA7!$L$22))</f>
        <v>-6.1606939710987874</v>
      </c>
      <c r="N154" s="408">
        <f>skemA7!$M$21*COS(RADIANS(skemA7!$M$28*E154-skemA7!$M$22))</f>
        <v>1.9945246948878146</v>
      </c>
      <c r="O154" s="409">
        <f>skemA7!$D$21+'Forcasting Pasut'!F154+'Forcasting Pasut'!G154+K154+L154+'Forcasting Pasut'!H154+'Forcasting Pasut'!I154+'Forcasting Pasut'!J154+'Forcasting Pasut'!M154+'Forcasting Pasut'!N154</f>
        <v>132.241419828207</v>
      </c>
      <c r="P154" s="405"/>
      <c r="Q154" s="406">
        <f>AG138</f>
        <v>158.80000000000001</v>
      </c>
      <c r="R154" s="406"/>
      <c r="S154" s="406"/>
      <c r="T154" s="406"/>
      <c r="U154" s="406"/>
      <c r="V154" s="406"/>
      <c r="W154" s="406"/>
      <c r="X154" s="406"/>
      <c r="Y154" s="406"/>
      <c r="Z154" s="406"/>
      <c r="AA154" s="406"/>
      <c r="AB154" s="406"/>
      <c r="AC154" s="406"/>
      <c r="AD154" s="406"/>
      <c r="AE154" s="406"/>
      <c r="AF154" s="406"/>
      <c r="AG154" s="406"/>
      <c r="AH154" s="406"/>
      <c r="AI154" s="406"/>
      <c r="AJ154" s="406"/>
      <c r="AK154" s="406"/>
      <c r="AL154" s="406"/>
      <c r="AM154" s="406"/>
      <c r="AN154" s="406"/>
      <c r="AO154" s="407"/>
      <c r="AP154" s="410"/>
    </row>
    <row r="155" spans="1:42">
      <c r="A155" s="402"/>
      <c r="B155" s="77"/>
      <c r="D155" s="131"/>
      <c r="E155" s="113">
        <f t="shared" si="2"/>
        <v>137</v>
      </c>
      <c r="F155" s="408">
        <f>skemA7!$E$21*COS(RADIANS(skemA7!$E$28*E155-skemA7!$E$22))</f>
        <v>14.909469038487943</v>
      </c>
      <c r="G155" s="408">
        <f>skemA7!$F$21*COS(RADIANS(skemA7!$F$28*E155-skemA7!$F$22))</f>
        <v>-22.501820901412813</v>
      </c>
      <c r="H155" s="408">
        <f>skemA7!$G$21*COS(RADIANS(skemA7!$G$28*E155-skemA7!$G$22))</f>
        <v>-7.8406905911021907</v>
      </c>
      <c r="I155" s="408">
        <f>skemA7!$H$21*COS(RADIANS(skemA7!$H$28*E155-skemA7!$H$22))</f>
        <v>-10.132523828810596</v>
      </c>
      <c r="J155" s="408">
        <f>skemA7!$I$21*COS(RADIANS(skemA7!$I$28*E155-skemA7!$I$22))</f>
        <v>-27.367795324395704</v>
      </c>
      <c r="K155" s="408">
        <f>skemA7!$J$21*COS(RADIANS(skemA7!$J$28*E155-skemA7!$J$22))</f>
        <v>-0.26627380461817429</v>
      </c>
      <c r="L155" s="408">
        <f>skemA7!$K$21*COS(RADIANS(skemA7!$K$28*E155-skemA7!$K$22))</f>
        <v>-2.9757215920839162</v>
      </c>
      <c r="M155" s="408">
        <f>skemA7!$L$21*COS(RADIANS(skemA7!$L$28*E155-skemA7!$L$22))</f>
        <v>-5.7112493035998879</v>
      </c>
      <c r="N155" s="408">
        <f>skemA7!$M$21*COS(RADIANS(skemA7!$M$28*E155-skemA7!$M$22))</f>
        <v>-1.0750978917192855</v>
      </c>
      <c r="O155" s="409">
        <f>skemA7!$D$21+'Forcasting Pasut'!F155+'Forcasting Pasut'!G155+K155+L155+'Forcasting Pasut'!H155+'Forcasting Pasut'!I155+'Forcasting Pasut'!J155+'Forcasting Pasut'!M155+'Forcasting Pasut'!N155</f>
        <v>103.20661476626259</v>
      </c>
      <c r="P155" s="405"/>
      <c r="Q155" s="406">
        <f>AH138</f>
        <v>176.89999999999998</v>
      </c>
      <c r="R155" s="406"/>
      <c r="S155" s="406"/>
      <c r="T155" s="406"/>
      <c r="U155" s="406"/>
      <c r="V155" s="406"/>
      <c r="W155" s="406"/>
      <c r="X155" s="406"/>
      <c r="Y155" s="406"/>
      <c r="Z155" s="406"/>
      <c r="AA155" s="406"/>
      <c r="AB155" s="406"/>
      <c r="AC155" s="406"/>
      <c r="AD155" s="406"/>
      <c r="AE155" s="406"/>
      <c r="AF155" s="406"/>
      <c r="AG155" s="406"/>
      <c r="AH155" s="406"/>
      <c r="AI155" s="406"/>
      <c r="AJ155" s="406"/>
      <c r="AK155" s="406"/>
      <c r="AL155" s="406"/>
      <c r="AM155" s="406"/>
      <c r="AN155" s="406"/>
      <c r="AO155" s="407"/>
      <c r="AP155" s="410"/>
    </row>
    <row r="156" spans="1:42">
      <c r="A156" s="402"/>
      <c r="B156" s="77"/>
      <c r="D156" s="131"/>
      <c r="E156" s="113">
        <f t="shared" si="2"/>
        <v>138</v>
      </c>
      <c r="F156" s="408">
        <f>skemA7!$E$21*COS(RADIANS(skemA7!$E$28*E156-skemA7!$E$22))</f>
        <v>5.0877089161400546</v>
      </c>
      <c r="G156" s="408">
        <f>skemA7!$F$21*COS(RADIANS(skemA7!$F$28*E156-skemA7!$F$22))</f>
        <v>-17.13132935655911</v>
      </c>
      <c r="H156" s="408">
        <f>skemA7!$G$21*COS(RADIANS(skemA7!$G$28*E156-skemA7!$G$22))</f>
        <v>-14.375677903632715</v>
      </c>
      <c r="I156" s="408">
        <f>skemA7!$H$21*COS(RADIANS(skemA7!$H$28*E156-skemA7!$H$22))</f>
        <v>-18.684329983512548</v>
      </c>
      <c r="J156" s="408">
        <f>skemA7!$I$21*COS(RADIANS(skemA7!$I$28*E156-skemA7!$I$22))</f>
        <v>-25.924425288547749</v>
      </c>
      <c r="K156" s="408">
        <f>skemA7!$J$21*COS(RADIANS(skemA7!$J$28*E156-skemA7!$J$22))</f>
        <v>-1.6343526688679344</v>
      </c>
      <c r="L156" s="408">
        <f>skemA7!$K$21*COS(RADIANS(skemA7!$K$28*E156-skemA7!$K$22))</f>
        <v>-0.29852343327136716</v>
      </c>
      <c r="M156" s="408">
        <f>skemA7!$L$21*COS(RADIANS(skemA7!$L$28*E156-skemA7!$L$22))</f>
        <v>-3.7232961008207441</v>
      </c>
      <c r="N156" s="408">
        <f>skemA7!$M$21*COS(RADIANS(skemA7!$M$28*E156-skemA7!$M$22))</f>
        <v>-4.071852033260341</v>
      </c>
      <c r="O156" s="409">
        <f>skemA7!$D$21+'Forcasting Pasut'!F156+'Forcasting Pasut'!G156+K156+L156+'Forcasting Pasut'!H156+'Forcasting Pasut'!I156+'Forcasting Pasut'!J156+'Forcasting Pasut'!M156+'Forcasting Pasut'!N156</f>
        <v>85.412241113184777</v>
      </c>
      <c r="P156" s="405"/>
      <c r="Q156" s="406">
        <f>AI138</f>
        <v>181.29999999999998</v>
      </c>
      <c r="R156" s="406"/>
      <c r="S156" s="406"/>
      <c r="T156" s="406"/>
      <c r="U156" s="406"/>
      <c r="V156" s="406"/>
      <c r="W156" s="406"/>
      <c r="X156" s="406"/>
      <c r="Y156" s="406"/>
      <c r="Z156" s="406"/>
      <c r="AA156" s="406"/>
      <c r="AB156" s="406"/>
      <c r="AC156" s="406"/>
      <c r="AD156" s="406"/>
      <c r="AE156" s="406"/>
      <c r="AF156" s="406"/>
      <c r="AG156" s="406"/>
      <c r="AH156" s="406"/>
      <c r="AI156" s="406"/>
      <c r="AJ156" s="406"/>
      <c r="AK156" s="406"/>
      <c r="AL156" s="406"/>
      <c r="AM156" s="406"/>
      <c r="AN156" s="406"/>
      <c r="AO156" s="407"/>
      <c r="AP156" s="410"/>
    </row>
    <row r="157" spans="1:42">
      <c r="A157" s="402"/>
      <c r="B157" s="77"/>
      <c r="D157" s="131"/>
      <c r="E157" s="113">
        <f t="shared" si="2"/>
        <v>139</v>
      </c>
      <c r="F157" s="408">
        <f>skemA7!$E$21*COS(RADIANS(skemA7!$E$28*E157-skemA7!$E$22))</f>
        <v>-6.008470828326538</v>
      </c>
      <c r="G157" s="408">
        <f>skemA7!$F$21*COS(RADIANS(skemA7!$F$28*E157-skemA7!$F$22))</f>
        <v>-7.1705119453440709</v>
      </c>
      <c r="H157" s="408">
        <f>skemA7!$G$21*COS(RADIANS(skemA7!$G$28*E157-skemA7!$G$22))</f>
        <v>-17.440845510318379</v>
      </c>
      <c r="I157" s="408">
        <f>skemA7!$H$21*COS(RADIANS(skemA7!$H$28*E157-skemA7!$H$22))</f>
        <v>-25.955899747888971</v>
      </c>
      <c r="J157" s="408">
        <f>skemA7!$I$21*COS(RADIANS(skemA7!$I$28*E157-skemA7!$I$22))</f>
        <v>-22.953376524742268</v>
      </c>
      <c r="K157" s="408">
        <f>skemA7!$J$21*COS(RADIANS(skemA7!$J$28*E157-skemA7!$J$22))</f>
        <v>-1.4674240403766323</v>
      </c>
      <c r="L157" s="408">
        <f>skemA7!$K$21*COS(RADIANS(skemA7!$K$28*E157-skemA7!$K$22))</f>
        <v>2.668076822421094</v>
      </c>
      <c r="M157" s="408">
        <f>skemA7!$L$21*COS(RADIANS(skemA7!$L$28*E157-skemA7!$L$22))</f>
        <v>-0.7323534423233663</v>
      </c>
      <c r="N157" s="408">
        <f>skemA7!$M$21*COS(RADIANS(skemA7!$M$28*E157-skemA7!$M$22))</f>
        <v>-6.7926224448653159</v>
      </c>
      <c r="O157" s="409">
        <f>skemA7!$D$21+'Forcasting Pasut'!F157+'Forcasting Pasut'!G157+K157+L157+'Forcasting Pasut'!H157+'Forcasting Pasut'!I157+'Forcasting Pasut'!J157+'Forcasting Pasut'!M157+'Forcasting Pasut'!N157</f>
        <v>80.314891303752773</v>
      </c>
      <c r="P157" s="405"/>
      <c r="Q157" s="406">
        <f>AJ138</f>
        <v>177.7</v>
      </c>
      <c r="R157" s="406"/>
      <c r="S157" s="406"/>
      <c r="T157" s="406"/>
      <c r="U157" s="406"/>
      <c r="V157" s="406"/>
      <c r="W157" s="406"/>
      <c r="X157" s="406"/>
      <c r="Y157" s="406"/>
      <c r="Z157" s="406"/>
      <c r="AA157" s="406"/>
      <c r="AB157" s="406"/>
      <c r="AC157" s="406"/>
      <c r="AD157" s="406"/>
      <c r="AE157" s="406"/>
      <c r="AF157" s="406"/>
      <c r="AG157" s="406"/>
      <c r="AH157" s="406"/>
      <c r="AI157" s="406"/>
      <c r="AJ157" s="406"/>
      <c r="AK157" s="406"/>
      <c r="AL157" s="406"/>
      <c r="AM157" s="406"/>
      <c r="AN157" s="406"/>
      <c r="AO157" s="407"/>
      <c r="AP157" s="410"/>
    </row>
    <row r="158" spans="1:42">
      <c r="A158" s="402"/>
      <c r="B158" s="77"/>
      <c r="D158" s="131"/>
      <c r="E158" s="113">
        <f t="shared" si="2"/>
        <v>140</v>
      </c>
      <c r="F158" s="408">
        <f>skemA7!$E$21*COS(RADIANS(skemA7!$E$28*E158-skemA7!$E$22))</f>
        <v>-15.599589405033248</v>
      </c>
      <c r="G158" s="408">
        <f>skemA7!$F$21*COS(RADIANS(skemA7!$F$28*E158-skemA7!$F$22))</f>
        <v>4.7116383509438711</v>
      </c>
      <c r="H158" s="408">
        <f>skemA7!$G$21*COS(RADIANS(skemA7!$G$28*E158-skemA7!$G$22))</f>
        <v>-16.296361937840615</v>
      </c>
      <c r="I158" s="408">
        <f>skemA7!$H$21*COS(RADIANS(skemA7!$H$28*E158-skemA7!$H$22))</f>
        <v>-31.448990571344908</v>
      </c>
      <c r="J158" s="408">
        <f>skemA7!$I$21*COS(RADIANS(skemA7!$I$28*E158-skemA7!$I$22))</f>
        <v>-18.629727475246487</v>
      </c>
      <c r="K158" s="408">
        <f>skemA7!$J$21*COS(RADIANS(skemA7!$J$28*E158-skemA7!$J$22))</f>
        <v>7.7730316204767558E-2</v>
      </c>
      <c r="L158" s="408">
        <f>skemA7!$K$21*COS(RADIANS(skemA7!$K$28*E158-skemA7!$K$22))</f>
        <v>3.0481229219325496</v>
      </c>
      <c r="M158" s="408">
        <f>skemA7!$L$21*COS(RADIANS(skemA7!$L$28*E158-skemA7!$L$22))</f>
        <v>2.4558721506007539</v>
      </c>
      <c r="N158" s="408">
        <f>skemA7!$M$21*COS(RADIANS(skemA7!$M$28*E158-skemA7!$M$22))</f>
        <v>-9.0529995850380125</v>
      </c>
      <c r="O158" s="409">
        <f>skemA7!$D$21+'Forcasting Pasut'!F158+'Forcasting Pasut'!G158+K158+L158+'Forcasting Pasut'!H158+'Forcasting Pasut'!I158+'Forcasting Pasut'!J158+'Forcasting Pasut'!M158+'Forcasting Pasut'!N158</f>
        <v>85.434013730695952</v>
      </c>
      <c r="P158" s="405"/>
      <c r="Q158" s="406">
        <f>AK138</f>
        <v>164.1</v>
      </c>
      <c r="R158" s="406"/>
      <c r="S158" s="406"/>
      <c r="T158" s="406"/>
      <c r="U158" s="406"/>
      <c r="V158" s="406"/>
      <c r="W158" s="406"/>
      <c r="X158" s="406"/>
      <c r="Y158" s="406"/>
      <c r="Z158" s="406"/>
      <c r="AA158" s="406"/>
      <c r="AB158" s="406"/>
      <c r="AC158" s="406"/>
      <c r="AD158" s="406"/>
      <c r="AE158" s="406"/>
      <c r="AF158" s="406"/>
      <c r="AG158" s="406"/>
      <c r="AH158" s="406"/>
      <c r="AI158" s="406"/>
      <c r="AJ158" s="406"/>
      <c r="AK158" s="406"/>
      <c r="AL158" s="406"/>
      <c r="AM158" s="406"/>
      <c r="AN158" s="406"/>
      <c r="AO158" s="407"/>
      <c r="AP158" s="410"/>
    </row>
    <row r="159" spans="1:42">
      <c r="A159" s="402"/>
      <c r="B159" s="77"/>
      <c r="D159" s="131"/>
      <c r="E159" s="113">
        <f t="shared" si="2"/>
        <v>141</v>
      </c>
      <c r="F159" s="408">
        <f>skemA7!$E$21*COS(RADIANS(skemA7!$E$28*E159-skemA7!$E$22))</f>
        <v>-21.283168623167668</v>
      </c>
      <c r="G159" s="408">
        <f>skemA7!$F$21*COS(RADIANS(skemA7!$F$28*E159-skemA7!$F$22))</f>
        <v>15.331308956068883</v>
      </c>
      <c r="H159" s="408">
        <f>skemA7!$G$21*COS(RADIANS(skemA7!$G$28*E159-skemA7!$G$22))</f>
        <v>-11.218468187105378</v>
      </c>
      <c r="I159" s="408">
        <f>skemA7!$H$21*COS(RADIANS(skemA7!$H$28*E159-skemA7!$H$22))</f>
        <v>-34.787219957223336</v>
      </c>
      <c r="J159" s="408">
        <f>skemA7!$I$21*COS(RADIANS(skemA7!$I$28*E159-skemA7!$I$22))</f>
        <v>-13.208262830812382</v>
      </c>
      <c r="K159" s="408">
        <f>skemA7!$J$21*COS(RADIANS(skemA7!$J$28*E159-skemA7!$J$22))</f>
        <v>1.5498792437497646</v>
      </c>
      <c r="L159" s="408">
        <f>skemA7!$K$21*COS(RADIANS(skemA7!$K$28*E159-skemA7!$K$22))</f>
        <v>0.47318101434411619</v>
      </c>
      <c r="M159" s="408">
        <f>skemA7!$L$21*COS(RADIANS(skemA7!$L$28*E159-skemA7!$L$22))</f>
        <v>4.9825296584343333</v>
      </c>
      <c r="N159" s="408">
        <f>skemA7!$M$21*COS(RADIANS(skemA7!$M$28*E159-skemA7!$M$22))</f>
        <v>-10.699778644489934</v>
      </c>
      <c r="O159" s="409">
        <f>skemA7!$D$21+'Forcasting Pasut'!F159+'Forcasting Pasut'!G159+K159+L159+'Forcasting Pasut'!H159+'Forcasting Pasut'!I159+'Forcasting Pasut'!J159+'Forcasting Pasut'!M159+'Forcasting Pasut'!N159</f>
        <v>97.308319595315609</v>
      </c>
      <c r="P159" s="405"/>
      <c r="Q159" s="406">
        <f>AL138</f>
        <v>140.79999999999998</v>
      </c>
      <c r="R159" s="406"/>
      <c r="S159" s="406"/>
      <c r="T159" s="406"/>
      <c r="U159" s="406"/>
      <c r="V159" s="406"/>
      <c r="W159" s="406"/>
      <c r="X159" s="406"/>
      <c r="Y159" s="406"/>
      <c r="Z159" s="406"/>
      <c r="AA159" s="406"/>
      <c r="AB159" s="406"/>
      <c r="AC159" s="406"/>
      <c r="AD159" s="406"/>
      <c r="AE159" s="406"/>
      <c r="AF159" s="406"/>
      <c r="AG159" s="406"/>
      <c r="AH159" s="406"/>
      <c r="AI159" s="406"/>
      <c r="AJ159" s="406"/>
      <c r="AK159" s="406"/>
      <c r="AL159" s="406"/>
      <c r="AM159" s="406"/>
      <c r="AN159" s="406"/>
      <c r="AO159" s="407"/>
      <c r="AP159" s="410"/>
    </row>
    <row r="160" spans="1:42">
      <c r="A160" s="402"/>
      <c r="B160" s="77"/>
      <c r="D160" s="131"/>
      <c r="E160" s="113">
        <f t="shared" si="2"/>
        <v>142</v>
      </c>
      <c r="F160" s="408">
        <f>skemA7!$E$21*COS(RADIANS(skemA7!$E$28*E160-skemA7!$E$22))</f>
        <v>-21.635529377095608</v>
      </c>
      <c r="G160" s="408">
        <f>skemA7!$F$21*COS(RADIANS(skemA7!$F$28*E160-skemA7!$F$22))</f>
        <v>21.842967707503153</v>
      </c>
      <c r="H160" s="408">
        <f>skemA7!$G$21*COS(RADIANS(skemA7!$G$28*E160-skemA7!$G$22))</f>
        <v>-3.4328021667104869</v>
      </c>
      <c r="I160" s="408">
        <f>skemA7!$H$21*COS(RADIANS(skemA7!$H$28*E160-skemA7!$H$22))</f>
        <v>-35.741854911468792</v>
      </c>
      <c r="J160" s="408">
        <f>skemA7!$I$21*COS(RADIANS(skemA7!$I$28*E160-skemA7!$I$22))</f>
        <v>-7.0084595371965204</v>
      </c>
      <c r="K160" s="408">
        <f>skemA7!$J$21*COS(RADIANS(skemA7!$J$28*E160-skemA7!$J$22))</f>
        <v>1.5663593322995319</v>
      </c>
      <c r="L160" s="408">
        <f>skemA7!$K$21*COS(RADIANS(skemA7!$K$28*E160-skemA7!$K$22))</f>
        <v>-2.5604839363713703</v>
      </c>
      <c r="M160" s="408">
        <f>skemA7!$L$21*COS(RADIANS(skemA7!$L$28*E160-skemA7!$L$22))</f>
        <v>6.1669826853750589</v>
      </c>
      <c r="N160" s="408">
        <f>skemA7!$M$21*COS(RADIANS(skemA7!$M$28*E160-skemA7!$M$22))</f>
        <v>-11.621343527278404</v>
      </c>
      <c r="O160" s="409">
        <f>skemA7!$D$21+'Forcasting Pasut'!F160+'Forcasting Pasut'!G160+K160+L160+'Forcasting Pasut'!H160+'Forcasting Pasut'!I160+'Forcasting Pasut'!J160+'Forcasting Pasut'!M160+'Forcasting Pasut'!N160</f>
        <v>113.74415523457381</v>
      </c>
      <c r="P160" s="405"/>
      <c r="Q160" s="406">
        <f>AM138</f>
        <v>115.10000000000001</v>
      </c>
      <c r="R160" s="406"/>
      <c r="S160" s="406"/>
      <c r="T160" s="406"/>
      <c r="U160" s="406"/>
      <c r="V160" s="406"/>
      <c r="W160" s="406"/>
      <c r="X160" s="406"/>
      <c r="Y160" s="406"/>
      <c r="Z160" s="406"/>
      <c r="AA160" s="406"/>
      <c r="AB160" s="406"/>
      <c r="AC160" s="406"/>
      <c r="AD160" s="406"/>
      <c r="AE160" s="406"/>
      <c r="AF160" s="406"/>
      <c r="AG160" s="406"/>
      <c r="AH160" s="406"/>
      <c r="AI160" s="406"/>
      <c r="AJ160" s="406"/>
      <c r="AK160" s="406"/>
      <c r="AL160" s="406"/>
      <c r="AM160" s="406"/>
      <c r="AN160" s="406"/>
      <c r="AO160" s="407"/>
      <c r="AP160" s="410"/>
    </row>
    <row r="161" spans="1:42">
      <c r="A161" s="402"/>
      <c r="B161" s="77"/>
      <c r="D161" s="131"/>
      <c r="E161" s="113">
        <f t="shared" si="2"/>
        <v>143</v>
      </c>
      <c r="F161" s="408">
        <f>skemA7!$E$21*COS(RADIANS(skemA7!$E$28*E161-skemA7!$E$22))</f>
        <v>-16.568408862031394</v>
      </c>
      <c r="G161" s="408">
        <f>skemA7!$F$21*COS(RADIANS(skemA7!$F$28*E161-skemA7!$F$22))</f>
        <v>22.501820901412795</v>
      </c>
      <c r="H161" s="408">
        <f>skemA7!$G$21*COS(RADIANS(skemA7!$G$28*E161-skemA7!$G$22))</f>
        <v>5.1814303174131444</v>
      </c>
      <c r="I161" s="408">
        <f>skemA7!$H$21*COS(RADIANS(skemA7!$H$28*E161-skemA7!$H$22))</f>
        <v>-34.247484557213745</v>
      </c>
      <c r="J161" s="408">
        <f>skemA7!$I$21*COS(RADIANS(skemA7!$I$28*E161-skemA7!$I$22))</f>
        <v>-0.39566060600887454</v>
      </c>
      <c r="K161" s="408">
        <f>skemA7!$J$21*COS(RADIANS(skemA7!$J$28*E161-skemA7!$J$22))</f>
        <v>0.11169224606590933</v>
      </c>
      <c r="L161" s="408">
        <f>skemA7!$K$21*COS(RADIANS(skemA7!$K$28*E161-skemA7!$K$22))</f>
        <v>-3.1119001333022984</v>
      </c>
      <c r="M161" s="408">
        <f>skemA7!$L$21*COS(RADIANS(skemA7!$L$28*E161-skemA7!$L$22))</f>
        <v>5.690160745314242</v>
      </c>
      <c r="N161" s="408">
        <f>skemA7!$M$21*COS(RADIANS(skemA7!$M$28*E161-skemA7!$M$22))</f>
        <v>-11.755232014331595</v>
      </c>
      <c r="O161" s="409">
        <f>skemA7!$D$21+'Forcasting Pasut'!F161+'Forcasting Pasut'!G161+K161+L161+'Forcasting Pasut'!H161+'Forcasting Pasut'!I161+'Forcasting Pasut'!J161+'Forcasting Pasut'!M161+'Forcasting Pasut'!N161</f>
        <v>133.57473700283543</v>
      </c>
      <c r="P161" s="405"/>
      <c r="Q161" s="406">
        <f>AN138</f>
        <v>90.4</v>
      </c>
      <c r="R161" s="406"/>
      <c r="S161" s="406"/>
      <c r="T161" s="406"/>
      <c r="U161" s="406"/>
      <c r="V161" s="406"/>
      <c r="W161" s="406"/>
      <c r="X161" s="406"/>
      <c r="Y161" s="406"/>
      <c r="Z161" s="406"/>
      <c r="AA161" s="406"/>
      <c r="AB161" s="406"/>
      <c r="AC161" s="406"/>
      <c r="AD161" s="406"/>
      <c r="AE161" s="406"/>
      <c r="AF161" s="406"/>
      <c r="AG161" s="406"/>
      <c r="AH161" s="406"/>
      <c r="AI161" s="406"/>
      <c r="AJ161" s="406"/>
      <c r="AK161" s="406"/>
      <c r="AL161" s="406"/>
      <c r="AM161" s="406"/>
      <c r="AN161" s="406"/>
      <c r="AO161" s="407"/>
      <c r="AP161" s="410"/>
    </row>
    <row r="162" spans="1:42">
      <c r="A162" s="402">
        <v>7</v>
      </c>
      <c r="B162" s="77">
        <f>skemA1!B11</f>
        <v>44715</v>
      </c>
      <c r="C162" s="43" t="e">
        <f>skemA1!#REF!</f>
        <v>#REF!</v>
      </c>
      <c r="D162" s="139" t="e">
        <f>skemA1!#REF!</f>
        <v>#REF!</v>
      </c>
      <c r="E162" s="113">
        <f t="shared" si="2"/>
        <v>144</v>
      </c>
      <c r="F162" s="408">
        <f>skemA7!$E$21*COS(RADIANS(skemA7!$E$28*E162-skemA7!$E$22))</f>
        <v>-7.3510695138733837</v>
      </c>
      <c r="G162" s="408">
        <f>skemA7!$F$21*COS(RADIANS(skemA7!$F$28*E162-skemA7!$F$22))</f>
        <v>17.131329356559274</v>
      </c>
      <c r="H162" s="408">
        <f>skemA7!$G$21*COS(RADIANS(skemA7!$G$28*E162-skemA7!$G$22))</f>
        <v>12.545034543145109</v>
      </c>
      <c r="I162" s="408">
        <f>skemA7!$H$21*COS(RADIANS(skemA7!$H$28*E162-skemA7!$H$22))</f>
        <v>-30.406502039399793</v>
      </c>
      <c r="J162" s="408">
        <f>skemA7!$I$21*COS(RADIANS(skemA7!$I$28*E162-skemA7!$I$22))</f>
        <v>6.2404538773873668</v>
      </c>
      <c r="K162" s="408">
        <f>skemA7!$J$21*COS(RADIANS(skemA7!$J$28*E162-skemA7!$J$22))</f>
        <v>-1.4478778013572107</v>
      </c>
      <c r="L162" s="408">
        <f>skemA7!$K$21*COS(RADIANS(skemA7!$K$28*E162-skemA7!$K$22))</f>
        <v>-0.6464998143918943</v>
      </c>
      <c r="M162" s="408">
        <f>skemA7!$L$21*COS(RADIANS(skemA7!$L$28*E162-skemA7!$L$22))</f>
        <v>3.6805111508442145</v>
      </c>
      <c r="N162" s="408">
        <f>skemA7!$M$21*COS(RADIANS(skemA7!$M$28*E162-skemA7!$M$22))</f>
        <v>-11.092369354467333</v>
      </c>
      <c r="O162" s="409">
        <f>skemA7!$D$21+'Forcasting Pasut'!F162+'Forcasting Pasut'!G162+K162+L162+'Forcasting Pasut'!H162+'Forcasting Pasut'!I162+'Forcasting Pasut'!J162+'Forcasting Pasut'!M162+'Forcasting Pasut'!N162</f>
        <v>154.82132936996362</v>
      </c>
      <c r="P162" s="405"/>
      <c r="Q162" s="406">
        <f>skemA1!C11</f>
        <v>74</v>
      </c>
      <c r="R162" s="406">
        <f>skemA1!D11</f>
        <v>75.400000000000006</v>
      </c>
      <c r="S162" s="406">
        <f>skemA1!E11</f>
        <v>94.699999999999989</v>
      </c>
      <c r="T162" s="406">
        <f>skemA1!F11</f>
        <v>130.5</v>
      </c>
      <c r="U162" s="406">
        <f>skemA1!G11</f>
        <v>175.4</v>
      </c>
      <c r="V162" s="406">
        <f>skemA1!H11</f>
        <v>218.5</v>
      </c>
      <c r="W162" s="406">
        <f>skemA1!I11</f>
        <v>254.70000000000002</v>
      </c>
      <c r="X162" s="406">
        <f>skemA1!J11</f>
        <v>275.8</v>
      </c>
      <c r="Y162" s="406">
        <f>skemA1!K11</f>
        <v>277.3</v>
      </c>
      <c r="Z162" s="406">
        <f>skemA1!L11</f>
        <v>259.8</v>
      </c>
      <c r="AA162" s="406">
        <f>skemA1!M11</f>
        <v>227.8</v>
      </c>
      <c r="AB162" s="406">
        <f>skemA1!N11</f>
        <v>188.7</v>
      </c>
      <c r="AC162" s="406">
        <f>skemA1!O11</f>
        <v>156.20000000000002</v>
      </c>
      <c r="AD162" s="406">
        <f>skemA1!P11</f>
        <v>134.9</v>
      </c>
      <c r="AE162" s="406">
        <f>skemA1!Q11</f>
        <v>128</v>
      </c>
      <c r="AF162" s="406">
        <f>skemA1!R11</f>
        <v>135</v>
      </c>
      <c r="AG162" s="406">
        <f>skemA1!S11</f>
        <v>152.69999999999999</v>
      </c>
      <c r="AH162" s="406">
        <f>skemA1!T11</f>
        <v>168</v>
      </c>
      <c r="AI162" s="406">
        <f>skemA1!U11</f>
        <v>177.89999999999998</v>
      </c>
      <c r="AJ162" s="406">
        <f>skemA1!V11</f>
        <v>176.6</v>
      </c>
      <c r="AK162" s="406">
        <f>skemA1!W11</f>
        <v>168.3</v>
      </c>
      <c r="AL162" s="406">
        <f>skemA1!X11</f>
        <v>147.5</v>
      </c>
      <c r="AM162" s="406">
        <f>skemA1!Y11</f>
        <v>126.29999999999998</v>
      </c>
      <c r="AN162" s="406">
        <f>skemA1!Z11</f>
        <v>102.3</v>
      </c>
      <c r="AO162" s="407">
        <f>SUM(Q162:AN162)</f>
        <v>4026.3</v>
      </c>
      <c r="AP162" s="407">
        <f>AVERAGE(Q162:AN162)</f>
        <v>167.76250000000002</v>
      </c>
    </row>
    <row r="163" spans="1:42">
      <c r="A163" s="402"/>
      <c r="B163" s="77"/>
      <c r="D163" s="131"/>
      <c r="E163" s="113">
        <f t="shared" si="2"/>
        <v>145</v>
      </c>
      <c r="F163" s="408">
        <f>skemA7!$E$21*COS(RADIANS(skemA7!$E$28*E163-skemA7!$E$22))</f>
        <v>3.7076383926003773</v>
      </c>
      <c r="G163" s="408">
        <f>skemA7!$F$21*COS(RADIANS(skemA7!$F$28*E163-skemA7!$F$22))</f>
        <v>7.1705119453439954</v>
      </c>
      <c r="H163" s="408">
        <f>skemA7!$G$21*COS(RADIANS(skemA7!$G$28*E163-skemA7!$G$22))</f>
        <v>16.880676653969545</v>
      </c>
      <c r="I163" s="408">
        <f>skemA7!$H$21*COS(RADIANS(skemA7!$H$28*E163-skemA7!$H$22))</f>
        <v>-24.482088622661653</v>
      </c>
      <c r="J163" s="408">
        <f>skemA7!$I$21*COS(RADIANS(skemA7!$I$28*E163-skemA7!$I$22))</f>
        <v>12.508829884995743</v>
      </c>
      <c r="K163" s="408">
        <f>skemA7!$J$21*COS(RADIANS(skemA7!$J$28*E163-skemA7!$J$22))</f>
        <v>-1.6475802290234562</v>
      </c>
      <c r="L163" s="408">
        <f>skemA7!$K$21*COS(RADIANS(skemA7!$K$28*E163-skemA7!$K$22))</f>
        <v>2.4456466191105495</v>
      </c>
      <c r="M163" s="408">
        <f>skemA7!$L$21*COS(RADIANS(skemA7!$L$28*E163-skemA7!$L$22))</f>
        <v>0.6793976018592266</v>
      </c>
      <c r="N163" s="408">
        <f>skemA7!$M$21*COS(RADIANS(skemA7!$M$28*E163-skemA7!$M$22))</f>
        <v>-9.6776833367630175</v>
      </c>
      <c r="O163" s="409">
        <f>skemA7!$D$21+'Forcasting Pasut'!F163+'Forcasting Pasut'!G163+K163+L163+'Forcasting Pasut'!H163+'Forcasting Pasut'!I163+'Forcasting Pasut'!J163+'Forcasting Pasut'!M163+'Forcasting Pasut'!N163</f>
        <v>173.7536678749486</v>
      </c>
      <c r="P163" s="405"/>
      <c r="Q163" s="406">
        <f>R162</f>
        <v>75.400000000000006</v>
      </c>
      <c r="R163" s="406"/>
      <c r="S163" s="406"/>
      <c r="T163" s="406"/>
      <c r="U163" s="406"/>
      <c r="V163" s="406"/>
      <c r="W163" s="406"/>
      <c r="X163" s="406"/>
      <c r="Y163" s="406"/>
      <c r="Z163" s="406"/>
      <c r="AA163" s="406"/>
      <c r="AB163" s="406"/>
      <c r="AC163" s="406"/>
      <c r="AD163" s="406"/>
      <c r="AE163" s="406"/>
      <c r="AF163" s="406"/>
      <c r="AG163" s="406"/>
      <c r="AH163" s="406"/>
      <c r="AI163" s="406"/>
      <c r="AJ163" s="406"/>
      <c r="AK163" s="406"/>
      <c r="AL163" s="406"/>
      <c r="AM163" s="406"/>
      <c r="AN163" s="406"/>
      <c r="AO163" s="407"/>
      <c r="AP163" s="407"/>
    </row>
    <row r="164" spans="1:42">
      <c r="A164" s="402"/>
      <c r="B164" s="77"/>
      <c r="D164" s="131"/>
      <c r="E164" s="113">
        <f t="shared" si="2"/>
        <v>146</v>
      </c>
      <c r="F164" s="408">
        <f>skemA7!$E$21*COS(RADIANS(skemA7!$E$28*E164-skemA7!$E$22))</f>
        <v>13.837620383905831</v>
      </c>
      <c r="G164" s="408">
        <f>skemA7!$F$21*COS(RADIANS(skemA7!$F$28*E164-skemA7!$F$22))</f>
        <v>-4.7116383509439483</v>
      </c>
      <c r="H164" s="408">
        <f>skemA7!$G$21*COS(RADIANS(skemA7!$G$28*E164-skemA7!$G$22))</f>
        <v>17.141874074631716</v>
      </c>
      <c r="I164" s="408">
        <f>skemA7!$H$21*COS(RADIANS(skemA7!$H$28*E164-skemA7!$H$22))</f>
        <v>-16.880180706866856</v>
      </c>
      <c r="J164" s="408">
        <f>skemA7!$I$21*COS(RADIANS(skemA7!$I$28*E164-skemA7!$I$22))</f>
        <v>18.040083541221207</v>
      </c>
      <c r="K164" s="408">
        <f>skemA7!$J$21*COS(RADIANS(skemA7!$J$28*E164-skemA7!$J$22))</f>
        <v>-0.29985164952838861</v>
      </c>
      <c r="L164" s="408">
        <f>skemA7!$K$21*COS(RADIANS(skemA7!$K$28*E164-skemA7!$K$22))</f>
        <v>3.1668727799837444</v>
      </c>
      <c r="M164" s="408">
        <f>skemA7!$L$21*COS(RADIANS(skemA7!$L$28*E164-skemA7!$L$22))</f>
        <v>-2.5047335241470532</v>
      </c>
      <c r="N164" s="408">
        <f>skemA7!$M$21*COS(RADIANS(skemA7!$M$28*E164-skemA7!$M$22))</f>
        <v>-7.6070591556375273</v>
      </c>
      <c r="O164" s="409">
        <f>skemA7!$D$21+'Forcasting Pasut'!F164+'Forcasting Pasut'!G164+K164+L164+'Forcasting Pasut'!H164+'Forcasting Pasut'!I164+'Forcasting Pasut'!J164+'Forcasting Pasut'!M164+'Forcasting Pasut'!N164</f>
        <v>186.35130635813596</v>
      </c>
      <c r="P164" s="405"/>
      <c r="Q164" s="406">
        <f>S162</f>
        <v>94.699999999999989</v>
      </c>
      <c r="R164" s="406"/>
      <c r="S164" s="406"/>
      <c r="T164" s="406"/>
      <c r="U164" s="406"/>
      <c r="V164" s="406"/>
      <c r="W164" s="406"/>
      <c r="X164" s="406"/>
      <c r="Y164" s="406"/>
      <c r="Z164" s="406"/>
      <c r="AA164" s="406"/>
      <c r="AB164" s="406"/>
      <c r="AC164" s="406"/>
      <c r="AD164" s="406"/>
      <c r="AE164" s="406"/>
      <c r="AF164" s="406"/>
      <c r="AG164" s="406"/>
      <c r="AH164" s="406"/>
      <c r="AI164" s="406"/>
      <c r="AJ164" s="406"/>
      <c r="AK164" s="406"/>
      <c r="AL164" s="406"/>
      <c r="AM164" s="406"/>
      <c r="AN164" s="406"/>
      <c r="AO164" s="407"/>
      <c r="AP164" s="407"/>
    </row>
    <row r="165" spans="1:42">
      <c r="A165" s="402"/>
      <c r="B165" s="77"/>
      <c r="D165" s="131"/>
      <c r="E165" s="113">
        <f t="shared" si="2"/>
        <v>147</v>
      </c>
      <c r="F165" s="408">
        <f>skemA7!$E$21*COS(RADIANS(skemA7!$E$28*E165-skemA7!$E$22))</f>
        <v>20.501418434392384</v>
      </c>
      <c r="G165" s="408">
        <f>skemA7!$F$21*COS(RADIANS(skemA7!$F$28*E165-skemA7!$F$22))</f>
        <v>-15.331308956068941</v>
      </c>
      <c r="H165" s="408">
        <f>skemA7!$G$21*COS(RADIANS(skemA7!$G$28*E165-skemA7!$G$22))</f>
        <v>13.265582268143026</v>
      </c>
      <c r="I165" s="408">
        <f>skemA7!$H$21*COS(RADIANS(skemA7!$H$28*E165-skemA7!$H$22))</f>
        <v>-8.1216553669910478</v>
      </c>
      <c r="J165" s="408">
        <f>skemA7!$I$21*COS(RADIANS(skemA7!$I$28*E165-skemA7!$I$22))</f>
        <v>22.508268235656622</v>
      </c>
      <c r="K165" s="408">
        <f>skemA7!$J$21*COS(RADIANS(skemA7!$J$28*E165-skemA7!$J$22))</f>
        <v>1.3295019044929024</v>
      </c>
      <c r="L165" s="408">
        <f>skemA7!$K$21*COS(RADIANS(skemA7!$K$28*E165-skemA7!$K$22))</f>
        <v>0.81798945887781016</v>
      </c>
      <c r="M165" s="408">
        <f>skemA7!$L$21*COS(RADIANS(skemA7!$L$28*E165-skemA7!$L$22))</f>
        <v>-5.014134183900703</v>
      </c>
      <c r="N165" s="408">
        <f>skemA7!$M$21*COS(RADIANS(skemA7!$M$28*E165-skemA7!$M$22))</f>
        <v>-5.0208404631035739</v>
      </c>
      <c r="O165" s="409">
        <f>skemA7!$D$21+'Forcasting Pasut'!F165+'Forcasting Pasut'!G165+K165+L165+'Forcasting Pasut'!H165+'Forcasting Pasut'!I165+'Forcasting Pasut'!J165+'Forcasting Pasut'!M165+'Forcasting Pasut'!N165</f>
        <v>191.10314029701573</v>
      </c>
      <c r="P165" s="405"/>
      <c r="Q165" s="406">
        <f>T162</f>
        <v>130.5</v>
      </c>
      <c r="R165" s="406"/>
      <c r="S165" s="406"/>
      <c r="T165" s="406"/>
      <c r="U165" s="406"/>
      <c r="V165" s="406"/>
      <c r="W165" s="406"/>
      <c r="X165" s="406"/>
      <c r="Y165" s="406"/>
      <c r="Z165" s="406"/>
      <c r="AA165" s="406"/>
      <c r="AB165" s="406"/>
      <c r="AC165" s="406"/>
      <c r="AD165" s="406"/>
      <c r="AE165" s="406"/>
      <c r="AF165" s="406"/>
      <c r="AG165" s="406"/>
      <c r="AH165" s="406"/>
      <c r="AI165" s="406"/>
      <c r="AJ165" s="406"/>
      <c r="AK165" s="406"/>
      <c r="AL165" s="406"/>
      <c r="AM165" s="406"/>
      <c r="AN165" s="406"/>
      <c r="AO165" s="407"/>
      <c r="AP165" s="407"/>
    </row>
    <row r="166" spans="1:42">
      <c r="A166" s="402"/>
      <c r="B166" s="77"/>
      <c r="D166" s="131"/>
      <c r="E166" s="113">
        <f t="shared" si="2"/>
        <v>148</v>
      </c>
      <c r="F166" s="408">
        <f>skemA7!$E$21*COS(RADIANS(skemA7!$E$28*E166-skemA7!$E$22))</f>
        <v>22.029818535680686</v>
      </c>
      <c r="G166" s="408">
        <f>skemA7!$F$21*COS(RADIANS(skemA7!$F$28*E166-skemA7!$F$22))</f>
        <v>-21.842967707503178</v>
      </c>
      <c r="H166" s="408">
        <f>skemA7!$G$21*COS(RADIANS(skemA7!$G$28*E166-skemA7!$G$22))</f>
        <v>6.1874116304740054</v>
      </c>
      <c r="I166" s="408">
        <f>skemA7!$H$21*COS(RADIANS(skemA7!$H$28*E166-skemA7!$H$22))</f>
        <v>1.1933597565524372</v>
      </c>
      <c r="J166" s="408">
        <f>skemA7!$I$21*COS(RADIANS(skemA7!$I$28*E166-skemA7!$I$22))</f>
        <v>25.650082057679047</v>
      </c>
      <c r="K166" s="408">
        <f>skemA7!$J$21*COS(RADIANS(skemA7!$J$28*E166-skemA7!$J$22))</f>
        <v>1.7101681807409881</v>
      </c>
      <c r="L166" s="408">
        <f>skemA7!$K$21*COS(RADIANS(skemA7!$K$28*E166-skemA7!$K$22))</f>
        <v>-2.3238897822829334</v>
      </c>
      <c r="M166" s="408">
        <f>skemA7!$L$21*COS(RADIANS(skemA7!$L$28*E166-skemA7!$L$22))</f>
        <v>-6.1728166681915004</v>
      </c>
      <c r="N166" s="408">
        <f>skemA7!$M$21*COS(RADIANS(skemA7!$M$28*E166-skemA7!$M$22))</f>
        <v>-2.0943170966516456</v>
      </c>
      <c r="O166" s="409">
        <f>skemA7!$D$21+'Forcasting Pasut'!F166+'Forcasting Pasut'!G166+K166+L166+'Forcasting Pasut'!H166+'Forcasting Pasut'!I166+'Forcasting Pasut'!J166+'Forcasting Pasut'!M166+'Forcasting Pasut'!N166</f>
        <v>190.50516787201514</v>
      </c>
      <c r="P166" s="405"/>
      <c r="Q166" s="406">
        <f>U162</f>
        <v>175.4</v>
      </c>
      <c r="R166" s="406"/>
      <c r="S166" s="406"/>
      <c r="T166" s="406"/>
      <c r="U166" s="406"/>
      <c r="V166" s="406"/>
      <c r="W166" s="406"/>
      <c r="X166" s="406"/>
      <c r="Y166" s="406"/>
      <c r="Z166" s="406"/>
      <c r="AA166" s="406"/>
      <c r="AB166" s="406"/>
      <c r="AC166" s="406"/>
      <c r="AD166" s="406"/>
      <c r="AE166" s="406"/>
      <c r="AF166" s="406"/>
      <c r="AG166" s="406"/>
      <c r="AH166" s="406"/>
      <c r="AI166" s="406"/>
      <c r="AJ166" s="406"/>
      <c r="AK166" s="406"/>
      <c r="AL166" s="406"/>
      <c r="AM166" s="406"/>
      <c r="AN166" s="406"/>
      <c r="AO166" s="407"/>
      <c r="AP166" s="407"/>
    </row>
    <row r="167" spans="1:42">
      <c r="A167" s="402"/>
      <c r="B167" s="77"/>
      <c r="D167" s="131"/>
      <c r="E167" s="113">
        <f t="shared" si="2"/>
        <v>149</v>
      </c>
      <c r="F167" s="408">
        <f>skemA7!$E$21*COS(RADIANS(skemA7!$E$28*E167-skemA7!$E$22))</f>
        <v>18.039971921924039</v>
      </c>
      <c r="G167" s="408">
        <f>skemA7!$F$21*COS(RADIANS(skemA7!$F$28*E167-skemA7!$F$22))</f>
        <v>-22.501820901412845</v>
      </c>
      <c r="H167" s="408">
        <f>skemA7!$G$21*COS(RADIANS(skemA7!$G$28*E167-skemA7!$G$22))</f>
        <v>-2.3841983390661659</v>
      </c>
      <c r="I167" s="408">
        <f>skemA7!$H$21*COS(RADIANS(skemA7!$H$28*E167-skemA7!$H$22))</f>
        <v>10.426606757372946</v>
      </c>
      <c r="J167" s="408">
        <f>skemA7!$I$21*COS(RADIANS(skemA7!$I$28*E167-skemA7!$I$22))</f>
        <v>27.280383694041252</v>
      </c>
      <c r="K167" s="408">
        <f>skemA7!$J$21*COS(RADIANS(skemA7!$J$28*E167-skemA7!$J$22))</f>
        <v>0.48461994693288246</v>
      </c>
      <c r="L167" s="408">
        <f>skemA7!$K$21*COS(RADIANS(skemA7!$K$28*E167-skemA7!$K$22))</f>
        <v>-3.2128853267080379</v>
      </c>
      <c r="M167" s="408">
        <f>skemA7!$L$21*COS(RADIANS(skemA7!$L$28*E167-skemA7!$L$22))</f>
        <v>-5.668652614729659</v>
      </c>
      <c r="N167" s="408">
        <f>skemA7!$M$21*COS(RADIANS(skemA7!$M$28*E167-skemA7!$M$22))</f>
        <v>0.97415579038257305</v>
      </c>
      <c r="O167" s="409">
        <f>skemA7!$D$21+'Forcasting Pasut'!F167+'Forcasting Pasut'!G167+K167+L167+'Forcasting Pasut'!H167+'Forcasting Pasut'!I167+'Forcasting Pasut'!J167+'Forcasting Pasut'!M167+'Forcasting Pasut'!N167</f>
        <v>189.60649989425426</v>
      </c>
      <c r="P167" s="405"/>
      <c r="Q167" s="406">
        <f>V162</f>
        <v>218.5</v>
      </c>
      <c r="R167" s="406"/>
      <c r="S167" s="406"/>
      <c r="T167" s="406"/>
      <c r="U167" s="406"/>
      <c r="V167" s="406"/>
      <c r="W167" s="406"/>
      <c r="X167" s="406"/>
      <c r="Y167" s="406"/>
      <c r="Z167" s="406"/>
      <c r="AA167" s="406"/>
      <c r="AB167" s="406"/>
      <c r="AC167" s="406"/>
      <c r="AD167" s="406"/>
      <c r="AE167" s="406"/>
      <c r="AF167" s="406"/>
      <c r="AG167" s="406"/>
      <c r="AH167" s="406"/>
      <c r="AI167" s="406"/>
      <c r="AJ167" s="406"/>
      <c r="AK167" s="406"/>
      <c r="AL167" s="406"/>
      <c r="AM167" s="406"/>
      <c r="AN167" s="406"/>
      <c r="AO167" s="407"/>
      <c r="AP167" s="407"/>
    </row>
    <row r="168" spans="1:42">
      <c r="A168" s="402"/>
      <c r="B168" s="77"/>
      <c r="D168" s="131"/>
      <c r="E168" s="113">
        <f t="shared" si="2"/>
        <v>150</v>
      </c>
      <c r="F168" s="408">
        <f>skemA7!$E$21*COS(RADIANS(skemA7!$E$28*E168-skemA7!$E$22))</f>
        <v>9.531294813198615</v>
      </c>
      <c r="G168" s="408">
        <f>skemA7!$F$21*COS(RADIANS(skemA7!$F$28*E168-skemA7!$F$22))</f>
        <v>-17.131329356559224</v>
      </c>
      <c r="H168" s="408">
        <f>skemA7!$G$21*COS(RADIANS(skemA7!$G$28*E168-skemA7!$G$22))</f>
        <v>-10.380340603014012</v>
      </c>
      <c r="I168" s="408">
        <f>skemA7!$H$21*COS(RADIANS(skemA7!$H$28*E168-skemA7!$H$22))</f>
        <v>18.945430420017459</v>
      </c>
      <c r="J168" s="408">
        <f>skemA7!$I$21*COS(RADIANS(skemA7!$I$28*E168-skemA7!$I$22))</f>
        <v>27.303102466133872</v>
      </c>
      <c r="K168" s="408">
        <f>skemA7!$J$21*COS(RADIANS(skemA7!$J$28*E168-skemA7!$J$22))</f>
        <v>-1.1960902992388465</v>
      </c>
      <c r="L168" s="408">
        <f>skemA7!$K$21*COS(RADIANS(skemA7!$K$28*E168-skemA7!$K$22))</f>
        <v>-0.98716474853329772</v>
      </c>
      <c r="M168" s="408">
        <f>skemA7!$L$21*COS(RADIANS(skemA7!$L$28*E168-skemA7!$L$22))</f>
        <v>-3.6374548130118267</v>
      </c>
      <c r="N168" s="408">
        <f>skemA7!$M$21*COS(RADIANS(skemA7!$M$28*E168-skemA7!$M$22))</f>
        <v>3.9766019292999317</v>
      </c>
      <c r="O168" s="409">
        <f>skemA7!$D$21+'Forcasting Pasut'!F168+'Forcasting Pasut'!G168+K168+L168+'Forcasting Pasut'!H168+'Forcasting Pasut'!I168+'Forcasting Pasut'!J168+'Forcasting Pasut'!M168+'Forcasting Pasut'!N168</f>
        <v>192.59236877380991</v>
      </c>
      <c r="P168" s="405"/>
      <c r="Q168" s="406">
        <f>W162</f>
        <v>254.70000000000002</v>
      </c>
      <c r="R168" s="406"/>
      <c r="S168" s="406"/>
      <c r="T168" s="406"/>
      <c r="U168" s="406"/>
      <c r="V168" s="406"/>
      <c r="W168" s="406"/>
      <c r="X168" s="406"/>
      <c r="Y168" s="406"/>
      <c r="Z168" s="406"/>
      <c r="AA168" s="406"/>
      <c r="AB168" s="406"/>
      <c r="AC168" s="406"/>
      <c r="AD168" s="406"/>
      <c r="AE168" s="406"/>
      <c r="AF168" s="406"/>
      <c r="AG168" s="406"/>
      <c r="AH168" s="406"/>
      <c r="AI168" s="406"/>
      <c r="AJ168" s="406"/>
      <c r="AK168" s="406"/>
      <c r="AL168" s="406"/>
      <c r="AM168" s="406"/>
      <c r="AN168" s="406"/>
      <c r="AO168" s="407"/>
      <c r="AP168" s="407"/>
    </row>
    <row r="169" spans="1:42">
      <c r="A169" s="402"/>
      <c r="B169" s="77"/>
      <c r="D169" s="131"/>
      <c r="E169" s="113">
        <f t="shared" si="2"/>
        <v>151</v>
      </c>
      <c r="F169" s="408">
        <f>skemA7!$E$21*COS(RADIANS(skemA7!$E$28*E169-skemA7!$E$22))</f>
        <v>-1.3648752386876668</v>
      </c>
      <c r="G169" s="408">
        <f>skemA7!$F$21*COS(RADIANS(skemA7!$F$28*E169-skemA7!$F$22))</f>
        <v>-7.1705119453439199</v>
      </c>
      <c r="H169" s="408">
        <f>skemA7!$G$21*COS(RADIANS(skemA7!$G$28*E169-skemA7!$G$22))</f>
        <v>-15.871007256061098</v>
      </c>
      <c r="I169" s="408">
        <f>skemA7!$H$21*COS(RADIANS(skemA7!$H$28*E169-skemA7!$H$22))</f>
        <v>26.1661272846721</v>
      </c>
      <c r="J169" s="408">
        <f>skemA7!$I$21*COS(RADIANS(skemA7!$I$28*E169-skemA7!$I$22))</f>
        <v>25.716899598479159</v>
      </c>
      <c r="K169" s="408">
        <f>skemA7!$J$21*COS(RADIANS(skemA7!$J$28*E169-skemA7!$J$22))</f>
        <v>-1.7534153628243137</v>
      </c>
      <c r="L169" s="408">
        <f>skemA7!$K$21*COS(RADIANS(skemA7!$K$28*E169-skemA7!$K$22))</f>
        <v>2.1955579150751294</v>
      </c>
      <c r="M169" s="408">
        <f>skemA7!$L$21*COS(RADIANS(skemA7!$L$28*E169-skemA7!$L$22))</f>
        <v>-0.62639166502234511</v>
      </c>
      <c r="N169" s="408">
        <f>skemA7!$M$21*COS(RADIANS(skemA7!$M$28*E169-skemA7!$M$22))</f>
        <v>6.7095202405962739</v>
      </c>
      <c r="O169" s="409">
        <f>skemA7!$D$21+'Forcasting Pasut'!F169+'Forcasting Pasut'!G169+K169+L169+'Forcasting Pasut'!H169+'Forcasting Pasut'!I169+'Forcasting Pasut'!J169+'Forcasting Pasut'!M169+'Forcasting Pasut'!N169</f>
        <v>200.17022253640059</v>
      </c>
      <c r="P169" s="405"/>
      <c r="Q169" s="406">
        <f>X162</f>
        <v>275.8</v>
      </c>
      <c r="R169" s="406"/>
      <c r="S169" s="406"/>
      <c r="T169" s="406"/>
      <c r="U169" s="406"/>
      <c r="V169" s="406"/>
      <c r="W169" s="406"/>
      <c r="X169" s="406"/>
      <c r="Y169" s="406"/>
      <c r="Z169" s="406"/>
      <c r="AA169" s="406"/>
      <c r="AB169" s="406"/>
      <c r="AC169" s="406"/>
      <c r="AD169" s="406"/>
      <c r="AE169" s="406"/>
      <c r="AF169" s="406"/>
      <c r="AG169" s="406"/>
      <c r="AH169" s="406"/>
      <c r="AI169" s="406"/>
      <c r="AJ169" s="406"/>
      <c r="AK169" s="406"/>
      <c r="AL169" s="406"/>
      <c r="AM169" s="406"/>
      <c r="AN169" s="406"/>
      <c r="AO169" s="407"/>
      <c r="AP169" s="407"/>
    </row>
    <row r="170" spans="1:42">
      <c r="A170" s="402"/>
      <c r="B170" s="77"/>
      <c r="D170" s="131"/>
      <c r="E170" s="113">
        <f t="shared" si="2"/>
        <v>152</v>
      </c>
      <c r="F170" s="408">
        <f>skemA7!$E$21*COS(RADIANS(skemA7!$E$28*E170-skemA7!$E$22))</f>
        <v>-11.919157848780934</v>
      </c>
      <c r="G170" s="408">
        <f>skemA7!$F$21*COS(RADIANS(skemA7!$F$28*E170-skemA7!$F$22))</f>
        <v>4.7116383509440256</v>
      </c>
      <c r="H170" s="408">
        <f>skemA7!$G$21*COS(RADIANS(skemA7!$G$28*E170-skemA7!$G$22))</f>
        <v>-17.530930475800083</v>
      </c>
      <c r="I170" s="408">
        <f>skemA7!$H$21*COS(RADIANS(skemA7!$H$28*E170-skemA7!$H$22))</f>
        <v>31.593940573983488</v>
      </c>
      <c r="J170" s="408">
        <f>skemA7!$I$21*COS(RADIANS(skemA7!$I$28*E170-skemA7!$I$22))</f>
        <v>22.615247110308921</v>
      </c>
      <c r="K170" s="408">
        <f>skemA7!$J$21*COS(RADIANS(skemA7!$J$28*E170-skemA7!$J$22))</f>
        <v>-0.66390754199510826</v>
      </c>
      <c r="L170" s="408">
        <f>skemA7!$K$21*COS(RADIANS(skemA7!$K$28*E170-skemA7!$K$22))</f>
        <v>3.2498075892061951</v>
      </c>
      <c r="M170" s="408">
        <f>skemA7!$L$21*COS(RADIANS(skemA7!$L$28*E170-skemA7!$L$22))</f>
        <v>2.5534102075150233</v>
      </c>
      <c r="N170" s="408">
        <f>skemA7!$M$21*COS(RADIANS(skemA7!$M$28*E170-skemA7!$M$22))</f>
        <v>8.9876778172305745</v>
      </c>
      <c r="O170" s="409">
        <f>skemA7!$D$21+'Forcasting Pasut'!F170+'Forcasting Pasut'!G170+K170+L170+'Forcasting Pasut'!H170+'Forcasting Pasut'!I170+'Forcasting Pasut'!J170+'Forcasting Pasut'!M170+'Forcasting Pasut'!N170</f>
        <v>209.76604474812933</v>
      </c>
      <c r="P170" s="405"/>
      <c r="Q170" s="406">
        <f>Y162</f>
        <v>277.3</v>
      </c>
      <c r="R170" s="406"/>
      <c r="S170" s="406"/>
      <c r="T170" s="406"/>
      <c r="U170" s="406"/>
      <c r="V170" s="406"/>
      <c r="W170" s="406"/>
      <c r="X170" s="406"/>
      <c r="Y170" s="406"/>
      <c r="Z170" s="406"/>
      <c r="AA170" s="406"/>
      <c r="AB170" s="406"/>
      <c r="AC170" s="406"/>
      <c r="AD170" s="406"/>
      <c r="AE170" s="406"/>
      <c r="AF170" s="406"/>
      <c r="AG170" s="406"/>
      <c r="AH170" s="406"/>
      <c r="AI170" s="406"/>
      <c r="AJ170" s="406"/>
      <c r="AK170" s="406"/>
      <c r="AL170" s="406"/>
      <c r="AM170" s="406"/>
      <c r="AN170" s="406"/>
      <c r="AO170" s="407"/>
      <c r="AP170" s="407"/>
    </row>
    <row r="171" spans="1:42">
      <c r="A171" s="402"/>
      <c r="B171" s="77"/>
      <c r="D171" s="131"/>
      <c r="E171" s="113">
        <f t="shared" si="2"/>
        <v>153</v>
      </c>
      <c r="F171" s="408">
        <f>skemA7!$E$21*COS(RADIANS(skemA7!$E$28*E171-skemA7!$E$22))</f>
        <v>-19.487811978157978</v>
      </c>
      <c r="G171" s="408">
        <f>skemA7!$F$21*COS(RADIANS(skemA7!$F$28*E171-skemA7!$F$22))</f>
        <v>15.331308956068755</v>
      </c>
      <c r="H171" s="408">
        <f>skemA7!$G$21*COS(RADIANS(skemA7!$G$28*E171-skemA7!$G$22))</f>
        <v>-14.959458944314488</v>
      </c>
      <c r="I171" s="408">
        <f>skemA7!$H$21*COS(RADIANS(skemA7!$H$28*E171-skemA7!$H$22))</f>
        <v>34.856960559372105</v>
      </c>
      <c r="J171" s="408">
        <f>skemA7!$I$21*COS(RADIANS(skemA7!$I$28*E171-skemA7!$I$22))</f>
        <v>18.180919681291005</v>
      </c>
      <c r="K171" s="408">
        <f>skemA7!$J$21*COS(RADIANS(skemA7!$J$28*E171-skemA7!$J$22))</f>
        <v>1.0491517747029662</v>
      </c>
      <c r="L171" s="408">
        <f>skemA7!$K$21*COS(RADIANS(skemA7!$K$28*E171-skemA7!$K$22))</f>
        <v>1.1535470321430887</v>
      </c>
      <c r="M171" s="408">
        <f>skemA7!$L$21*COS(RADIANS(skemA7!$L$28*E171-skemA7!$L$22))</f>
        <v>5.045368984872364</v>
      </c>
      <c r="N171" s="408">
        <f>skemA7!$M$21*COS(RADIANS(skemA7!$M$28*E171-skemA7!$M$22))</f>
        <v>10.656664719881299</v>
      </c>
      <c r="O171" s="409">
        <f>skemA7!$D$21+'Forcasting Pasut'!F171+'Forcasting Pasut'!G171+K171+L171+'Forcasting Pasut'!H171+'Forcasting Pasut'!I171+'Forcasting Pasut'!J171+'Forcasting Pasut'!M171+'Forcasting Pasut'!N171</f>
        <v>217.99496975137637</v>
      </c>
      <c r="P171" s="405"/>
      <c r="Q171" s="406">
        <f>Z162</f>
        <v>259.8</v>
      </c>
      <c r="R171" s="406"/>
      <c r="S171" s="406"/>
      <c r="T171" s="406"/>
      <c r="U171" s="406"/>
      <c r="V171" s="406"/>
      <c r="W171" s="406"/>
      <c r="X171" s="406"/>
      <c r="Y171" s="406"/>
      <c r="Z171" s="406"/>
      <c r="AA171" s="406"/>
      <c r="AB171" s="406"/>
      <c r="AC171" s="406"/>
      <c r="AD171" s="406"/>
      <c r="AE171" s="406"/>
      <c r="AF171" s="406"/>
      <c r="AG171" s="406"/>
      <c r="AH171" s="406"/>
      <c r="AI171" s="406"/>
      <c r="AJ171" s="406"/>
      <c r="AK171" s="406"/>
      <c r="AL171" s="406"/>
      <c r="AM171" s="406"/>
      <c r="AN171" s="406"/>
      <c r="AO171" s="407"/>
      <c r="AP171" s="407"/>
    </row>
    <row r="172" spans="1:42">
      <c r="A172" s="402"/>
      <c r="B172" s="77"/>
      <c r="D172" s="131"/>
      <c r="E172" s="113">
        <f t="shared" si="2"/>
        <v>154</v>
      </c>
      <c r="F172" s="408">
        <f>skemA7!$E$21*COS(RADIANS(skemA7!$E$28*E172-skemA7!$E$22))</f>
        <v>-22.174966323153701</v>
      </c>
      <c r="G172" s="408">
        <f>skemA7!$F$21*COS(RADIANS(skemA7!$F$28*E172-skemA7!$F$22))</f>
        <v>21.842967707503099</v>
      </c>
      <c r="H172" s="408">
        <f>skemA7!$G$21*COS(RADIANS(skemA7!$G$28*E172-skemA7!$G$22))</f>
        <v>-8.7772620069230438</v>
      </c>
      <c r="I172" s="408">
        <f>skemA7!$H$21*COS(RADIANS(skemA7!$H$28*E172-skemA7!$H$22))</f>
        <v>35.731607538951579</v>
      </c>
      <c r="J172" s="408">
        <f>skemA7!$I$21*COS(RADIANS(skemA7!$I$28*E172-skemA7!$I$22))</f>
        <v>12.675224075634128</v>
      </c>
      <c r="K172" s="408">
        <f>skemA7!$J$21*COS(RADIANS(skemA7!$J$28*E172-skemA7!$J$22))</f>
        <v>1.7768326808115744</v>
      </c>
      <c r="L172" s="408">
        <f>skemA7!$K$21*COS(RADIANS(skemA7!$K$28*E172-skemA7!$K$22))</f>
        <v>-2.0610141095458605</v>
      </c>
      <c r="M172" s="408">
        <f>skemA7!$L$21*COS(RADIANS(skemA7!$L$28*E172-skemA7!$L$22))</f>
        <v>6.178195489370867</v>
      </c>
      <c r="N172" s="408">
        <f>skemA7!$M$21*COS(RADIANS(skemA7!$M$28*E172-skemA7!$M$22))</f>
        <v>11.603359639904353</v>
      </c>
      <c r="O172" s="409">
        <f>skemA7!$D$21+'Forcasting Pasut'!F172+'Forcasting Pasut'!G172+K172+L172+'Forcasting Pasut'!H172+'Forcasting Pasut'!I172+'Forcasting Pasut'!J172+'Forcasting Pasut'!M172+'Forcasting Pasut'!N172</f>
        <v>222.96326365807022</v>
      </c>
      <c r="P172" s="405"/>
      <c r="Q172" s="406">
        <f>AA162</f>
        <v>227.8</v>
      </c>
      <c r="R172" s="406"/>
      <c r="S172" s="406"/>
      <c r="T172" s="406"/>
      <c r="U172" s="406"/>
      <c r="V172" s="406"/>
      <c r="W172" s="406"/>
      <c r="X172" s="406"/>
      <c r="Y172" s="406"/>
      <c r="Z172" s="406"/>
      <c r="AA172" s="406"/>
      <c r="AB172" s="406"/>
      <c r="AC172" s="406"/>
      <c r="AD172" s="406"/>
      <c r="AE172" s="406"/>
      <c r="AF172" s="406"/>
      <c r="AG172" s="406"/>
      <c r="AH172" s="406"/>
      <c r="AI172" s="406"/>
      <c r="AJ172" s="406"/>
      <c r="AK172" s="406"/>
      <c r="AL172" s="406"/>
      <c r="AM172" s="406"/>
      <c r="AN172" s="406"/>
      <c r="AO172" s="407"/>
      <c r="AP172" s="407"/>
    </row>
    <row r="173" spans="1:42">
      <c r="A173" s="402"/>
      <c r="B173" s="77"/>
      <c r="D173" s="131"/>
      <c r="E173" s="113">
        <f t="shared" si="2"/>
        <v>155</v>
      </c>
      <c r="F173" s="408">
        <f>skemA7!$E$21*COS(RADIANS(skemA7!$E$28*E173-skemA7!$E$22))</f>
        <v>-19.307515900489573</v>
      </c>
      <c r="G173" s="408">
        <f>skemA7!$F$21*COS(RADIANS(skemA7!$F$28*E173-skemA7!$F$22))</f>
        <v>22.501820901412831</v>
      </c>
      <c r="H173" s="408">
        <f>skemA7!$G$21*COS(RADIANS(skemA7!$G$28*E173-skemA7!$G$22))</f>
        <v>-0.47652033869297622</v>
      </c>
      <c r="I173" s="408">
        <f>skemA7!$H$21*COS(RADIANS(skemA7!$H$28*E173-skemA7!$H$22))</f>
        <v>34.15795135237191</v>
      </c>
      <c r="J173" s="408">
        <f>skemA7!$I$21*COS(RADIANS(skemA7!$I$28*E173-skemA7!$I$22))</f>
        <v>6.4226008148055307</v>
      </c>
      <c r="K173" s="408">
        <f>skemA7!$J$21*COS(RADIANS(skemA7!$J$28*E173-skemA7!$J$22))</f>
        <v>0.83568682122452631</v>
      </c>
      <c r="L173" s="408">
        <f>skemA7!$K$21*COS(RADIANS(skemA7!$K$28*E173-skemA7!$K$22))</f>
        <v>-3.2775351025421307</v>
      </c>
      <c r="M173" s="408">
        <f>skemA7!$L$21*COS(RADIANS(skemA7!$L$28*E173-skemA7!$L$22))</f>
        <v>5.646726497779575</v>
      </c>
      <c r="N173" s="408">
        <f>skemA7!$M$21*COS(RADIANS(skemA7!$M$28*E173-skemA7!$M$22))</f>
        <v>11.763597083807962</v>
      </c>
      <c r="O173" s="409">
        <f>skemA7!$D$21+'Forcasting Pasut'!F173+'Forcasting Pasut'!G173+K173+L173+'Forcasting Pasut'!H173+'Forcasting Pasut'!I173+'Forcasting Pasut'!J173+'Forcasting Pasut'!M173+'Forcasting Pasut'!N173</f>
        <v>224.43513109519492</v>
      </c>
      <c r="P173" s="405"/>
      <c r="Q173" s="406">
        <f>AB162</f>
        <v>188.7</v>
      </c>
      <c r="R173" s="406"/>
      <c r="S173" s="406"/>
      <c r="T173" s="406"/>
      <c r="U173" s="406"/>
      <c r="V173" s="406"/>
      <c r="W173" s="406"/>
      <c r="X173" s="406"/>
      <c r="Y173" s="406"/>
      <c r="Z173" s="406"/>
      <c r="AA173" s="406"/>
      <c r="AB173" s="406"/>
      <c r="AC173" s="406"/>
      <c r="AD173" s="406"/>
      <c r="AE173" s="406"/>
      <c r="AF173" s="406"/>
      <c r="AG173" s="406"/>
      <c r="AH173" s="406"/>
      <c r="AI173" s="406"/>
      <c r="AJ173" s="406"/>
      <c r="AK173" s="406"/>
      <c r="AL173" s="406"/>
      <c r="AM173" s="406"/>
      <c r="AN173" s="406"/>
      <c r="AO173" s="407"/>
      <c r="AP173" s="407"/>
    </row>
    <row r="174" spans="1:42">
      <c r="A174" s="402"/>
      <c r="B174" s="77"/>
      <c r="D174" s="131"/>
      <c r="E174" s="113">
        <f t="shared" si="2"/>
        <v>156</v>
      </c>
      <c r="F174" s="408">
        <f>skemA7!$E$21*COS(RADIANS(skemA7!$E$28*E174-skemA7!$E$22))</f>
        <v>-11.603728037233905</v>
      </c>
      <c r="G174" s="408">
        <f>skemA7!$F$21*COS(RADIANS(skemA7!$F$28*E174-skemA7!$F$22))</f>
        <v>17.131329356559171</v>
      </c>
      <c r="H174" s="408">
        <f>skemA7!$G$21*COS(RADIANS(skemA7!$G$28*E174-skemA7!$G$22))</f>
        <v>7.9392377950231703</v>
      </c>
      <c r="I174" s="408">
        <f>skemA7!$H$21*COS(RADIANS(skemA7!$H$28*E174-skemA7!$H$22))</f>
        <v>30.243817750821304</v>
      </c>
      <c r="J174" s="408">
        <f>skemA7!$I$21*COS(RADIANS(skemA7!$I$28*E174-skemA7!$I$22))</f>
        <v>-0.20849450601008793</v>
      </c>
      <c r="K174" s="408">
        <f>skemA7!$J$21*COS(RADIANS(skemA7!$J$28*E174-skemA7!$J$22))</f>
        <v>-0.890348099701472</v>
      </c>
      <c r="L174" s="408">
        <f>skemA7!$K$21*COS(RADIANS(skemA7!$K$28*E174-skemA7!$K$22))</f>
        <v>-1.3166655608022113</v>
      </c>
      <c r="M174" s="408">
        <f>skemA7!$L$21*COS(RADIANS(skemA7!$L$28*E174-skemA7!$L$22))</f>
        <v>3.594130262145284</v>
      </c>
      <c r="N174" s="408">
        <f>skemA7!$M$21*COS(RADIANS(skemA7!$M$28*E174-skemA7!$M$22))</f>
        <v>11.126516409534737</v>
      </c>
      <c r="O174" s="409">
        <f>skemA7!$D$21+'Forcasting Pasut'!F174+'Forcasting Pasut'!G174+K174+L174+'Forcasting Pasut'!H174+'Forcasting Pasut'!I174+'Forcasting Pasut'!J174+'Forcasting Pasut'!M174+'Forcasting Pasut'!N174</f>
        <v>222.18411433585322</v>
      </c>
      <c r="P174" s="405"/>
      <c r="Q174" s="406">
        <f>AC162</f>
        <v>156.20000000000002</v>
      </c>
      <c r="R174" s="406"/>
      <c r="S174" s="406"/>
      <c r="T174" s="406"/>
      <c r="U174" s="406"/>
      <c r="V174" s="406"/>
      <c r="W174" s="406"/>
      <c r="X174" s="406"/>
      <c r="Y174" s="406"/>
      <c r="Z174" s="406"/>
      <c r="AA174" s="406"/>
      <c r="AB174" s="406"/>
      <c r="AC174" s="406"/>
      <c r="AD174" s="406"/>
      <c r="AE174" s="406"/>
      <c r="AF174" s="406"/>
      <c r="AG174" s="406"/>
      <c r="AH174" s="406"/>
      <c r="AI174" s="406"/>
      <c r="AJ174" s="406"/>
      <c r="AK174" s="406"/>
      <c r="AL174" s="406"/>
      <c r="AM174" s="406"/>
      <c r="AN174" s="406"/>
      <c r="AO174" s="407"/>
      <c r="AP174" s="407"/>
    </row>
    <row r="175" spans="1:42">
      <c r="A175" s="402"/>
      <c r="B175" s="77"/>
      <c r="D175" s="131"/>
      <c r="E175" s="113">
        <f t="shared" si="2"/>
        <v>157</v>
      </c>
      <c r="F175" s="408">
        <f>skemA7!$E$21*COS(RADIANS(skemA7!$E$28*E175-skemA7!$E$22))</f>
        <v>-0.99332367053155646</v>
      </c>
      <c r="G175" s="408">
        <f>skemA7!$F$21*COS(RADIANS(skemA7!$F$28*E175-skemA7!$F$22))</f>
        <v>7.1705119453438444</v>
      </c>
      <c r="H175" s="408">
        <f>skemA7!$G$21*COS(RADIANS(skemA7!$G$28*E175-skemA7!$G$22))</f>
        <v>14.43872290598328</v>
      </c>
      <c r="I175" s="408">
        <f>skemA7!$H$21*COS(RADIANS(skemA7!$H$28*E175-skemA7!$H$22))</f>
        <v>24.257400256771604</v>
      </c>
      <c r="J175" s="408">
        <f>skemA7!$I$21*COS(RADIANS(skemA7!$I$28*E175-skemA7!$I$22))</f>
        <v>-6.8273036288414666</v>
      </c>
      <c r="K175" s="408">
        <f>skemA7!$J$21*COS(RADIANS(skemA7!$J$28*E175-skemA7!$J$22))</f>
        <v>-1.7801553017128353</v>
      </c>
      <c r="L175" s="408">
        <f>skemA7!$K$21*COS(RADIANS(skemA7!$K$28*E175-skemA7!$K$22))</f>
        <v>1.9206390333223331</v>
      </c>
      <c r="M175" s="408">
        <f>skemA7!$L$21*COS(RADIANS(skemA7!$L$28*E175-skemA7!$L$22))</f>
        <v>0.57333954028284562</v>
      </c>
      <c r="N175" s="408">
        <f>skemA7!$M$21*COS(RADIANS(skemA7!$M$28*E175-skemA7!$M$22))</f>
        <v>9.735297943707506</v>
      </c>
      <c r="O175" s="409">
        <f>skemA7!$D$21+'Forcasting Pasut'!F175+'Forcasting Pasut'!G175+K175+L175+'Forcasting Pasut'!H175+'Forcasting Pasut'!I175+'Forcasting Pasut'!J175+'Forcasting Pasut'!M175+'Forcasting Pasut'!N175</f>
        <v>214.66344798984281</v>
      </c>
      <c r="P175" s="405"/>
      <c r="Q175" s="406">
        <f>AD162</f>
        <v>134.9</v>
      </c>
      <c r="R175" s="406"/>
      <c r="S175" s="406"/>
      <c r="T175" s="406"/>
      <c r="U175" s="406"/>
      <c r="V175" s="406"/>
      <c r="W175" s="406"/>
      <c r="X175" s="406"/>
      <c r="Y175" s="406"/>
      <c r="Z175" s="406"/>
      <c r="AA175" s="406"/>
      <c r="AB175" s="406"/>
      <c r="AC175" s="406"/>
      <c r="AD175" s="406"/>
      <c r="AE175" s="406"/>
      <c r="AF175" s="406"/>
      <c r="AG175" s="406"/>
      <c r="AH175" s="406"/>
      <c r="AI175" s="406"/>
      <c r="AJ175" s="406"/>
      <c r="AK175" s="406"/>
      <c r="AL175" s="406"/>
      <c r="AM175" s="406"/>
      <c r="AN175" s="406"/>
      <c r="AO175" s="407"/>
      <c r="AP175" s="407"/>
    </row>
    <row r="176" spans="1:42">
      <c r="A176" s="402"/>
      <c r="B176" s="77"/>
      <c r="D176" s="131"/>
      <c r="E176" s="113">
        <f t="shared" si="2"/>
        <v>158</v>
      </c>
      <c r="F176" s="408">
        <f>skemA7!$E$21*COS(RADIANS(skemA7!$E$28*E176-skemA7!$E$22))</f>
        <v>9.8658982283265484</v>
      </c>
      <c r="G176" s="408">
        <f>skemA7!$F$21*COS(RADIANS(skemA7!$F$28*E176-skemA7!$F$22))</f>
        <v>-4.7116383509437831</v>
      </c>
      <c r="H176" s="408">
        <f>skemA7!$G$21*COS(RADIANS(skemA7!$G$28*E176-skemA7!$G$22))</f>
        <v>17.453171304082883</v>
      </c>
      <c r="I176" s="408">
        <f>skemA7!$H$21*COS(RADIANS(skemA7!$H$28*E176-skemA7!$H$22))</f>
        <v>16.60888374333928</v>
      </c>
      <c r="J176" s="408">
        <f>skemA7!$I$21*COS(RADIANS(skemA7!$I$28*E176-skemA7!$I$22))</f>
        <v>-13.043792298779314</v>
      </c>
      <c r="K176" s="408">
        <f>skemA7!$J$21*COS(RADIANS(skemA7!$J$28*E176-skemA7!$J$22))</f>
        <v>-0.99801508477163303</v>
      </c>
      <c r="L176" s="408">
        <f>skemA7!$K$21*COS(RADIANS(skemA7!$K$28*E176-skemA7!$K$22))</f>
        <v>3.2959894166774393</v>
      </c>
      <c r="M176" s="408">
        <f>skemA7!$L$21*COS(RADIANS(skemA7!$L$28*E176-skemA7!$L$22))</f>
        <v>-2.601898611458525</v>
      </c>
      <c r="N176" s="408">
        <f>skemA7!$M$21*COS(RADIANS(skemA7!$M$28*E176-skemA7!$M$22))</f>
        <v>7.6842362869696261</v>
      </c>
      <c r="O176" s="409">
        <f>skemA7!$D$21+'Forcasting Pasut'!F176+'Forcasting Pasut'!G176+K176+L176+'Forcasting Pasut'!H176+'Forcasting Pasut'!I176+'Forcasting Pasut'!J176+'Forcasting Pasut'!M176+'Forcasting Pasut'!N176</f>
        <v>199.72115359895975</v>
      </c>
      <c r="P176" s="405"/>
      <c r="Q176" s="406">
        <f>AE162</f>
        <v>128</v>
      </c>
      <c r="R176" s="406"/>
      <c r="S176" s="406"/>
      <c r="T176" s="406"/>
      <c r="U176" s="406"/>
      <c r="V176" s="406"/>
      <c r="W176" s="406"/>
      <c r="X176" s="406"/>
      <c r="Y176" s="406"/>
      <c r="Z176" s="406"/>
      <c r="AA176" s="406"/>
      <c r="AB176" s="406"/>
      <c r="AC176" s="406"/>
      <c r="AD176" s="406"/>
      <c r="AE176" s="406"/>
      <c r="AF176" s="406"/>
      <c r="AG176" s="406"/>
      <c r="AH176" s="406"/>
      <c r="AI176" s="406"/>
      <c r="AJ176" s="406"/>
      <c r="AK176" s="406"/>
      <c r="AL176" s="406"/>
      <c r="AM176" s="406"/>
      <c r="AN176" s="406"/>
      <c r="AO176" s="407"/>
      <c r="AP176" s="407"/>
    </row>
    <row r="177" spans="1:42">
      <c r="A177" s="402"/>
      <c r="B177" s="77"/>
      <c r="D177" s="131"/>
      <c r="E177" s="113">
        <f t="shared" si="2"/>
        <v>159</v>
      </c>
      <c r="F177" s="408">
        <f>skemA7!$E$21*COS(RADIANS(skemA7!$E$28*E177-skemA7!$E$22))</f>
        <v>18.253812412994574</v>
      </c>
      <c r="G177" s="408">
        <f>skemA7!$F$21*COS(RADIANS(skemA7!$F$28*E177-skemA7!$F$22))</f>
        <v>-15.331308956068813</v>
      </c>
      <c r="H177" s="408">
        <f>skemA7!$G$21*COS(RADIANS(skemA7!$G$28*E177-skemA7!$G$22))</f>
        <v>16.254993478476493</v>
      </c>
      <c r="I177" s="408">
        <f>skemA7!$H$21*COS(RADIANS(skemA7!$H$28*E177-skemA7!$H$22))</f>
        <v>7.8223388719370108</v>
      </c>
      <c r="J177" s="408">
        <f>skemA7!$I$21*COS(RADIANS(skemA7!$I$28*E177-skemA7!$I$22))</f>
        <v>-18.491634265658195</v>
      </c>
      <c r="K177" s="408">
        <f>skemA7!$J$21*COS(RADIANS(skemA7!$J$28*E177-skemA7!$J$22))</f>
        <v>0.72147522935156727</v>
      </c>
      <c r="L177" s="408">
        <f>skemA7!$K$21*COS(RADIANS(skemA7!$K$28*E177-skemA7!$K$22))</f>
        <v>1.4760588198170386</v>
      </c>
      <c r="M177" s="408">
        <f>skemA7!$L$21*COS(RADIANS(skemA7!$L$28*E177-skemA7!$L$22))</f>
        <v>-5.0762317582057266</v>
      </c>
      <c r="N177" s="408">
        <f>skemA7!$M$21*COS(RADIANS(skemA7!$M$28*E177-skemA7!$M$22))</f>
        <v>5.1123491741826106</v>
      </c>
      <c r="O177" s="409">
        <f>skemA7!$D$21+'Forcasting Pasut'!F177+'Forcasting Pasut'!G177+K177+L177+'Forcasting Pasut'!H177+'Forcasting Pasut'!I177+'Forcasting Pasut'!J177+'Forcasting Pasut'!M177+'Forcasting Pasut'!N177</f>
        <v>176.91017197234379</v>
      </c>
      <c r="P177" s="405"/>
      <c r="Q177" s="406">
        <f>AF162</f>
        <v>135</v>
      </c>
      <c r="R177" s="406"/>
      <c r="S177" s="406"/>
      <c r="T177" s="406"/>
      <c r="U177" s="406"/>
      <c r="V177" s="406"/>
      <c r="W177" s="406"/>
      <c r="X177" s="406"/>
      <c r="Y177" s="406"/>
      <c r="Z177" s="406"/>
      <c r="AA177" s="406"/>
      <c r="AB177" s="406"/>
      <c r="AC177" s="406"/>
      <c r="AD177" s="406"/>
      <c r="AE177" s="406"/>
      <c r="AF177" s="406"/>
      <c r="AG177" s="406"/>
      <c r="AH177" s="406"/>
      <c r="AI177" s="406"/>
      <c r="AJ177" s="406"/>
      <c r="AK177" s="406"/>
      <c r="AL177" s="406"/>
      <c r="AM177" s="406"/>
      <c r="AN177" s="406"/>
      <c r="AO177" s="407"/>
      <c r="AP177" s="407"/>
    </row>
    <row r="178" spans="1:42">
      <c r="A178" s="402"/>
      <c r="B178" s="77"/>
      <c r="D178" s="131"/>
      <c r="E178" s="113">
        <f t="shared" si="2"/>
        <v>160</v>
      </c>
      <c r="F178" s="408">
        <f>skemA7!$E$21*COS(RADIANS(skemA7!$E$28*E178-skemA7!$E$22))</f>
        <v>22.069331222643871</v>
      </c>
      <c r="G178" s="408">
        <f>skemA7!$F$21*COS(RADIANS(skemA7!$F$28*E178-skemA7!$F$22))</f>
        <v>-21.842967707503124</v>
      </c>
      <c r="H178" s="408">
        <f>skemA7!$G$21*COS(RADIANS(skemA7!$G$28*E178-skemA7!$G$22))</f>
        <v>11.133390471248051</v>
      </c>
      <c r="I178" s="408">
        <f>skemA7!$H$21*COS(RADIANS(skemA7!$H$28*E178-skemA7!$H$22))</f>
        <v>-1.5001868395675619</v>
      </c>
      <c r="J178" s="408">
        <f>skemA7!$I$21*COS(RADIANS(skemA7!$I$28*E178-skemA7!$I$22))</f>
        <v>-22.849798216596948</v>
      </c>
      <c r="K178" s="408">
        <f>skemA7!$J$21*COS(RADIANS(skemA7!$J$28*E178-skemA7!$J$22))</f>
        <v>1.7633456490802519</v>
      </c>
      <c r="L178" s="408">
        <f>skemA7!$K$21*COS(RADIANS(skemA7!$K$28*E178-skemA7!$K$22))</f>
        <v>-1.7748298525687309</v>
      </c>
      <c r="M178" s="408">
        <f>skemA7!$L$21*COS(RADIANS(skemA7!$L$28*E178-skemA7!$L$22))</f>
        <v>-6.1831187522979718</v>
      </c>
      <c r="N178" s="408">
        <f>skemA7!$M$21*COS(RADIANS(skemA7!$M$28*E178-skemA7!$M$22))</f>
        <v>2.1939550708906541</v>
      </c>
      <c r="O178" s="409">
        <f>skemA7!$D$21+'Forcasting Pasut'!F178+'Forcasting Pasut'!G178+K178+L178+'Forcasting Pasut'!H178+'Forcasting Pasut'!I178+'Forcasting Pasut'!J178+'Forcasting Pasut'!M178+'Forcasting Pasut'!N178</f>
        <v>149.17744001084574</v>
      </c>
      <c r="P178" s="405"/>
      <c r="Q178" s="406">
        <f>AG162</f>
        <v>152.69999999999999</v>
      </c>
      <c r="R178" s="406"/>
      <c r="S178" s="406"/>
      <c r="T178" s="406"/>
      <c r="U178" s="406"/>
      <c r="V178" s="406"/>
      <c r="W178" s="406"/>
      <c r="X178" s="406"/>
      <c r="Y178" s="406"/>
      <c r="Z178" s="406"/>
      <c r="AA178" s="406"/>
      <c r="AB178" s="406"/>
      <c r="AC178" s="406"/>
      <c r="AD178" s="406"/>
      <c r="AE178" s="406"/>
      <c r="AF178" s="406"/>
      <c r="AG178" s="406"/>
      <c r="AH178" s="406"/>
      <c r="AI178" s="406"/>
      <c r="AJ178" s="406"/>
      <c r="AK178" s="406"/>
      <c r="AL178" s="406"/>
      <c r="AM178" s="406"/>
      <c r="AN178" s="406"/>
      <c r="AO178" s="407"/>
      <c r="AP178" s="407"/>
    </row>
    <row r="179" spans="1:42">
      <c r="A179" s="402"/>
      <c r="B179" s="77"/>
      <c r="D179" s="131"/>
      <c r="E179" s="113">
        <f t="shared" si="2"/>
        <v>161</v>
      </c>
      <c r="F179" s="408">
        <f>skemA7!$E$21*COS(RADIANS(skemA7!$E$28*E179-skemA7!$E$22))</f>
        <v>20.356705788828428</v>
      </c>
      <c r="G179" s="408">
        <f>skemA7!$F$21*COS(RADIANS(skemA7!$F$28*E179-skemA7!$F$22))</f>
        <v>-22.501820901412817</v>
      </c>
      <c r="H179" s="408">
        <f>skemA7!$G$21*COS(RADIANS(skemA7!$G$28*E179-skemA7!$G$22))</f>
        <v>3.3245501797004922</v>
      </c>
      <c r="I179" s="408">
        <f>skemA7!$H$21*COS(RADIANS(skemA7!$H$28*E179-skemA7!$H$22))</f>
        <v>-10.719920864883944</v>
      </c>
      <c r="J179" s="408">
        <f>skemA7!$I$21*COS(RADIANS(skemA7!$I$28*E179-skemA7!$I$22))</f>
        <v>-25.861465561146446</v>
      </c>
      <c r="K179" s="408">
        <f>skemA7!$J$21*COS(RADIANS(skemA7!$J$28*E179-skemA7!$J$22))</f>
        <v>1.1490565169630018</v>
      </c>
      <c r="L179" s="408">
        <f>skemA7!$K$21*COS(RADIANS(skemA7!$K$28*E179-skemA7!$K$22))</f>
        <v>-3.3051183184318846</v>
      </c>
      <c r="M179" s="408">
        <f>skemA7!$L$21*COS(RADIANS(skemA7!$L$28*E179-skemA7!$L$22))</f>
        <v>-5.62438401121823</v>
      </c>
      <c r="N179" s="408">
        <f>skemA7!$M$21*COS(RADIANS(skemA7!$M$28*E179-skemA7!$M$22))</f>
        <v>-0.87314185824816071</v>
      </c>
      <c r="O179" s="409">
        <f>skemA7!$D$21+'Forcasting Pasut'!F179+'Forcasting Pasut'!G179+K179+L179+'Forcasting Pasut'!H179+'Forcasting Pasut'!I179+'Forcasting Pasut'!J179+'Forcasting Pasut'!M179+'Forcasting Pasut'!N179</f>
        <v>122.1127799356677</v>
      </c>
      <c r="P179" s="405"/>
      <c r="Q179" s="406">
        <f>AH162</f>
        <v>168</v>
      </c>
      <c r="R179" s="406"/>
      <c r="S179" s="406"/>
      <c r="T179" s="406"/>
      <c r="U179" s="406"/>
      <c r="V179" s="406"/>
      <c r="W179" s="406"/>
      <c r="X179" s="406"/>
      <c r="Y179" s="406"/>
      <c r="Z179" s="406"/>
      <c r="AA179" s="406"/>
      <c r="AB179" s="406"/>
      <c r="AC179" s="406"/>
      <c r="AD179" s="406"/>
      <c r="AE179" s="406"/>
      <c r="AF179" s="406"/>
      <c r="AG179" s="406"/>
      <c r="AH179" s="406"/>
      <c r="AI179" s="406"/>
      <c r="AJ179" s="406"/>
      <c r="AK179" s="406"/>
      <c r="AL179" s="406"/>
      <c r="AM179" s="406"/>
      <c r="AN179" s="406"/>
      <c r="AO179" s="407"/>
      <c r="AP179" s="407"/>
    </row>
    <row r="180" spans="1:42">
      <c r="A180" s="402"/>
      <c r="B180" s="77"/>
      <c r="D180" s="131"/>
      <c r="E180" s="113">
        <f t="shared" si="2"/>
        <v>162</v>
      </c>
      <c r="F180" s="408">
        <f>skemA7!$E$21*COS(RADIANS(skemA7!$E$28*E180-skemA7!$E$22))</f>
        <v>13.544931459782717</v>
      </c>
      <c r="G180" s="408">
        <f>skemA7!$F$21*COS(RADIANS(skemA7!$F$28*E180-skemA7!$F$22))</f>
        <v>-17.131329356559117</v>
      </c>
      <c r="H180" s="408">
        <f>skemA7!$G$21*COS(RADIANS(skemA7!$G$28*E180-skemA7!$G$22))</f>
        <v>-5.2867280771329028</v>
      </c>
      <c r="I180" s="408">
        <f>skemA7!$H$21*COS(RADIANS(skemA7!$H$28*E180-skemA7!$H$22))</f>
        <v>-19.205133887587937</v>
      </c>
      <c r="J180" s="408">
        <f>skemA7!$I$21*COS(RADIANS(skemA7!$I$28*E180-skemA7!$I$22))</f>
        <v>-27.349164278741739</v>
      </c>
      <c r="K180" s="408">
        <f>skemA7!$J$21*COS(RADIANS(skemA7!$J$28*E180-skemA7!$J$22))</f>
        <v>-0.54444299411297947</v>
      </c>
      <c r="L180" s="408">
        <f>skemA7!$K$21*COS(RADIANS(skemA7!$K$28*E180-skemA7!$K$22))</f>
        <v>-1.6312758344776568</v>
      </c>
      <c r="M180" s="408">
        <f>skemA7!$L$21*COS(RADIANS(skemA7!$L$28*E180-skemA7!$L$22))</f>
        <v>-3.5505406928435841</v>
      </c>
      <c r="N180" s="408">
        <f>skemA7!$M$21*COS(RADIANS(skemA7!$M$28*E180-skemA7!$M$22))</f>
        <v>-3.8810586047982611</v>
      </c>
      <c r="O180" s="409">
        <f>skemA7!$D$21+'Forcasting Pasut'!F180+'Forcasting Pasut'!G180+K180+L180+'Forcasting Pasut'!H180+'Forcasting Pasut'!I180+'Forcasting Pasut'!J180+'Forcasting Pasut'!M180+'Forcasting Pasut'!N180</f>
        <v>101.13357669904579</v>
      </c>
      <c r="P180" s="405"/>
      <c r="Q180" s="406">
        <f>AI162</f>
        <v>177.89999999999998</v>
      </c>
      <c r="R180" s="406"/>
      <c r="S180" s="406"/>
      <c r="T180" s="406"/>
      <c r="U180" s="406"/>
      <c r="V180" s="406"/>
      <c r="W180" s="406"/>
      <c r="X180" s="406"/>
      <c r="Y180" s="406"/>
      <c r="Z180" s="406"/>
      <c r="AA180" s="406"/>
      <c r="AB180" s="406"/>
      <c r="AC180" s="406"/>
      <c r="AD180" s="406"/>
      <c r="AE180" s="406"/>
      <c r="AF180" s="406"/>
      <c r="AG180" s="406"/>
      <c r="AH180" s="406"/>
      <c r="AI180" s="406"/>
      <c r="AJ180" s="406"/>
      <c r="AK180" s="406"/>
      <c r="AL180" s="406"/>
      <c r="AM180" s="406"/>
      <c r="AN180" s="406"/>
      <c r="AO180" s="407"/>
      <c r="AP180" s="407"/>
    </row>
    <row r="181" spans="1:42">
      <c r="A181" s="402"/>
      <c r="B181" s="77"/>
      <c r="D181" s="131"/>
      <c r="E181" s="113">
        <f t="shared" si="2"/>
        <v>163</v>
      </c>
      <c r="F181" s="408">
        <f>skemA7!$E$21*COS(RADIANS(skemA7!$E$28*E181-skemA7!$E$22))</f>
        <v>3.340288804908722</v>
      </c>
      <c r="G181" s="408">
        <f>skemA7!$F$21*COS(RADIANS(skemA7!$F$28*E181-skemA7!$F$22))</f>
        <v>-7.1705119453440807</v>
      </c>
      <c r="H181" s="408">
        <f>skemA7!$G$21*COS(RADIANS(skemA7!$G$28*E181-skemA7!$G$22))</f>
        <v>-12.62196263123074</v>
      </c>
      <c r="I181" s="408">
        <f>skemA7!$H$21*COS(RADIANS(skemA7!$H$28*E181-skemA7!$H$22))</f>
        <v>-26.37442542390907</v>
      </c>
      <c r="J181" s="408">
        <f>skemA7!$I$21*COS(RADIANS(skemA7!$I$28*E181-skemA7!$I$22))</f>
        <v>-27.225227018643565</v>
      </c>
      <c r="K181" s="408">
        <f>skemA7!$J$21*COS(RADIANS(skemA7!$J$28*E181-skemA7!$J$22))</f>
        <v>-1.7265938279706601</v>
      </c>
      <c r="L181" s="408">
        <f>skemA7!$K$21*COS(RADIANS(skemA7!$K$28*E181-skemA7!$K$22))</f>
        <v>1.6239991082755609</v>
      </c>
      <c r="M181" s="408">
        <f>skemA7!$L$21*COS(RADIANS(skemA7!$L$28*E181-skemA7!$L$22))</f>
        <v>-0.52024513951640872</v>
      </c>
      <c r="N181" s="408">
        <f>skemA7!$M$21*COS(RADIANS(skemA7!$M$28*E181-skemA7!$M$22))</f>
        <v>-6.6259233000698146</v>
      </c>
      <c r="O181" s="409">
        <f>skemA7!$D$21+'Forcasting Pasut'!F181+'Forcasting Pasut'!G181+K181+L181+'Forcasting Pasut'!H181+'Forcasting Pasut'!I181+'Forcasting Pasut'!J181+'Forcasting Pasut'!M181+'Forcasting Pasut'!N181</f>
        <v>88.8677175920172</v>
      </c>
      <c r="P181" s="405"/>
      <c r="Q181" s="406">
        <f>AJ162</f>
        <v>176.6</v>
      </c>
      <c r="R181" s="406"/>
      <c r="S181" s="406"/>
      <c r="T181" s="406"/>
      <c r="U181" s="406"/>
      <c r="V181" s="406"/>
      <c r="W181" s="406"/>
      <c r="X181" s="406"/>
      <c r="Y181" s="406"/>
      <c r="Z181" s="406"/>
      <c r="AA181" s="406"/>
      <c r="AB181" s="406"/>
      <c r="AC181" s="406"/>
      <c r="AD181" s="406"/>
      <c r="AE181" s="406"/>
      <c r="AF181" s="406"/>
      <c r="AG181" s="406"/>
      <c r="AH181" s="406"/>
      <c r="AI181" s="406"/>
      <c r="AJ181" s="406"/>
      <c r="AK181" s="406"/>
      <c r="AL181" s="406"/>
      <c r="AM181" s="406"/>
      <c r="AN181" s="406"/>
      <c r="AO181" s="407"/>
      <c r="AP181" s="407"/>
    </row>
    <row r="182" spans="1:42">
      <c r="A182" s="402"/>
      <c r="B182" s="77"/>
      <c r="D182" s="131"/>
      <c r="E182" s="113">
        <f t="shared" si="2"/>
        <v>164</v>
      </c>
      <c r="F182" s="408">
        <f>skemA7!$E$21*COS(RADIANS(skemA7!$E$28*E182-skemA7!$E$22))</f>
        <v>-7.7010624090997162</v>
      </c>
      <c r="G182" s="408">
        <f>skemA7!$F$21*COS(RADIANS(skemA7!$F$28*E182-skemA7!$F$22))</f>
        <v>4.7116383509438604</v>
      </c>
      <c r="H182" s="408">
        <f>skemA7!$G$21*COS(RADIANS(skemA7!$G$28*E182-skemA7!$G$22))</f>
        <v>-16.910667139381275</v>
      </c>
      <c r="I182" s="408">
        <f>skemA7!$H$21*COS(RADIANS(skemA7!$H$28*E182-skemA7!$H$22))</f>
        <v>-31.736560951349801</v>
      </c>
      <c r="J182" s="408">
        <f>skemA7!$I$21*COS(RADIANS(skemA7!$I$28*E182-skemA7!$I$22))</f>
        <v>-25.496957175767939</v>
      </c>
      <c r="K182" s="408">
        <f>skemA7!$J$21*COS(RADIANS(skemA7!$J$28*E182-skemA7!$J$22))</f>
        <v>-1.2871029480535328</v>
      </c>
      <c r="L182" s="408">
        <f>skemA7!$K$21*COS(RADIANS(skemA7!$K$28*E182-skemA7!$K$22))</f>
        <v>3.3048959792111789</v>
      </c>
      <c r="M182" s="408">
        <f>skemA7!$L$21*COS(RADIANS(skemA7!$L$28*E182-skemA7!$L$22))</f>
        <v>2.6501951606143161</v>
      </c>
      <c r="N182" s="408">
        <f>skemA7!$M$21*COS(RADIANS(skemA7!$M$28*E182-skemA7!$M$22))</f>
        <v>-8.9216933298951044</v>
      </c>
      <c r="O182" s="409">
        <f>skemA7!$D$21+'Forcasting Pasut'!F182+'Forcasting Pasut'!G182+K182+L182+'Forcasting Pasut'!H182+'Forcasting Pasut'!I182+'Forcasting Pasut'!J182+'Forcasting Pasut'!M182+'Forcasting Pasut'!N182</f>
        <v>84.78100450273925</v>
      </c>
      <c r="P182" s="405"/>
      <c r="Q182" s="406">
        <f>AK162</f>
        <v>168.3</v>
      </c>
      <c r="R182" s="406"/>
      <c r="S182" s="406"/>
      <c r="T182" s="406"/>
      <c r="U182" s="406"/>
      <c r="V182" s="406"/>
      <c r="W182" s="406"/>
      <c r="X182" s="406"/>
      <c r="Y182" s="406"/>
      <c r="Z182" s="406"/>
      <c r="AA182" s="406"/>
      <c r="AB182" s="406"/>
      <c r="AC182" s="406"/>
      <c r="AD182" s="406"/>
      <c r="AE182" s="406"/>
      <c r="AF182" s="406"/>
      <c r="AG182" s="406"/>
      <c r="AH182" s="406"/>
      <c r="AI182" s="406"/>
      <c r="AJ182" s="406"/>
      <c r="AK182" s="406"/>
      <c r="AL182" s="406"/>
      <c r="AM182" s="406"/>
      <c r="AN182" s="406"/>
      <c r="AO182" s="407"/>
      <c r="AP182" s="407"/>
    </row>
    <row r="183" spans="1:42">
      <c r="A183" s="402"/>
      <c r="B183" s="77"/>
      <c r="D183" s="131"/>
      <c r="E183" s="113">
        <f t="shared" si="2"/>
        <v>165</v>
      </c>
      <c r="F183" s="408">
        <f>skemA7!$E$21*COS(RADIANS(skemA7!$E$28*E183-skemA7!$E$22))</f>
        <v>-16.813375384661711</v>
      </c>
      <c r="G183" s="408">
        <f>skemA7!$F$21*COS(RADIANS(skemA7!$F$28*E183-skemA7!$F$22))</f>
        <v>15.331308956068872</v>
      </c>
      <c r="H183" s="408">
        <f>skemA7!$G$21*COS(RADIANS(skemA7!$G$28*E183-skemA7!$G$22))</f>
        <v>-17.117688232491989</v>
      </c>
      <c r="I183" s="408">
        <f>skemA7!$H$21*COS(RADIANS(skemA7!$H$28*E183-skemA7!$H$22))</f>
        <v>-34.924130932712124</v>
      </c>
      <c r="J183" s="408">
        <f>skemA7!$I$21*COS(RADIANS(skemA7!$I$28*E183-skemA7!$I$22))</f>
        <v>-22.266198515048909</v>
      </c>
      <c r="K183" s="408">
        <f>skemA7!$J$21*COS(RADIANS(skemA7!$J$28*E183-skemA7!$J$22))</f>
        <v>0.36125350098209824</v>
      </c>
      <c r="L183" s="408">
        <f>skemA7!$K$21*COS(RADIANS(skemA7!$K$28*E183-skemA7!$K$22))</f>
        <v>1.7818774460101579</v>
      </c>
      <c r="M183" s="408">
        <f>skemA7!$L$21*COS(RADIANS(skemA7!$L$28*E183-skemA7!$L$22))</f>
        <v>5.1067202281890998</v>
      </c>
      <c r="N183" s="408">
        <f>skemA7!$M$21*COS(RADIANS(skemA7!$M$28*E183-skemA7!$M$22))</f>
        <v>-10.612765010562091</v>
      </c>
      <c r="O183" s="409">
        <f>skemA7!$D$21+'Forcasting Pasut'!F183+'Forcasting Pasut'!G183+K183+L183+'Forcasting Pasut'!H183+'Forcasting Pasut'!I183+'Forcasting Pasut'!J183+'Forcasting Pasut'!M183+'Forcasting Pasut'!N183</f>
        <v>87.01532102129066</v>
      </c>
      <c r="P183" s="405"/>
      <c r="Q183" s="406">
        <f>AL162</f>
        <v>147.5</v>
      </c>
      <c r="R183" s="406"/>
      <c r="S183" s="406"/>
      <c r="T183" s="406"/>
      <c r="U183" s="406"/>
      <c r="V183" s="406"/>
      <c r="W183" s="406"/>
      <c r="X183" s="406"/>
      <c r="Y183" s="406"/>
      <c r="Z183" s="406"/>
      <c r="AA183" s="406"/>
      <c r="AB183" s="406"/>
      <c r="AC183" s="406"/>
      <c r="AD183" s="406"/>
      <c r="AE183" s="406"/>
      <c r="AF183" s="406"/>
      <c r="AG183" s="406"/>
      <c r="AH183" s="406"/>
      <c r="AI183" s="406"/>
      <c r="AJ183" s="406"/>
      <c r="AK183" s="406"/>
      <c r="AL183" s="406"/>
      <c r="AM183" s="406"/>
      <c r="AN183" s="406"/>
      <c r="AO183" s="407"/>
      <c r="AP183" s="407"/>
    </row>
    <row r="184" spans="1:42">
      <c r="A184" s="402"/>
      <c r="B184" s="77"/>
      <c r="D184" s="131"/>
      <c r="E184" s="113">
        <f t="shared" si="2"/>
        <v>166</v>
      </c>
      <c r="F184" s="408">
        <f>skemA7!$E$21*COS(RADIANS(skemA7!$E$28*E184-skemA7!$E$22))</f>
        <v>-21.714107891008432</v>
      </c>
      <c r="G184" s="408">
        <f>skemA7!$F$21*COS(RADIANS(skemA7!$F$28*E184-skemA7!$F$22))</f>
        <v>21.842967707503149</v>
      </c>
      <c r="H184" s="408">
        <f>skemA7!$G$21*COS(RADIANS(skemA7!$G$28*E184-skemA7!$G$22))</f>
        <v>-13.193057771793244</v>
      </c>
      <c r="I184" s="408">
        <f>skemA7!$H$21*COS(RADIANS(skemA7!$H$28*E184-skemA7!$H$22))</f>
        <v>-35.718725444255426</v>
      </c>
      <c r="J184" s="408">
        <f>skemA7!$I$21*COS(RADIANS(skemA7!$I$28*E184-skemA7!$I$22))</f>
        <v>-17.72333370557946</v>
      </c>
      <c r="K184" s="408">
        <f>skemA7!$J$21*COS(RADIANS(skemA7!$J$28*E184-skemA7!$J$22))</f>
        <v>1.6703154749943785</v>
      </c>
      <c r="L184" s="408">
        <f>skemA7!$K$21*COS(RADIANS(skemA7!$K$28*E184-skemA7!$K$22))</f>
        <v>-1.4685735490495362</v>
      </c>
      <c r="M184" s="408">
        <f>skemA7!$L$21*COS(RADIANS(skemA7!$L$28*E184-skemA7!$L$22))</f>
        <v>6.1875860939488261</v>
      </c>
      <c r="N184" s="408">
        <f>skemA7!$M$21*COS(RADIANS(skemA7!$M$28*E184-skemA7!$M$22))</f>
        <v>-11.584520161889438</v>
      </c>
      <c r="O184" s="409">
        <f>skemA7!$D$21+'Forcasting Pasut'!F184+'Forcasting Pasut'!G184+K184+L184+'Forcasting Pasut'!H184+'Forcasting Pasut'!I184+'Forcasting Pasut'!J184+'Forcasting Pasut'!M184+'Forcasting Pasut'!N184</f>
        <v>94.46686971838804</v>
      </c>
      <c r="P184" s="405"/>
      <c r="Q184" s="406">
        <f>AM162</f>
        <v>126.29999999999998</v>
      </c>
      <c r="R184" s="406"/>
      <c r="S184" s="406"/>
      <c r="T184" s="406"/>
      <c r="U184" s="406"/>
      <c r="V184" s="406"/>
      <c r="W184" s="406"/>
      <c r="X184" s="406"/>
      <c r="Y184" s="406"/>
      <c r="Z184" s="406"/>
      <c r="AA184" s="406"/>
      <c r="AB184" s="406"/>
      <c r="AC184" s="406"/>
      <c r="AD184" s="406"/>
      <c r="AE184" s="406"/>
      <c r="AF184" s="406"/>
      <c r="AG184" s="406"/>
      <c r="AH184" s="406"/>
      <c r="AI184" s="406"/>
      <c r="AJ184" s="406"/>
      <c r="AK184" s="406"/>
      <c r="AL184" s="406"/>
      <c r="AM184" s="406"/>
      <c r="AN184" s="406"/>
      <c r="AO184" s="407"/>
      <c r="AP184" s="407"/>
    </row>
    <row r="185" spans="1:42">
      <c r="A185" s="402"/>
      <c r="B185" s="77"/>
      <c r="D185" s="131"/>
      <c r="E185" s="113">
        <f t="shared" si="2"/>
        <v>167</v>
      </c>
      <c r="F185" s="408">
        <f>skemA7!$E$21*COS(RADIANS(skemA7!$E$28*E185-skemA7!$E$22))</f>
        <v>-21.175676005437321</v>
      </c>
      <c r="G185" s="408">
        <f>skemA7!$F$21*COS(RADIANS(skemA7!$F$28*E185-skemA7!$F$22))</f>
        <v>22.501820901412799</v>
      </c>
      <c r="H185" s="408">
        <f>skemA7!$G$21*COS(RADIANS(skemA7!$G$28*E185-skemA7!$G$22))</f>
        <v>-6.08405352755595</v>
      </c>
      <c r="I185" s="408">
        <f>skemA7!$H$21*COS(RADIANS(skemA7!$H$28*E185-skemA7!$H$22))</f>
        <v>-34.065899461184536</v>
      </c>
      <c r="J185" s="408">
        <f>skemA7!$I$21*COS(RADIANS(skemA7!$I$28*E185-skemA7!$I$22))</f>
        <v>-12.136065419884705</v>
      </c>
      <c r="K185" s="408">
        <f>skemA7!$J$21*COS(RADIANS(skemA7!$J$28*E185-skemA7!$J$22))</f>
        <v>1.4105931723953866</v>
      </c>
      <c r="L185" s="408">
        <f>skemA7!$K$21*COS(RADIANS(skemA7!$K$28*E185-skemA7!$K$22))</f>
        <v>-3.2953230280843693</v>
      </c>
      <c r="M185" s="408">
        <f>skemA7!$L$21*COS(RADIANS(skemA7!$L$28*E185-skemA7!$L$22))</f>
        <v>5.6016268025013733</v>
      </c>
      <c r="N185" s="408">
        <f>skemA7!$M$21*COS(RADIANS(skemA7!$M$28*E185-skemA7!$M$22))</f>
        <v>-11.771094747301905</v>
      </c>
      <c r="O185" s="409">
        <f>skemA7!$D$21+'Forcasting Pasut'!F185+'Forcasting Pasut'!G185+K185+L185+'Forcasting Pasut'!H185+'Forcasting Pasut'!I185+'Forcasting Pasut'!J185+'Forcasting Pasut'!M185+'Forcasting Pasut'!N185</f>
        <v>107.15424765237805</v>
      </c>
      <c r="P185" s="405"/>
      <c r="Q185" s="406">
        <f>AN162</f>
        <v>102.3</v>
      </c>
      <c r="R185" s="406"/>
      <c r="S185" s="406"/>
      <c r="T185" s="406"/>
      <c r="U185" s="406"/>
      <c r="V185" s="406"/>
      <c r="W185" s="406"/>
      <c r="X185" s="406"/>
      <c r="Y185" s="406"/>
      <c r="Z185" s="406"/>
      <c r="AA185" s="406"/>
      <c r="AB185" s="406"/>
      <c r="AC185" s="406"/>
      <c r="AD185" s="406"/>
      <c r="AE185" s="406"/>
      <c r="AF185" s="406"/>
      <c r="AG185" s="406"/>
      <c r="AH185" s="406"/>
      <c r="AI185" s="406"/>
      <c r="AJ185" s="406"/>
      <c r="AK185" s="406"/>
      <c r="AL185" s="406"/>
      <c r="AM185" s="406"/>
      <c r="AN185" s="406"/>
      <c r="AO185" s="407"/>
      <c r="AP185" s="407"/>
    </row>
    <row r="186" spans="1:42">
      <c r="A186" s="402">
        <v>8</v>
      </c>
      <c r="B186" s="77">
        <f>skemA1!B12</f>
        <v>44716</v>
      </c>
      <c r="C186" s="43" t="e">
        <f>skemA1!#REF!</f>
        <v>#REF!</v>
      </c>
      <c r="D186" s="139" t="e">
        <f>skemA1!#REF!</f>
        <v>#REF!</v>
      </c>
      <c r="E186" s="113">
        <f t="shared" si="2"/>
        <v>168</v>
      </c>
      <c r="F186" s="408">
        <f>skemA7!$E$21*COS(RADIANS(skemA7!$E$28*E186-skemA7!$E$22))</f>
        <v>-15.3329514691303</v>
      </c>
      <c r="G186" s="408">
        <f>skemA7!$F$21*COS(RADIANS(skemA7!$F$28*E186-skemA7!$F$22))</f>
        <v>17.131329356559281</v>
      </c>
      <c r="H186" s="408">
        <f>skemA7!$G$21*COS(RADIANS(skemA7!$G$28*E186-skemA7!$G$22))</f>
        <v>2.4934427740886203</v>
      </c>
      <c r="I186" s="408">
        <f>skemA7!$H$21*COS(RADIANS(skemA7!$H$28*E186-skemA7!$H$22))</f>
        <v>-30.078903390245308</v>
      </c>
      <c r="J186" s="408">
        <f>skemA7!$I$21*COS(RADIANS(skemA7!$I$28*E186-skemA7!$I$22))</f>
        <v>-5.8336411075200605</v>
      </c>
      <c r="K186" s="408">
        <f>skemA7!$J$21*COS(RADIANS(skemA7!$J$28*E186-skemA7!$J$22))</f>
        <v>-0.17397849110444324</v>
      </c>
      <c r="L186" s="408">
        <f>skemA7!$K$21*COS(RADIANS(skemA7!$K$28*E186-skemA7!$K$22))</f>
        <v>-1.9274375540984721</v>
      </c>
      <c r="M186" s="408">
        <f>skemA7!$L$21*COS(RADIANS(skemA7!$L$28*E186-skemA7!$L$22))</f>
        <v>3.5066893192472453</v>
      </c>
      <c r="N186" s="408">
        <f>skemA7!$M$21*COS(RADIANS(skemA7!$M$28*E186-skemA7!$M$22))</f>
        <v>-11.159843034692111</v>
      </c>
      <c r="O186" s="409">
        <f>skemA7!$D$21+'Forcasting Pasut'!F186+'Forcasting Pasut'!G186+K186+L186+'Forcasting Pasut'!H186+'Forcasting Pasut'!I186+'Forcasting Pasut'!J186+'Forcasting Pasut'!M186+'Forcasting Pasut'!N186</f>
        <v>124.79302536862168</v>
      </c>
      <c r="P186" s="405"/>
      <c r="Q186" s="406">
        <f>skemA1!C12</f>
        <v>79.7</v>
      </c>
      <c r="R186" s="406">
        <f>skemA1!D12</f>
        <v>73.400000000000006</v>
      </c>
      <c r="S186" s="406">
        <f>skemA1!E12</f>
        <v>85.7</v>
      </c>
      <c r="T186" s="406">
        <f>skemA1!F12</f>
        <v>115.99999999999999</v>
      </c>
      <c r="U186" s="406">
        <f>skemA1!G12</f>
        <v>154</v>
      </c>
      <c r="V186" s="406">
        <f>skemA1!H12</f>
        <v>198.9</v>
      </c>
      <c r="W186" s="406">
        <f>skemA1!I12</f>
        <v>235.6</v>
      </c>
      <c r="X186" s="406">
        <f>skemA1!J12</f>
        <v>259.5</v>
      </c>
      <c r="Y186" s="406">
        <f>skemA1!K12</f>
        <v>268.89999999999998</v>
      </c>
      <c r="Z186" s="406">
        <f>skemA1!L12</f>
        <v>258.59999999999997</v>
      </c>
      <c r="AA186" s="406">
        <f>skemA1!M12</f>
        <v>233.9</v>
      </c>
      <c r="AB186" s="406">
        <f>skemA1!N12</f>
        <v>199.10000000000002</v>
      </c>
      <c r="AC186" s="406">
        <f>skemA1!O12</f>
        <v>169.79999999999998</v>
      </c>
      <c r="AD186" s="406">
        <f>skemA1!P12</f>
        <v>143.55000000000001</v>
      </c>
      <c r="AE186" s="406">
        <f>skemA1!Q12</f>
        <v>131.9</v>
      </c>
      <c r="AF186" s="406">
        <f>skemA1!R12</f>
        <v>130.4</v>
      </c>
      <c r="AG186" s="406">
        <f>skemA1!S12</f>
        <v>142.1</v>
      </c>
      <c r="AH186" s="406">
        <f>skemA1!T12</f>
        <v>159.4</v>
      </c>
      <c r="AI186" s="406">
        <f>skemA1!U12</f>
        <v>174.8</v>
      </c>
      <c r="AJ186" s="406">
        <f>skemA1!V12</f>
        <v>182</v>
      </c>
      <c r="AK186" s="406">
        <f>skemA1!W12</f>
        <v>177.1</v>
      </c>
      <c r="AL186" s="406">
        <f>skemA1!X12</f>
        <v>158.80000000000001</v>
      </c>
      <c r="AM186" s="406">
        <f>skemA1!Y12</f>
        <v>136</v>
      </c>
      <c r="AN186" s="406">
        <f>skemA1!Z12</f>
        <v>112.4</v>
      </c>
      <c r="AO186" s="407">
        <f>SUM(Q186:AN186)</f>
        <v>3981.5500000000011</v>
      </c>
      <c r="AP186" s="410">
        <f>AVERAGE(Q186:AN186)</f>
        <v>165.8979166666667</v>
      </c>
    </row>
    <row r="187" spans="1:42">
      <c r="A187" s="402"/>
      <c r="B187" s="77"/>
      <c r="D187" s="131"/>
      <c r="E187" s="113">
        <f t="shared" si="2"/>
        <v>169</v>
      </c>
      <c r="F187" s="408">
        <f>skemA7!$E$21*COS(RADIANS(skemA7!$E$28*E187-skemA7!$E$22))</f>
        <v>-5.6494776801939679</v>
      </c>
      <c r="G187" s="408">
        <f>skemA7!$F$21*COS(RADIANS(skemA7!$F$28*E187-skemA7!$F$22))</f>
        <v>7.1705119453440052</v>
      </c>
      <c r="H187" s="408">
        <f>skemA7!$G$21*COS(RADIANS(skemA7!$G$28*E187-skemA7!$G$22))</f>
        <v>10.469103327121751</v>
      </c>
      <c r="I187" s="408">
        <f>skemA7!$H$21*COS(RADIANS(skemA7!$H$28*E187-skemA7!$H$22))</f>
        <v>-24.030923236105711</v>
      </c>
      <c r="J187" s="408">
        <f>skemA7!$I$21*COS(RADIANS(skemA7!$I$28*E187-skemA7!$I$22))</f>
        <v>0.81254895190778453</v>
      </c>
      <c r="K187" s="408">
        <f>skemA7!$J$21*COS(RADIANS(skemA7!$J$28*E187-skemA7!$J$22))</f>
        <v>-1.5951470577646893</v>
      </c>
      <c r="L187" s="408">
        <f>skemA7!$K$21*COS(RADIANS(skemA7!$K$28*E187-skemA7!$K$22))</f>
        <v>1.308992923703699</v>
      </c>
      <c r="M187" s="408">
        <f>skemA7!$L$21*COS(RADIANS(skemA7!$L$28*E187-skemA7!$L$22))</f>
        <v>0.46711237771599901</v>
      </c>
      <c r="N187" s="408">
        <f>skemA7!$M$21*COS(RADIANS(skemA7!$M$28*E187-skemA7!$M$22))</f>
        <v>-9.79219470426405</v>
      </c>
      <c r="O187" s="409">
        <f>skemA7!$D$21+'Forcasting Pasut'!F187+'Forcasting Pasut'!G187+K187+L187+'Forcasting Pasut'!H187+'Forcasting Pasut'!I187+'Forcasting Pasut'!J187+'Forcasting Pasut'!M187+'Forcasting Pasut'!N187</f>
        <v>145.32884581298208</v>
      </c>
      <c r="P187" s="405"/>
      <c r="Q187" s="406">
        <f>R186</f>
        <v>73.400000000000006</v>
      </c>
      <c r="R187" s="406"/>
      <c r="S187" s="406"/>
      <c r="T187" s="406"/>
      <c r="U187" s="406"/>
      <c r="V187" s="406"/>
      <c r="W187" s="406"/>
      <c r="X187" s="406"/>
      <c r="Y187" s="406"/>
      <c r="Z187" s="406"/>
      <c r="AA187" s="406"/>
      <c r="AB187" s="406"/>
      <c r="AC187" s="406"/>
      <c r="AD187" s="406"/>
      <c r="AE187" s="406"/>
      <c r="AF187" s="406"/>
      <c r="AG187" s="406"/>
      <c r="AH187" s="406"/>
      <c r="AI187" s="406"/>
      <c r="AJ187" s="406"/>
      <c r="AK187" s="406"/>
      <c r="AL187" s="406"/>
      <c r="AM187" s="406"/>
      <c r="AN187" s="406"/>
      <c r="AO187" s="407"/>
      <c r="AP187" s="410"/>
    </row>
    <row r="188" spans="1:42">
      <c r="A188" s="402"/>
      <c r="B188" s="77"/>
      <c r="D188" s="131"/>
      <c r="E188" s="113">
        <f t="shared" si="2"/>
        <v>170</v>
      </c>
      <c r="F188" s="408">
        <f>skemA7!$E$21*COS(RADIANS(skemA7!$E$28*E188-skemA7!$E$22))</f>
        <v>5.4491331240544687</v>
      </c>
      <c r="G188" s="408">
        <f>skemA7!$F$21*COS(RADIANS(skemA7!$F$28*E188-skemA7!$F$22))</f>
        <v>-4.7116383509439377</v>
      </c>
      <c r="H188" s="408">
        <f>skemA7!$G$21*COS(RADIANS(skemA7!$G$28*E188-skemA7!$G$22))</f>
        <v>15.917863843127837</v>
      </c>
      <c r="I188" s="408">
        <f>skemA7!$H$21*COS(RADIANS(skemA7!$H$28*E188-skemA7!$H$22))</f>
        <v>-16.336362099553195</v>
      </c>
      <c r="J188" s="408">
        <f>skemA7!$I$21*COS(RADIANS(skemA7!$I$28*E188-skemA7!$I$22))</f>
        <v>7.4108569952275625</v>
      </c>
      <c r="K188" s="408">
        <f>skemA7!$J$21*COS(RADIANS(skemA7!$J$28*E188-skemA7!$J$22))</f>
        <v>-1.5181306045486884</v>
      </c>
      <c r="L188" s="408">
        <f>skemA7!$K$21*COS(RADIANS(skemA7!$K$28*E188-skemA7!$K$22))</f>
        <v>3.2764265500040115</v>
      </c>
      <c r="M188" s="408">
        <f>skemA7!$L$21*COS(RADIANS(skemA7!$L$28*E188-skemA7!$L$22))</f>
        <v>-2.6982962937659285</v>
      </c>
      <c r="N188" s="408">
        <f>skemA7!$M$21*COS(RADIANS(skemA7!$M$28*E188-skemA7!$M$22))</f>
        <v>-7.760846809935475</v>
      </c>
      <c r="O188" s="409">
        <f>skemA7!$D$21+'Forcasting Pasut'!F188+'Forcasting Pasut'!G188+K188+L188+'Forcasting Pasut'!H188+'Forcasting Pasut'!I188+'Forcasting Pasut'!J188+'Forcasting Pasut'!M188+'Forcasting Pasut'!N188</f>
        <v>165.19732531918388</v>
      </c>
      <c r="P188" s="405"/>
      <c r="Q188" s="406">
        <f>S186</f>
        <v>85.7</v>
      </c>
      <c r="R188" s="406"/>
      <c r="S188" s="406"/>
      <c r="T188" s="406"/>
      <c r="U188" s="406"/>
      <c r="V188" s="406"/>
      <c r="W188" s="406"/>
      <c r="X188" s="406"/>
      <c r="Y188" s="406"/>
      <c r="Z188" s="406"/>
      <c r="AA188" s="406"/>
      <c r="AB188" s="406"/>
      <c r="AC188" s="406"/>
      <c r="AD188" s="406"/>
      <c r="AE188" s="406"/>
      <c r="AF188" s="406"/>
      <c r="AG188" s="406"/>
      <c r="AH188" s="406"/>
      <c r="AI188" s="406"/>
      <c r="AJ188" s="406"/>
      <c r="AK188" s="406"/>
      <c r="AL188" s="406"/>
      <c r="AM188" s="406"/>
      <c r="AN188" s="406"/>
      <c r="AO188" s="407"/>
      <c r="AP188" s="410"/>
    </row>
    <row r="189" spans="1:42">
      <c r="A189" s="402"/>
      <c r="B189" s="77"/>
      <c r="D189" s="131"/>
      <c r="E189" s="113">
        <f t="shared" si="2"/>
        <v>171</v>
      </c>
      <c r="F189" s="408">
        <f>skemA7!$E$21*COS(RADIANS(skemA7!$E$28*E189-skemA7!$E$22))</f>
        <v>15.1827911978499</v>
      </c>
      <c r="G189" s="408">
        <f>skemA7!$F$21*COS(RADIANS(skemA7!$F$28*E189-skemA7!$F$22))</f>
        <v>-15.331308956068931</v>
      </c>
      <c r="H189" s="408">
        <f>skemA7!$G$21*COS(RADIANS(skemA7!$G$28*E189-skemA7!$G$22))</f>
        <v>17.524571274188197</v>
      </c>
      <c r="I189" s="408">
        <f>skemA7!$H$21*COS(RADIANS(skemA7!$H$28*E189-skemA7!$H$22))</f>
        <v>-7.5224455853212033</v>
      </c>
      <c r="J189" s="408">
        <f>skemA7!$I$21*COS(RADIANS(skemA7!$I$28*E189-skemA7!$I$22))</f>
        <v>13.572456858461248</v>
      </c>
      <c r="K189" s="408">
        <f>skemA7!$J$21*COS(RADIANS(skemA7!$J$28*E189-skemA7!$J$22))</f>
        <v>-1.5264090124128006E-2</v>
      </c>
      <c r="L189" s="408">
        <f>skemA7!$K$21*COS(RADIANS(skemA7!$K$28*E189-skemA7!$K$22))</f>
        <v>2.0675443224584003</v>
      </c>
      <c r="M189" s="408">
        <f>skemA7!$L$21*COS(RADIANS(skemA7!$L$28*E189-skemA7!$L$22))</f>
        <v>-5.1368321467108995</v>
      </c>
      <c r="N189" s="408">
        <f>skemA7!$M$21*COS(RADIANS(skemA7!$M$28*E189-skemA7!$M$22))</f>
        <v>-5.2034809187413575</v>
      </c>
      <c r="O189" s="409">
        <f>skemA7!$D$21+'Forcasting Pasut'!F189+'Forcasting Pasut'!G189+K189+L189+'Forcasting Pasut'!H189+'Forcasting Pasut'!I189+'Forcasting Pasut'!J189+'Forcasting Pasut'!M189+'Forcasting Pasut'!N189</f>
        <v>181.30635092150843</v>
      </c>
      <c r="P189" s="405"/>
      <c r="Q189" s="406">
        <f>T186</f>
        <v>115.99999999999999</v>
      </c>
      <c r="R189" s="406"/>
      <c r="S189" s="406"/>
      <c r="T189" s="406"/>
      <c r="U189" s="406"/>
      <c r="V189" s="406"/>
      <c r="W189" s="406"/>
      <c r="X189" s="406"/>
      <c r="Y189" s="406"/>
      <c r="Z189" s="406"/>
      <c r="AA189" s="406"/>
      <c r="AB189" s="406"/>
      <c r="AC189" s="406"/>
      <c r="AD189" s="406"/>
      <c r="AE189" s="406"/>
      <c r="AF189" s="406"/>
      <c r="AG189" s="406"/>
      <c r="AH189" s="406"/>
      <c r="AI189" s="406"/>
      <c r="AJ189" s="406"/>
      <c r="AK189" s="406"/>
      <c r="AL189" s="406"/>
      <c r="AM189" s="406"/>
      <c r="AN189" s="406"/>
      <c r="AO189" s="407"/>
      <c r="AP189" s="410"/>
    </row>
    <row r="190" spans="1:42">
      <c r="A190" s="402"/>
      <c r="B190" s="77"/>
      <c r="D190" s="131"/>
      <c r="E190" s="113">
        <f t="shared" si="2"/>
        <v>172</v>
      </c>
      <c r="F190" s="408">
        <f>skemA7!$E$21*COS(RADIANS(skemA7!$E$28*E190-skemA7!$E$22))</f>
        <v>21.113313648124681</v>
      </c>
      <c r="G190" s="408">
        <f>skemA7!$F$21*COS(RADIANS(skemA7!$F$28*E190-skemA7!$F$22))</f>
        <v>-21.842967707503171</v>
      </c>
      <c r="H190" s="408">
        <f>skemA7!$G$21*COS(RADIANS(skemA7!$G$28*E190-skemA7!$G$22))</f>
        <v>14.901418857853187</v>
      </c>
      <c r="I190" s="408">
        <f>skemA7!$H$21*COS(RADIANS(skemA7!$H$28*E190-skemA7!$H$22))</f>
        <v>1.8069033041187834</v>
      </c>
      <c r="J190" s="408">
        <f>skemA7!$I$21*COS(RADIANS(skemA7!$I$28*E190-skemA7!$I$22))</f>
        <v>18.934256787925143</v>
      </c>
      <c r="K190" s="408">
        <f>skemA7!$J$21*COS(RADIANS(skemA7!$J$28*E190-skemA7!$J$22))</f>
        <v>1.5019386769078238</v>
      </c>
      <c r="L190" s="408">
        <f>skemA7!$K$21*COS(RADIANS(skemA7!$K$28*E190-skemA7!$K$22))</f>
        <v>-1.1457087370672041</v>
      </c>
      <c r="M190" s="408">
        <f>skemA7!$L$21*COS(RADIANS(skemA7!$L$28*E190-skemA7!$L$22))</f>
        <v>-6.191597184917474</v>
      </c>
      <c r="N190" s="408">
        <f>skemA7!$M$21*COS(RADIANS(skemA7!$M$28*E190-skemA7!$M$22))</f>
        <v>-2.2934312706537852</v>
      </c>
      <c r="O190" s="409">
        <f>skemA7!$D$21+'Forcasting Pasut'!F190+'Forcasting Pasut'!G190+K190+L190+'Forcasting Pasut'!H190+'Forcasting Pasut'!I190+'Forcasting Pasut'!J190+'Forcasting Pasut'!M190+'Forcasting Pasut'!N190</f>
        <v>192.95244534030522</v>
      </c>
      <c r="P190" s="405"/>
      <c r="Q190" s="406">
        <f>U186</f>
        <v>154</v>
      </c>
      <c r="R190" s="406"/>
      <c r="S190" s="406"/>
      <c r="T190" s="406"/>
      <c r="U190" s="406"/>
      <c r="V190" s="406"/>
      <c r="W190" s="406"/>
      <c r="X190" s="406"/>
      <c r="Y190" s="406"/>
      <c r="Z190" s="406"/>
      <c r="AA190" s="406"/>
      <c r="AB190" s="406"/>
      <c r="AC190" s="406"/>
      <c r="AD190" s="406"/>
      <c r="AE190" s="406"/>
      <c r="AF190" s="406"/>
      <c r="AG190" s="406"/>
      <c r="AH190" s="406"/>
      <c r="AI190" s="406"/>
      <c r="AJ190" s="406"/>
      <c r="AK190" s="406"/>
      <c r="AL190" s="406"/>
      <c r="AM190" s="406"/>
      <c r="AN190" s="406"/>
      <c r="AO190" s="407"/>
      <c r="AP190" s="410"/>
    </row>
    <row r="191" spans="1:42">
      <c r="A191" s="402"/>
      <c r="B191" s="77"/>
      <c r="D191" s="131"/>
      <c r="E191" s="113">
        <f t="shared" si="2"/>
        <v>173</v>
      </c>
      <c r="F191" s="408">
        <f>skemA7!$E$21*COS(RADIANS(skemA7!$E$28*E191-skemA7!$E$22))</f>
        <v>21.755164587384719</v>
      </c>
      <c r="G191" s="408">
        <f>skemA7!$F$21*COS(RADIANS(skemA7!$F$28*E191-skemA7!$F$22))</f>
        <v>-22.501820901412849</v>
      </c>
      <c r="H191" s="408">
        <f>skemA7!$G$21*COS(RADIANS(skemA7!$G$28*E191-skemA7!$G$22))</f>
        <v>8.6815500191949972</v>
      </c>
      <c r="I191" s="408">
        <f>skemA7!$H$21*COS(RADIANS(skemA7!$H$28*E191-skemA7!$H$22))</f>
        <v>11.012444523400216</v>
      </c>
      <c r="J191" s="408">
        <f>skemA7!$I$21*COS(RADIANS(skemA7!$I$28*E191-skemA7!$I$22))</f>
        <v>23.180295769840807</v>
      </c>
      <c r="K191" s="408">
        <f>skemA7!$J$21*COS(RADIANS(skemA7!$J$28*E191-skemA7!$J$22))</f>
        <v>1.6084990736562219</v>
      </c>
      <c r="L191" s="408">
        <f>skemA7!$K$21*COS(RADIANS(skemA7!$K$28*E191-skemA7!$K$22))</f>
        <v>-3.2482600091740812</v>
      </c>
      <c r="M191" s="408">
        <f>skemA7!$L$21*COS(RADIANS(skemA7!$L$28*E191-skemA7!$L$22))</f>
        <v>-5.5784565496650433</v>
      </c>
      <c r="N191" s="408">
        <f>skemA7!$M$21*COS(RADIANS(skemA7!$M$28*E191-skemA7!$M$22))</f>
        <v>0.7720635437259481</v>
      </c>
      <c r="O191" s="409">
        <f>skemA7!$D$21+'Forcasting Pasut'!F191+'Forcasting Pasut'!G191+K191+L191+'Forcasting Pasut'!H191+'Forcasting Pasut'!I191+'Forcasting Pasut'!J191+'Forcasting Pasut'!M191+'Forcasting Pasut'!N191</f>
        <v>201.84979902246812</v>
      </c>
      <c r="P191" s="405"/>
      <c r="Q191" s="406">
        <f>V186</f>
        <v>198.9</v>
      </c>
      <c r="R191" s="406"/>
      <c r="S191" s="406"/>
      <c r="T191" s="406"/>
      <c r="U191" s="406"/>
      <c r="V191" s="406"/>
      <c r="W191" s="406"/>
      <c r="X191" s="406"/>
      <c r="Y191" s="406"/>
      <c r="Z191" s="406"/>
      <c r="AA191" s="406"/>
      <c r="AB191" s="406"/>
      <c r="AC191" s="406"/>
      <c r="AD191" s="406"/>
      <c r="AE191" s="406"/>
      <c r="AF191" s="406"/>
      <c r="AG191" s="406"/>
      <c r="AH191" s="406"/>
      <c r="AI191" s="406"/>
      <c r="AJ191" s="406"/>
      <c r="AK191" s="406"/>
      <c r="AL191" s="406"/>
      <c r="AM191" s="406"/>
      <c r="AN191" s="406"/>
      <c r="AO191" s="407"/>
      <c r="AP191" s="410"/>
    </row>
    <row r="192" spans="1:42">
      <c r="A192" s="402"/>
      <c r="B192" s="77"/>
      <c r="D192" s="131"/>
      <c r="E192" s="113">
        <f t="shared" si="2"/>
        <v>174</v>
      </c>
      <c r="F192" s="408">
        <f>skemA7!$E$21*COS(RADIANS(skemA7!$E$28*E192-skemA7!$E$22))</f>
        <v>16.947566847566481</v>
      </c>
      <c r="G192" s="408">
        <f>skemA7!$F$21*COS(RADIANS(skemA7!$F$28*E192-skemA7!$F$22))</f>
        <v>-17.131329356559231</v>
      </c>
      <c r="H192" s="408">
        <f>skemA7!$G$21*COS(RADIANS(skemA7!$G$28*E192-skemA7!$G$22))</f>
        <v>0.3662382013730765</v>
      </c>
      <c r="I192" s="408">
        <f>skemA7!$H$21*COS(RADIANS(skemA7!$H$28*E192-skemA7!$H$22))</f>
        <v>19.463421236609513</v>
      </c>
      <c r="J192" s="408">
        <f>skemA7!$I$21*COS(RADIANS(skemA7!$I$28*E192-skemA7!$I$22))</f>
        <v>26.060362532075661</v>
      </c>
      <c r="K192" s="408">
        <f>skemA7!$J$21*COS(RADIANS(skemA7!$J$28*E192-skemA7!$J$22))</f>
        <v>0.20433404549397305</v>
      </c>
      <c r="L192" s="408">
        <f>skemA7!$K$21*COS(RADIANS(skemA7!$K$28*E192-skemA7!$K$22))</f>
        <v>-2.2018013440550779</v>
      </c>
      <c r="M192" s="408">
        <f>skemA7!$L$21*COS(RADIANS(skemA7!$L$28*E192-skemA7!$L$22))</f>
        <v>-3.4625793748011646</v>
      </c>
      <c r="N192" s="408">
        <f>skemA7!$M$21*COS(RADIANS(skemA7!$M$28*E192-skemA7!$M$22))</f>
        <v>3.7852291047819024</v>
      </c>
      <c r="O192" s="409">
        <f>skemA7!$D$21+'Forcasting Pasut'!F192+'Forcasting Pasut'!G192+K192+L192+'Forcasting Pasut'!H192+'Forcasting Pasut'!I192+'Forcasting Pasut'!J192+'Forcasting Pasut'!M192+'Forcasting Pasut'!N192</f>
        <v>210.19976085800241</v>
      </c>
      <c r="P192" s="405"/>
      <c r="Q192" s="406">
        <f>W186</f>
        <v>235.6</v>
      </c>
      <c r="R192" s="406"/>
      <c r="S192" s="406"/>
      <c r="T192" s="406"/>
      <c r="U192" s="406"/>
      <c r="V192" s="406"/>
      <c r="W192" s="406"/>
      <c r="X192" s="406"/>
      <c r="Y192" s="406"/>
      <c r="Z192" s="406"/>
      <c r="AA192" s="406"/>
      <c r="AB192" s="406"/>
      <c r="AC192" s="406"/>
      <c r="AD192" s="406"/>
      <c r="AE192" s="406"/>
      <c r="AF192" s="406"/>
      <c r="AG192" s="406"/>
      <c r="AH192" s="406"/>
      <c r="AI192" s="406"/>
      <c r="AJ192" s="406"/>
      <c r="AK192" s="406"/>
      <c r="AL192" s="406"/>
      <c r="AM192" s="406"/>
      <c r="AN192" s="406"/>
      <c r="AO192" s="407"/>
      <c r="AP192" s="410"/>
    </row>
    <row r="193" spans="1:42">
      <c r="A193" s="402"/>
      <c r="B193" s="77"/>
      <c r="D193" s="131"/>
      <c r="E193" s="113">
        <f t="shared" si="2"/>
        <v>175</v>
      </c>
      <c r="F193" s="408">
        <f>skemA7!$E$21*COS(RADIANS(skemA7!$E$28*E193-skemA7!$E$22))</f>
        <v>7.8947750344008822</v>
      </c>
      <c r="G193" s="408">
        <f>skemA7!$F$21*COS(RADIANS(skemA7!$F$28*E193-skemA7!$F$22))</f>
        <v>-7.1705119453439305</v>
      </c>
      <c r="H193" s="408">
        <f>skemA7!$G$21*COS(RADIANS(skemA7!$G$28*E193-skemA7!$G$22))</f>
        <v>-8.0374715714306006</v>
      </c>
      <c r="I193" s="408">
        <f>skemA7!$H$21*COS(RADIANS(skemA7!$H$28*E193-skemA7!$H$22))</f>
        <v>26.580778806433578</v>
      </c>
      <c r="J193" s="408">
        <f>skemA7!$I$21*COS(RADIANS(skemA7!$I$28*E193-skemA7!$I$22))</f>
        <v>27.404740034471789</v>
      </c>
      <c r="K193" s="408">
        <f>skemA7!$J$21*COS(RADIANS(skemA7!$J$28*E193-skemA7!$J$22))</f>
        <v>-1.3917444520375315</v>
      </c>
      <c r="L193" s="408">
        <f>skemA7!$K$21*COS(RADIANS(skemA7!$K$28*E193-skemA7!$K$22))</f>
        <v>0.97918297253407505</v>
      </c>
      <c r="M193" s="408">
        <f>skemA7!$L$21*COS(RADIANS(skemA7!$L$28*E193-skemA7!$L$22))</f>
        <v>-0.4139451727033639</v>
      </c>
      <c r="N193" s="408">
        <f>skemA7!$M$21*COS(RADIANS(skemA7!$M$28*E193-skemA7!$M$22))</f>
        <v>6.5418377874280234</v>
      </c>
      <c r="O193" s="409">
        <f>skemA7!$D$21+'Forcasting Pasut'!F193+'Forcasting Pasut'!G193+K193+L193+'Forcasting Pasut'!H193+'Forcasting Pasut'!I193+'Forcasting Pasut'!J193+'Forcasting Pasut'!M193+'Forcasting Pasut'!N193</f>
        <v>218.55596045927015</v>
      </c>
      <c r="P193" s="405"/>
      <c r="Q193" s="406">
        <f>X186</f>
        <v>259.5</v>
      </c>
      <c r="R193" s="406"/>
      <c r="S193" s="406"/>
      <c r="T193" s="406"/>
      <c r="U193" s="406"/>
      <c r="V193" s="406"/>
      <c r="W193" s="406"/>
      <c r="X193" s="406"/>
      <c r="Y193" s="406"/>
      <c r="Z193" s="406"/>
      <c r="AA193" s="406"/>
      <c r="AB193" s="406"/>
      <c r="AC193" s="406"/>
      <c r="AD193" s="406"/>
      <c r="AE193" s="406"/>
      <c r="AF193" s="406"/>
      <c r="AG193" s="406"/>
      <c r="AH193" s="406"/>
      <c r="AI193" s="406"/>
      <c r="AJ193" s="406"/>
      <c r="AK193" s="406"/>
      <c r="AL193" s="406"/>
      <c r="AM193" s="406"/>
      <c r="AN193" s="406"/>
      <c r="AO193" s="407"/>
      <c r="AP193" s="410"/>
    </row>
    <row r="194" spans="1:42">
      <c r="A194" s="402"/>
      <c r="B194" s="77"/>
      <c r="D194" s="131"/>
      <c r="E194" s="113">
        <f t="shared" si="2"/>
        <v>176</v>
      </c>
      <c r="F194" s="408">
        <f>skemA7!$E$21*COS(RADIANS(skemA7!$E$28*E194-skemA7!$E$22))</f>
        <v>-3.1355780704764182</v>
      </c>
      <c r="G194" s="408">
        <f>skemA7!$F$21*COS(RADIANS(skemA7!$F$28*E194-skemA7!$F$22))</f>
        <v>4.711638350944015</v>
      </c>
      <c r="H194" s="408">
        <f>skemA7!$G$21*COS(RADIANS(skemA7!$G$28*E194-skemA7!$G$22))</f>
        <v>-14.501197892276711</v>
      </c>
      <c r="I194" s="408">
        <f>skemA7!$H$21*COS(RADIANS(skemA7!$H$28*E194-skemA7!$H$22))</f>
        <v>31.876841187121915</v>
      </c>
      <c r="J194" s="408">
        <f>skemA7!$I$21*COS(RADIANS(skemA7!$I$28*E194-skemA7!$I$22))</f>
        <v>27.134206582048733</v>
      </c>
      <c r="K194" s="408">
        <f>skemA7!$J$21*COS(RADIANS(skemA7!$J$28*E194-skemA7!$J$22))</f>
        <v>-1.6806765774593964</v>
      </c>
      <c r="L194" s="408">
        <f>skemA7!$K$21*COS(RADIANS(skemA7!$K$28*E194-skemA7!$K$22))</f>
        <v>3.2109030977827713</v>
      </c>
      <c r="M194" s="408">
        <f>skemA7!$L$21*COS(RADIANS(skemA7!$L$28*E194-skemA7!$L$22))</f>
        <v>2.7461984641060178</v>
      </c>
      <c r="N194" s="408">
        <f>skemA7!$M$21*COS(RADIANS(skemA7!$M$28*E194-skemA7!$M$22))</f>
        <v>8.8550509884940372</v>
      </c>
      <c r="O194" s="409">
        <f>skemA7!$D$21+'Forcasting Pasut'!F194+'Forcasting Pasut'!G194+K194+L194+'Forcasting Pasut'!H194+'Forcasting Pasut'!I194+'Forcasting Pasut'!J194+'Forcasting Pasut'!M194+'Forcasting Pasut'!N194</f>
        <v>225.38570509580222</v>
      </c>
      <c r="P194" s="405"/>
      <c r="Q194" s="406">
        <f>Y186</f>
        <v>268.89999999999998</v>
      </c>
      <c r="R194" s="406"/>
      <c r="S194" s="406"/>
      <c r="T194" s="406"/>
      <c r="U194" s="406"/>
      <c r="V194" s="406"/>
      <c r="W194" s="406"/>
      <c r="X194" s="406"/>
      <c r="Y194" s="406"/>
      <c r="Z194" s="406"/>
      <c r="AA194" s="406"/>
      <c r="AB194" s="406"/>
      <c r="AC194" s="406"/>
      <c r="AD194" s="406"/>
      <c r="AE194" s="406"/>
      <c r="AF194" s="406"/>
      <c r="AG194" s="406"/>
      <c r="AH194" s="406"/>
      <c r="AI194" s="406"/>
      <c r="AJ194" s="406"/>
      <c r="AK194" s="406"/>
      <c r="AL194" s="406"/>
      <c r="AM194" s="406"/>
      <c r="AN194" s="406"/>
      <c r="AO194" s="407"/>
      <c r="AP194" s="410"/>
    </row>
    <row r="195" spans="1:42">
      <c r="A195" s="402"/>
      <c r="B195" s="77"/>
      <c r="D195" s="131"/>
      <c r="E195" s="113">
        <f t="shared" si="2"/>
        <v>177</v>
      </c>
      <c r="F195" s="408">
        <f>skemA7!$E$21*COS(RADIANS(skemA7!$E$28*E195-skemA7!$E$22))</f>
        <v>-13.380500584577744</v>
      </c>
      <c r="G195" s="408">
        <f>skemA7!$F$21*COS(RADIANS(skemA7!$F$28*E195-skemA7!$F$22))</f>
        <v>15.331308956068989</v>
      </c>
      <c r="H195" s="408">
        <f>skemA7!$G$21*COS(RADIANS(skemA7!$G$28*E195-skemA7!$G$22))</f>
        <v>-17.464808076528893</v>
      </c>
      <c r="I195" s="408">
        <f>skemA7!$H$21*COS(RADIANS(skemA7!$H$28*E195-skemA7!$H$22))</f>
        <v>34.988726124338193</v>
      </c>
      <c r="J195" s="408">
        <f>skemA7!$I$21*COS(RADIANS(skemA7!$I$28*E195-skemA7!$I$22))</f>
        <v>25.264704213862959</v>
      </c>
      <c r="K195" s="408">
        <f>skemA7!$J$21*COS(RADIANS(skemA7!$J$28*E195-skemA7!$J$22))</f>
        <v>-0.3910931300694534</v>
      </c>
      <c r="L195" s="408">
        <f>skemA7!$K$21*COS(RADIANS(skemA7!$K$28*E195-skemA7!$K$22))</f>
        <v>2.3298287626649077</v>
      </c>
      <c r="M195" s="408">
        <f>skemA7!$L$21*COS(RADIANS(skemA7!$L$28*E195-skemA7!$L$22))</f>
        <v>5.1665652934248074</v>
      </c>
      <c r="N195" s="408">
        <f>skemA7!$M$21*COS(RADIANS(skemA7!$M$28*E195-skemA7!$M$22))</f>
        <v>10.568082753541239</v>
      </c>
      <c r="O195" s="409">
        <f>skemA7!$D$21+'Forcasting Pasut'!F195+'Forcasting Pasut'!G195+K195+L195+'Forcasting Pasut'!H195+'Forcasting Pasut'!I195+'Forcasting Pasut'!J195+'Forcasting Pasut'!M195+'Forcasting Pasut'!N195</f>
        <v>228.58113327824225</v>
      </c>
      <c r="P195" s="405"/>
      <c r="Q195" s="406">
        <f>Z186</f>
        <v>258.59999999999997</v>
      </c>
      <c r="R195" s="406"/>
      <c r="S195" s="406"/>
      <c r="T195" s="406"/>
      <c r="U195" s="406"/>
      <c r="V195" s="406"/>
      <c r="W195" s="406"/>
      <c r="X195" s="406"/>
      <c r="Y195" s="406"/>
      <c r="Z195" s="406"/>
      <c r="AA195" s="406"/>
      <c r="AB195" s="406"/>
      <c r="AC195" s="406"/>
      <c r="AD195" s="406"/>
      <c r="AE195" s="406"/>
      <c r="AF195" s="406"/>
      <c r="AG195" s="406"/>
      <c r="AH195" s="406"/>
      <c r="AI195" s="406"/>
      <c r="AJ195" s="406"/>
      <c r="AK195" s="406"/>
      <c r="AL195" s="406"/>
      <c r="AM195" s="406"/>
      <c r="AN195" s="406"/>
      <c r="AO195" s="407"/>
      <c r="AP195" s="410"/>
    </row>
    <row r="196" spans="1:42">
      <c r="A196" s="402"/>
      <c r="B196" s="77"/>
      <c r="D196" s="131"/>
      <c r="E196" s="113">
        <f t="shared" si="2"/>
        <v>178</v>
      </c>
      <c r="F196" s="408">
        <f>skemA7!$E$21*COS(RADIANS(skemA7!$E$28*E196-skemA7!$E$22))</f>
        <v>-20.273743043897117</v>
      </c>
      <c r="G196" s="408">
        <f>skemA7!$F$21*COS(RADIANS(skemA7!$F$28*E196-skemA7!$F$22))</f>
        <v>21.842967707503096</v>
      </c>
      <c r="H196" s="408">
        <f>skemA7!$G$21*COS(RADIANS(skemA7!$G$28*E196-skemA7!$G$22))</f>
        <v>-16.212983299802655</v>
      </c>
      <c r="I196" s="408">
        <f>skemA7!$H$21*COS(RADIANS(skemA7!$H$28*E196-skemA7!$H$22))</f>
        <v>35.703209577260388</v>
      </c>
      <c r="J196" s="408">
        <f>skemA7!$I$21*COS(RADIANS(skemA7!$I$28*E196-skemA7!$I$22))</f>
        <v>21.906399267951056</v>
      </c>
      <c r="K196" s="408">
        <f>skemA7!$J$21*COS(RADIANS(skemA7!$J$28*E196-skemA7!$J$22))</f>
        <v>1.2658106004219023</v>
      </c>
      <c r="L196" s="408">
        <f>skemA7!$K$21*COS(RADIANS(skemA7!$K$28*E196-skemA7!$K$22))</f>
        <v>-0.80988678496227229</v>
      </c>
      <c r="M196" s="408">
        <f>skemA7!$L$21*COS(RADIANS(skemA7!$L$28*E196-skemA7!$L$22))</f>
        <v>6.1951517294402869</v>
      </c>
      <c r="N196" s="408">
        <f>skemA7!$M$21*COS(RADIANS(skemA7!$M$28*E196-skemA7!$M$22))</f>
        <v>11.564826482390023</v>
      </c>
      <c r="O196" s="409">
        <f>skemA7!$D$21+'Forcasting Pasut'!F196+'Forcasting Pasut'!G196+K196+L196+'Forcasting Pasut'!H196+'Forcasting Pasut'!I196+'Forcasting Pasut'!J196+'Forcasting Pasut'!M196+'Forcasting Pasut'!N196</f>
        <v>227.35007120182198</v>
      </c>
      <c r="P196" s="405"/>
      <c r="Q196" s="406">
        <f>AA186</f>
        <v>233.9</v>
      </c>
      <c r="R196" s="406"/>
      <c r="S196" s="406"/>
      <c r="T196" s="406"/>
      <c r="U196" s="406"/>
      <c r="V196" s="406"/>
      <c r="W196" s="406"/>
      <c r="X196" s="406"/>
      <c r="Y196" s="406"/>
      <c r="Z196" s="406"/>
      <c r="AA196" s="406"/>
      <c r="AB196" s="406"/>
      <c r="AC196" s="406"/>
      <c r="AD196" s="406"/>
      <c r="AE196" s="406"/>
      <c r="AF196" s="406"/>
      <c r="AG196" s="406"/>
      <c r="AH196" s="406"/>
      <c r="AI196" s="406"/>
      <c r="AJ196" s="406"/>
      <c r="AK196" s="406"/>
      <c r="AL196" s="406"/>
      <c r="AM196" s="406"/>
      <c r="AN196" s="406"/>
      <c r="AO196" s="407"/>
      <c r="AP196" s="410"/>
    </row>
    <row r="197" spans="1:42">
      <c r="A197" s="402"/>
      <c r="B197" s="77"/>
      <c r="D197" s="131"/>
      <c r="E197" s="113">
        <f t="shared" si="2"/>
        <v>179</v>
      </c>
      <c r="F197" s="408">
        <f>skemA7!$E$21*COS(RADIANS(skemA7!$E$28*E197-skemA7!$E$22))</f>
        <v>-22.088617936436641</v>
      </c>
      <c r="G197" s="408">
        <f>skemA7!$F$21*COS(RADIANS(skemA7!$F$28*E197-skemA7!$F$22))</f>
        <v>22.501820901412835</v>
      </c>
      <c r="H197" s="408">
        <f>skemA7!$G$21*COS(RADIANS(skemA7!$G$28*E197-skemA7!$G$22))</f>
        <v>-11.047873228198144</v>
      </c>
      <c r="I197" s="408">
        <f>skemA7!$H$21*COS(RADIANS(skemA7!$H$28*E197-skemA7!$H$22))</f>
        <v>33.971335671232055</v>
      </c>
      <c r="J197" s="408">
        <f>skemA7!$I$21*COS(RADIANS(skemA7!$I$28*E197-skemA7!$I$22))</f>
        <v>17.25719048153713</v>
      </c>
      <c r="K197" s="408">
        <f>skemA7!$J$21*COS(RADIANS(skemA7!$J$28*E197-skemA7!$J$22))</f>
        <v>1.7338468404073479</v>
      </c>
      <c r="L197" s="408">
        <f>skemA7!$K$21*COS(RADIANS(skemA7!$K$28*E197-skemA7!$K$22))</f>
        <v>-3.1644615105274352</v>
      </c>
      <c r="M197" s="408">
        <f>skemA7!$L$21*COS(RADIANS(skemA7!$L$28*E197-skemA7!$L$22))</f>
        <v>5.5548749612015396</v>
      </c>
      <c r="N197" s="408">
        <f>skemA7!$M$21*COS(RADIANS(skemA7!$M$28*E197-skemA7!$M$22))</f>
        <v>11.777724451962277</v>
      </c>
      <c r="O197" s="409">
        <f>skemA7!$D$21+'Forcasting Pasut'!F197+'Forcasting Pasut'!G197+K197+L197+'Forcasting Pasut'!H197+'Forcasting Pasut'!I197+'Forcasting Pasut'!J197+'Forcasting Pasut'!M197+'Forcasting Pasut'!N197</f>
        <v>222.6641595981082</v>
      </c>
      <c r="P197" s="405"/>
      <c r="Q197" s="406">
        <f>AB186</f>
        <v>199.10000000000002</v>
      </c>
      <c r="R197" s="406"/>
      <c r="S197" s="406"/>
      <c r="T197" s="406"/>
      <c r="U197" s="406"/>
      <c r="V197" s="406"/>
      <c r="W197" s="406"/>
      <c r="X197" s="406"/>
      <c r="Y197" s="406"/>
      <c r="Z197" s="406"/>
      <c r="AA197" s="406"/>
      <c r="AB197" s="406"/>
      <c r="AC197" s="406"/>
      <c r="AD197" s="406"/>
      <c r="AE197" s="406"/>
      <c r="AF197" s="406"/>
      <c r="AG197" s="406"/>
      <c r="AH197" s="406"/>
      <c r="AI197" s="406"/>
      <c r="AJ197" s="406"/>
      <c r="AK197" s="406"/>
      <c r="AL197" s="406"/>
      <c r="AM197" s="406"/>
      <c r="AN197" s="406"/>
      <c r="AO197" s="407"/>
      <c r="AP197" s="410"/>
    </row>
    <row r="198" spans="1:42">
      <c r="A198" s="402"/>
      <c r="B198" s="77"/>
      <c r="D198" s="131"/>
      <c r="E198" s="113">
        <f t="shared" si="2"/>
        <v>180</v>
      </c>
      <c r="F198" s="408">
        <f>skemA7!$E$21*COS(RADIANS(skemA7!$E$28*E198-skemA7!$E$22))</f>
        <v>-18.370517458788637</v>
      </c>
      <c r="G198" s="408">
        <f>skemA7!$F$21*COS(RADIANS(skemA7!$F$28*E198-skemA7!$F$22))</f>
        <v>17.131329356559178</v>
      </c>
      <c r="H198" s="408">
        <f>skemA7!$G$21*COS(RADIANS(skemA7!$G$28*E198-skemA7!$G$22))</f>
        <v>-3.2161669451421901</v>
      </c>
      <c r="I198" s="408">
        <f>skemA7!$H$21*COS(RADIANS(skemA7!$H$28*E198-skemA7!$H$22))</f>
        <v>29.91177111787222</v>
      </c>
      <c r="J198" s="408">
        <f>skemA7!$I$21*COS(RADIANS(skemA7!$I$28*E198-skemA7!$I$22))</f>
        <v>11.591047182226271</v>
      </c>
      <c r="K198" s="408">
        <f>skemA7!$J$21*COS(RADIANS(skemA7!$J$28*E198-skemA7!$J$22))</f>
        <v>0.5734292331982086</v>
      </c>
      <c r="L198" s="408">
        <f>skemA7!$K$21*COS(RADIANS(skemA7!$K$28*E198-skemA7!$K$22))</f>
        <v>-2.4512643476120806</v>
      </c>
      <c r="M198" s="408">
        <f>skemA7!$L$21*COS(RADIANS(skemA7!$L$28*E198-skemA7!$L$22))</f>
        <v>3.4182141120163338</v>
      </c>
      <c r="N198" s="408">
        <f>skemA7!$M$21*COS(RADIANS(skemA7!$M$28*E198-skemA7!$M$22))</f>
        <v>11.19234677255216</v>
      </c>
      <c r="O198" s="409">
        <f>skemA7!$D$21+'Forcasting Pasut'!F198+'Forcasting Pasut'!G198+K198+L198+'Forcasting Pasut'!H198+'Forcasting Pasut'!I198+'Forcasting Pasut'!J198+'Forcasting Pasut'!M198+'Forcasting Pasut'!N198</f>
        <v>215.94850798839869</v>
      </c>
      <c r="P198" s="405"/>
      <c r="Q198" s="406">
        <f>AC186</f>
        <v>169.79999999999998</v>
      </c>
      <c r="R198" s="406"/>
      <c r="S198" s="406"/>
      <c r="T198" s="406"/>
      <c r="U198" s="406"/>
      <c r="V198" s="406"/>
      <c r="W198" s="406"/>
      <c r="X198" s="406"/>
      <c r="Y198" s="406"/>
      <c r="Z198" s="406"/>
      <c r="AA198" s="406"/>
      <c r="AB198" s="406"/>
      <c r="AC198" s="406"/>
      <c r="AD198" s="406"/>
      <c r="AE198" s="406"/>
      <c r="AF198" s="406"/>
      <c r="AG198" s="406"/>
      <c r="AH198" s="406"/>
      <c r="AI198" s="406"/>
      <c r="AJ198" s="406"/>
      <c r="AK198" s="406"/>
      <c r="AL198" s="406"/>
      <c r="AM198" s="406"/>
      <c r="AN198" s="406"/>
      <c r="AO198" s="407"/>
      <c r="AP198" s="410"/>
    </row>
    <row r="199" spans="1:42">
      <c r="A199" s="402"/>
      <c r="B199" s="77"/>
      <c r="D199" s="131"/>
      <c r="E199" s="113">
        <f t="shared" si="2"/>
        <v>181</v>
      </c>
      <c r="F199" s="408">
        <f>skemA7!$E$21*COS(RADIANS(skemA7!$E$28*E199-skemA7!$E$22))</f>
        <v>-10.050788172603299</v>
      </c>
      <c r="G199" s="408">
        <f>skemA7!$F$21*COS(RADIANS(skemA7!$F$28*E199-skemA7!$F$22))</f>
        <v>7.1705119453438559</v>
      </c>
      <c r="H199" s="408">
        <f>skemA7!$G$21*COS(RADIANS(skemA7!$G$28*E199-skemA7!$G$22))</f>
        <v>5.3918171258800296</v>
      </c>
      <c r="I199" s="408">
        <f>skemA7!$H$21*COS(RADIANS(skemA7!$H$28*E199-skemA7!$H$22))</f>
        <v>23.802674260277865</v>
      </c>
      <c r="J199" s="408">
        <f>skemA7!$I$21*COS(RADIANS(skemA7!$I$28*E199-skemA7!$I$22))</f>
        <v>5.2418647791373347</v>
      </c>
      <c r="K199" s="408">
        <f>skemA7!$J$21*COS(RADIANS(skemA7!$J$28*E199-skemA7!$J$22))</f>
        <v>-1.1255613431643681</v>
      </c>
      <c r="L199" s="408">
        <f>skemA7!$K$21*COS(RADIANS(skemA7!$K$28*E199-skemA7!$K$22))</f>
        <v>0.63829916762635697</v>
      </c>
      <c r="M199" s="408">
        <f>skemA7!$L$21*COS(RADIANS(skemA7!$L$28*E199-skemA7!$L$22))</f>
        <v>0.36074744483988319</v>
      </c>
      <c r="N199" s="408">
        <f>skemA7!$M$21*COS(RADIANS(skemA7!$M$28*E199-skemA7!$M$22))</f>
        <v>9.8483694230669094</v>
      </c>
      <c r="O199" s="409">
        <f>skemA7!$D$21+'Forcasting Pasut'!F199+'Forcasting Pasut'!G199+K199+L199+'Forcasting Pasut'!H199+'Forcasting Pasut'!I199+'Forcasting Pasut'!J199+'Forcasting Pasut'!M199+'Forcasting Pasut'!N199</f>
        <v>207.4462535959218</v>
      </c>
      <c r="P199" s="405"/>
      <c r="Q199" s="406">
        <f>AD186</f>
        <v>143.55000000000001</v>
      </c>
      <c r="R199" s="406"/>
      <c r="S199" s="406"/>
      <c r="T199" s="406"/>
      <c r="U199" s="406"/>
      <c r="V199" s="406"/>
      <c r="W199" s="406"/>
      <c r="X199" s="406"/>
      <c r="Y199" s="406"/>
      <c r="Z199" s="406"/>
      <c r="AA199" s="406"/>
      <c r="AB199" s="406"/>
      <c r="AC199" s="406"/>
      <c r="AD199" s="406"/>
      <c r="AE199" s="406"/>
      <c r="AF199" s="406"/>
      <c r="AG199" s="406"/>
      <c r="AH199" s="406"/>
      <c r="AI199" s="406"/>
      <c r="AJ199" s="406"/>
      <c r="AK199" s="406"/>
      <c r="AL199" s="406"/>
      <c r="AM199" s="406"/>
      <c r="AN199" s="406"/>
      <c r="AO199" s="407"/>
      <c r="AP199" s="410"/>
    </row>
    <row r="200" spans="1:42">
      <c r="A200" s="402"/>
      <c r="B200" s="77"/>
      <c r="D200" s="131"/>
      <c r="E200" s="113">
        <f t="shared" si="2"/>
        <v>182</v>
      </c>
      <c r="F200" s="408">
        <f>skemA7!$E$21*COS(RADIANS(skemA7!$E$28*E200-skemA7!$E$22))</f>
        <v>0.78656188868061383</v>
      </c>
      <c r="G200" s="408">
        <f>skemA7!$F$21*COS(RADIANS(skemA7!$F$28*E200-skemA7!$F$22))</f>
        <v>-4.7116383509437725</v>
      </c>
      <c r="H200" s="408">
        <f>skemA7!$G$21*COS(RADIANS(skemA7!$G$28*E200-skemA7!$G$22))</f>
        <v>12.698392425844302</v>
      </c>
      <c r="I200" s="408">
        <f>skemA7!$H$21*COS(RADIANS(skemA7!$H$28*E200-skemA7!$H$22))</f>
        <v>16.062635870289121</v>
      </c>
      <c r="J200" s="408">
        <f>skemA7!$I$21*COS(RADIANS(skemA7!$I$28*E200-skemA7!$I$22))</f>
        <v>-1.4162110797866907</v>
      </c>
      <c r="K200" s="408">
        <f>skemA7!$J$21*COS(RADIANS(skemA7!$J$28*E200-skemA7!$J$22))</f>
        <v>-1.767408545145094</v>
      </c>
      <c r="L200" s="408">
        <f>skemA7!$K$21*COS(RADIANS(skemA7!$K$28*E200-skemA7!$K$22))</f>
        <v>3.1090666455704499</v>
      </c>
      <c r="M200" s="408">
        <f>skemA7!$L$21*COS(RADIANS(skemA7!$L$28*E200-skemA7!$L$22))</f>
        <v>-2.7938981394985301</v>
      </c>
      <c r="N200" s="408">
        <f>skemA7!$M$21*COS(RADIANS(skemA7!$M$28*E200-skemA7!$M$22))</f>
        <v>7.8368850755462747</v>
      </c>
      <c r="O200" s="409">
        <f>skemA7!$D$21+'Forcasting Pasut'!F200+'Forcasting Pasut'!G200+K200+L200+'Forcasting Pasut'!H200+'Forcasting Pasut'!I200+'Forcasting Pasut'!J200+'Forcasting Pasut'!M200+'Forcasting Pasut'!N200</f>
        <v>195.97270475607388</v>
      </c>
      <c r="P200" s="405"/>
      <c r="Q200" s="406">
        <f>AE186</f>
        <v>131.9</v>
      </c>
      <c r="R200" s="406"/>
      <c r="S200" s="406"/>
      <c r="T200" s="406"/>
      <c r="U200" s="406"/>
      <c r="V200" s="406"/>
      <c r="W200" s="406"/>
      <c r="X200" s="406"/>
      <c r="Y200" s="406"/>
      <c r="Z200" s="406"/>
      <c r="AA200" s="406"/>
      <c r="AB200" s="406"/>
      <c r="AC200" s="406"/>
      <c r="AD200" s="406"/>
      <c r="AE200" s="406"/>
      <c r="AF200" s="406"/>
      <c r="AG200" s="406"/>
      <c r="AH200" s="406"/>
      <c r="AI200" s="406"/>
      <c r="AJ200" s="406"/>
      <c r="AK200" s="406"/>
      <c r="AL200" s="406"/>
      <c r="AM200" s="406"/>
      <c r="AN200" s="406"/>
      <c r="AO200" s="407"/>
      <c r="AP200" s="410"/>
    </row>
    <row r="201" spans="1:42">
      <c r="A201" s="402"/>
      <c r="B201" s="77"/>
      <c r="D201" s="131"/>
      <c r="E201" s="113">
        <f t="shared" si="2"/>
        <v>183</v>
      </c>
      <c r="F201" s="408">
        <f>skemA7!$E$21*COS(RADIANS(skemA7!$E$28*E201-skemA7!$E$22))</f>
        <v>11.426886152799321</v>
      </c>
      <c r="G201" s="408">
        <f>skemA7!$F$21*COS(RADIANS(skemA7!$F$28*E201-skemA7!$F$22))</f>
        <v>-15.331308956068806</v>
      </c>
      <c r="H201" s="408">
        <f>skemA7!$G$21*COS(RADIANS(skemA7!$G$28*E201-skemA7!$G$22))</f>
        <v>16.939990020610107</v>
      </c>
      <c r="I201" s="408">
        <f>skemA7!$H$21*COS(RADIANS(skemA7!$H$28*E201-skemA7!$H$22))</f>
        <v>7.2219976202123606</v>
      </c>
      <c r="J201" s="408">
        <f>skemA7!$I$21*COS(RADIANS(skemA7!$I$28*E201-skemA7!$I$22))</f>
        <v>-7.9908322230590763</v>
      </c>
      <c r="K201" s="408">
        <f>skemA7!$J$21*COS(RADIANS(skemA7!$J$28*E201-skemA7!$J$22))</f>
        <v>-0.74928026496047051</v>
      </c>
      <c r="L201" s="408">
        <f>skemA7!$K$21*COS(RADIANS(skemA7!$K$28*E201-skemA7!$K$22))</f>
        <v>2.5657645186347109</v>
      </c>
      <c r="M201" s="408">
        <f>skemA7!$L$21*COS(RADIANS(skemA7!$L$28*E201-skemA7!$L$22))</f>
        <v>-5.1959174759138529</v>
      </c>
      <c r="N201" s="408">
        <f>skemA7!$M$21*COS(RADIANS(skemA7!$M$28*E201-skemA7!$M$22))</f>
        <v>5.2942289770479842</v>
      </c>
      <c r="O201" s="409">
        <f>skemA7!$D$21+'Forcasting Pasut'!F201+'Forcasting Pasut'!G201+K201+L201+'Forcasting Pasut'!H201+'Forcasting Pasut'!I201+'Forcasting Pasut'!J201+'Forcasting Pasut'!M201+'Forcasting Pasut'!N201</f>
        <v>180.34984733481954</v>
      </c>
      <c r="P201" s="405"/>
      <c r="Q201" s="406">
        <f>AF186</f>
        <v>130.4</v>
      </c>
      <c r="R201" s="406"/>
      <c r="S201" s="406"/>
      <c r="T201" s="406"/>
      <c r="U201" s="406"/>
      <c r="V201" s="406"/>
      <c r="W201" s="406"/>
      <c r="X201" s="406"/>
      <c r="Y201" s="406"/>
      <c r="Z201" s="406"/>
      <c r="AA201" s="406"/>
      <c r="AB201" s="406"/>
      <c r="AC201" s="406"/>
      <c r="AD201" s="406"/>
      <c r="AE201" s="406"/>
      <c r="AF201" s="406"/>
      <c r="AG201" s="406"/>
      <c r="AH201" s="406"/>
      <c r="AI201" s="406"/>
      <c r="AJ201" s="406"/>
      <c r="AK201" s="406"/>
      <c r="AL201" s="406"/>
      <c r="AM201" s="406"/>
      <c r="AN201" s="406"/>
      <c r="AO201" s="407"/>
      <c r="AP201" s="410"/>
    </row>
    <row r="202" spans="1:42">
      <c r="A202" s="402"/>
      <c r="B202" s="77"/>
      <c r="D202" s="131"/>
      <c r="E202" s="113">
        <f t="shared" si="2"/>
        <v>184</v>
      </c>
      <c r="F202" s="408">
        <f>skemA7!$E$21*COS(RADIANS(skemA7!$E$28*E202-skemA7!$E$22))</f>
        <v>19.204891016794885</v>
      </c>
      <c r="G202" s="408">
        <f>skemA7!$F$21*COS(RADIANS(skemA7!$F$28*E202-skemA7!$F$22))</f>
        <v>-21.842967707503121</v>
      </c>
      <c r="H202" s="408">
        <f>skemA7!$G$21*COS(RADIANS(skemA7!$G$28*E202-skemA7!$G$22))</f>
        <v>17.09282661333113</v>
      </c>
      <c r="I202" s="408">
        <f>skemA7!$H$21*COS(RADIANS(skemA7!$H$28*E202-skemA7!$H$22))</f>
        <v>-2.1134865340203928</v>
      </c>
      <c r="J202" s="408">
        <f>skemA7!$I$21*COS(RADIANS(skemA7!$I$28*E202-skemA7!$I$22))</f>
        <v>-14.094568312179424</v>
      </c>
      <c r="K202" s="408">
        <f>skemA7!$J$21*COS(RADIANS(skemA7!$J$28*E202-skemA7!$J$22))</f>
        <v>0.97258279828908134</v>
      </c>
      <c r="L202" s="408">
        <f>skemA7!$K$21*COS(RADIANS(skemA7!$K$28*E202-skemA7!$K$22))</f>
        <v>-0.46490559699127021</v>
      </c>
      <c r="M202" s="408">
        <f>skemA7!$L$21*COS(RADIANS(skemA7!$L$28*E202-skemA7!$L$22))</f>
        <v>-6.1982494654177307</v>
      </c>
      <c r="N202" s="408">
        <f>skemA7!$M$21*COS(RADIANS(skemA7!$M$28*E202-skemA7!$M$22))</f>
        <v>2.3927383609183281</v>
      </c>
      <c r="O202" s="409">
        <f>skemA7!$D$21+'Forcasting Pasut'!F202+'Forcasting Pasut'!G202+K202+L202+'Forcasting Pasut'!H202+'Forcasting Pasut'!I202+'Forcasting Pasut'!J202+'Forcasting Pasut'!M202+'Forcasting Pasut'!N202</f>
        <v>161.11718013873872</v>
      </c>
      <c r="P202" s="405"/>
      <c r="Q202" s="406">
        <f>AG186</f>
        <v>142.1</v>
      </c>
      <c r="R202" s="406"/>
      <c r="S202" s="406"/>
      <c r="T202" s="406"/>
      <c r="U202" s="406"/>
      <c r="V202" s="406"/>
      <c r="W202" s="406"/>
      <c r="X202" s="406"/>
      <c r="Y202" s="406"/>
      <c r="Z202" s="406"/>
      <c r="AA202" s="406"/>
      <c r="AB202" s="406"/>
      <c r="AC202" s="406"/>
      <c r="AD202" s="406"/>
      <c r="AE202" s="406"/>
      <c r="AF202" s="406"/>
      <c r="AG202" s="406"/>
      <c r="AH202" s="406"/>
      <c r="AI202" s="406"/>
      <c r="AJ202" s="406"/>
      <c r="AK202" s="406"/>
      <c r="AL202" s="406"/>
      <c r="AM202" s="406"/>
      <c r="AN202" s="406"/>
      <c r="AO202" s="407"/>
      <c r="AP202" s="410"/>
    </row>
    <row r="203" spans="1:42">
      <c r="A203" s="402"/>
      <c r="B203" s="77"/>
      <c r="D203" s="131"/>
      <c r="E203" s="113">
        <f t="shared" si="2"/>
        <v>185</v>
      </c>
      <c r="F203" s="408">
        <f>skemA7!$E$21*COS(RADIANS(skemA7!$E$28*E203-skemA7!$E$22))</f>
        <v>22.172264935529629</v>
      </c>
      <c r="G203" s="408">
        <f>skemA7!$F$21*COS(RADIANS(skemA7!$F$28*E203-skemA7!$F$22))</f>
        <v>-22.501820901412817</v>
      </c>
      <c r="H203" s="408">
        <f>skemA7!$G$21*COS(RADIANS(skemA7!$G$28*E203-skemA7!$G$22))</f>
        <v>13.120012436112432</v>
      </c>
      <c r="I203" s="408">
        <f>skemA7!$H$21*COS(RADIANS(skemA7!$H$28*E203-skemA7!$H$22))</f>
        <v>-11.304156163263302</v>
      </c>
      <c r="J203" s="408">
        <f>skemA7!$I$21*COS(RADIANS(skemA7!$I$28*E203-skemA7!$I$22))</f>
        <v>-19.367737399308851</v>
      </c>
      <c r="K203" s="408">
        <f>skemA7!$J$21*COS(RADIANS(skemA7!$J$28*E203-skemA7!$J$22))</f>
        <v>1.7809821329794009</v>
      </c>
      <c r="L203" s="408">
        <f>skemA7!$K$21*COS(RADIANS(skemA7!$K$28*E203-skemA7!$K$22))</f>
        <v>-3.0448752327718331</v>
      </c>
      <c r="M203" s="408">
        <f>skemA7!$L$21*COS(RADIANS(skemA7!$L$28*E203-skemA7!$L$22))</f>
        <v>-5.5308837759337477</v>
      </c>
      <c r="N203" s="408">
        <f>skemA7!$M$21*COS(RADIANS(skemA7!$M$28*E203-skemA7!$M$22))</f>
        <v>-0.67092829997249515</v>
      </c>
      <c r="O203" s="409">
        <f>skemA7!$D$21+'Forcasting Pasut'!F203+'Forcasting Pasut'!G203+K203+L203+'Forcasting Pasut'!H203+'Forcasting Pasut'!I203+'Forcasting Pasut'!J203+'Forcasting Pasut'!M203+'Forcasting Pasut'!N203</f>
        <v>140.82117669747564</v>
      </c>
      <c r="P203" s="405"/>
      <c r="Q203" s="406">
        <f>AH186</f>
        <v>159.4</v>
      </c>
      <c r="R203" s="406"/>
      <c r="S203" s="406"/>
      <c r="T203" s="406"/>
      <c r="U203" s="406"/>
      <c r="V203" s="406"/>
      <c r="W203" s="406"/>
      <c r="X203" s="406"/>
      <c r="Y203" s="406"/>
      <c r="Z203" s="406"/>
      <c r="AA203" s="406"/>
      <c r="AB203" s="406"/>
      <c r="AC203" s="406"/>
      <c r="AD203" s="406"/>
      <c r="AE203" s="406"/>
      <c r="AF203" s="406"/>
      <c r="AG203" s="406"/>
      <c r="AH203" s="406"/>
      <c r="AI203" s="406"/>
      <c r="AJ203" s="406"/>
      <c r="AK203" s="406"/>
      <c r="AL203" s="406"/>
      <c r="AM203" s="406"/>
      <c r="AN203" s="406"/>
      <c r="AO203" s="407"/>
      <c r="AP203" s="410"/>
    </row>
    <row r="204" spans="1:42">
      <c r="A204" s="402"/>
      <c r="B204" s="77"/>
      <c r="D204" s="131"/>
      <c r="E204" s="113">
        <f t="shared" si="2"/>
        <v>186</v>
      </c>
      <c r="F204" s="408">
        <f>skemA7!$E$21*COS(RADIANS(skemA7!$E$28*E204-skemA7!$E$22))</f>
        <v>19.585710756880104</v>
      </c>
      <c r="G204" s="408">
        <f>skemA7!$F$21*COS(RADIANS(skemA7!$F$28*E204-skemA7!$F$22))</f>
        <v>-17.131329356559128</v>
      </c>
      <c r="H204" s="408">
        <f>skemA7!$G$21*COS(RADIANS(skemA7!$G$28*E204-skemA7!$G$22))</f>
        <v>5.9804552366219585</v>
      </c>
      <c r="I204" s="408">
        <f>skemA7!$H$21*COS(RADIANS(skemA7!$H$28*E204-skemA7!$H$22))</f>
        <v>-19.720273421888766</v>
      </c>
      <c r="J204" s="408">
        <f>skemA7!$I$21*COS(RADIANS(skemA7!$I$28*E204-skemA7!$I$22))</f>
        <v>-23.499601323285333</v>
      </c>
      <c r="K204" s="408">
        <f>skemA7!$J$21*COS(RADIANS(skemA7!$J$28*E204-skemA7!$J$22))</f>
        <v>0.91665747691994282</v>
      </c>
      <c r="L204" s="408">
        <f>skemA7!$K$21*COS(RADIANS(skemA7!$K$28*E204-skemA7!$K$22))</f>
        <v>-2.6730053179834599</v>
      </c>
      <c r="M204" s="408">
        <f>skemA7!$L$21*COS(RADIANS(skemA7!$L$28*E204-skemA7!$L$22))</f>
        <v>-3.3735968022301628</v>
      </c>
      <c r="N204" s="408">
        <f>skemA7!$M$21*COS(RADIANS(skemA7!$M$28*E204-skemA7!$M$22))</f>
        <v>-3.6891204953784404</v>
      </c>
      <c r="O204" s="409">
        <f>skemA7!$D$21+'Forcasting Pasut'!F204+'Forcasting Pasut'!G204+K204+L204+'Forcasting Pasut'!H204+'Forcasting Pasut'!I204+'Forcasting Pasut'!J204+'Forcasting Pasut'!M204+'Forcasting Pasut'!N204</f>
        <v>122.56421571861394</v>
      </c>
      <c r="P204" s="405"/>
      <c r="Q204" s="406">
        <f>AI186</f>
        <v>174.8</v>
      </c>
      <c r="R204" s="406"/>
      <c r="S204" s="406"/>
      <c r="T204" s="406"/>
      <c r="U204" s="406"/>
      <c r="V204" s="406"/>
      <c r="W204" s="406"/>
      <c r="X204" s="406"/>
      <c r="Y204" s="406"/>
      <c r="Z204" s="406"/>
      <c r="AA204" s="406"/>
      <c r="AB204" s="406"/>
      <c r="AC204" s="406"/>
      <c r="AD204" s="406"/>
      <c r="AE204" s="406"/>
      <c r="AF204" s="406"/>
      <c r="AG204" s="406"/>
      <c r="AH204" s="406"/>
      <c r="AI204" s="406"/>
      <c r="AJ204" s="406"/>
      <c r="AK204" s="406"/>
      <c r="AL204" s="406"/>
      <c r="AM204" s="406"/>
      <c r="AN204" s="406"/>
      <c r="AO204" s="407"/>
      <c r="AP204" s="410"/>
    </row>
    <row r="205" spans="1:42">
      <c r="A205" s="402"/>
      <c r="B205" s="77"/>
      <c r="D205" s="131"/>
      <c r="E205" s="113">
        <f t="shared" si="2"/>
        <v>187</v>
      </c>
      <c r="F205" s="408">
        <f>skemA7!$E$21*COS(RADIANS(skemA7!$E$28*E205-skemA7!$E$22))</f>
        <v>12.093134140010072</v>
      </c>
      <c r="G205" s="408">
        <f>skemA7!$F$21*COS(RADIANS(skemA7!$F$28*E205-skemA7!$F$22))</f>
        <v>-7.1705119453440913</v>
      </c>
      <c r="H205" s="408">
        <f>skemA7!$G$21*COS(RADIANS(skemA7!$G$28*E205-skemA7!$G$22))</f>
        <v>-2.6025887722600585</v>
      </c>
      <c r="I205" s="408">
        <f>skemA7!$H$21*COS(RADIANS(skemA7!$H$28*E205-skemA7!$H$22))</f>
        <v>-26.78517221647741</v>
      </c>
      <c r="J205" s="408">
        <f>skemA7!$I$21*COS(RADIANS(skemA7!$I$28*E205-skemA7!$I$22))</f>
        <v>-26.246676938264006</v>
      </c>
      <c r="K205" s="408">
        <f>skemA7!$J$21*COS(RADIANS(skemA7!$J$28*E205-skemA7!$J$22))</f>
        <v>-0.80860504288950641</v>
      </c>
      <c r="L205" s="408">
        <f>skemA7!$K$21*COS(RADIANS(skemA7!$K$28*E205-skemA7!$K$22))</f>
        <v>0.29019665914427301</v>
      </c>
      <c r="M205" s="408">
        <f>skemA7!$L$21*COS(RADIANS(skemA7!$L$28*E205-skemA7!$L$22))</f>
        <v>-0.30752311673776001</v>
      </c>
      <c r="N205" s="408">
        <f>skemA7!$M$21*COS(RADIANS(skemA7!$M$28*E205-skemA7!$M$22))</f>
        <v>-6.4572699028390499</v>
      </c>
      <c r="O205" s="409">
        <f>skemA7!$D$21+'Forcasting Pasut'!F205+'Forcasting Pasut'!G205+K205+L205+'Forcasting Pasut'!H205+'Forcasting Pasut'!I205+'Forcasting Pasut'!J205+'Forcasting Pasut'!M205+'Forcasting Pasut'!N205</f>
        <v>108.17330182985975</v>
      </c>
      <c r="P205" s="405"/>
      <c r="Q205" s="406">
        <f>AJ186</f>
        <v>182</v>
      </c>
      <c r="R205" s="406"/>
      <c r="S205" s="406"/>
      <c r="T205" s="406"/>
      <c r="U205" s="406"/>
      <c r="V205" s="406"/>
      <c r="W205" s="406"/>
      <c r="X205" s="406"/>
      <c r="Y205" s="406"/>
      <c r="Z205" s="406"/>
      <c r="AA205" s="406"/>
      <c r="AB205" s="406"/>
      <c r="AC205" s="406"/>
      <c r="AD205" s="406"/>
      <c r="AE205" s="406"/>
      <c r="AF205" s="406"/>
      <c r="AG205" s="406"/>
      <c r="AH205" s="406"/>
      <c r="AI205" s="406"/>
      <c r="AJ205" s="406"/>
      <c r="AK205" s="406"/>
      <c r="AL205" s="406"/>
      <c r="AM205" s="406"/>
      <c r="AN205" s="406"/>
      <c r="AO205" s="407"/>
      <c r="AP205" s="410"/>
    </row>
    <row r="206" spans="1:42">
      <c r="A206" s="402"/>
      <c r="B206" s="77"/>
      <c r="D206" s="131"/>
      <c r="E206" s="113">
        <f t="shared" si="2"/>
        <v>188</v>
      </c>
      <c r="F206" s="408">
        <f>skemA7!$E$21*COS(RADIANS(skemA7!$E$28*E206-skemA7!$E$22))</f>
        <v>1.5713497412140047</v>
      </c>
      <c r="G206" s="408">
        <f>skemA7!$F$21*COS(RADIANS(skemA7!$F$28*E206-skemA7!$F$22))</f>
        <v>4.7116383509438498</v>
      </c>
      <c r="H206" s="408">
        <f>skemA7!$G$21*COS(RADIANS(skemA7!$G$28*E206-skemA7!$G$22))</f>
        <v>-10.55745274895571</v>
      </c>
      <c r="I206" s="408">
        <f>skemA7!$H$21*COS(RADIANS(skemA7!$H$28*E206-skemA7!$H$22))</f>
        <v>-32.014770937532568</v>
      </c>
      <c r="J206" s="408">
        <f>skemA7!$I$21*COS(RADIANS(skemA7!$I$28*E206-skemA7!$I$22))</f>
        <v>-27.447084127930648</v>
      </c>
      <c r="K206" s="408">
        <f>skemA7!$J$21*COS(RADIANS(skemA7!$J$28*E206-skemA7!$J$22))</f>
        <v>-1.7744140964141164</v>
      </c>
      <c r="L206" s="408">
        <f>skemA7!$K$21*COS(RADIANS(skemA7!$K$28*E206-skemA7!$K$22))</f>
        <v>2.9720688902497896</v>
      </c>
      <c r="M206" s="408">
        <f>skemA7!$L$21*COS(RADIANS(skemA7!$L$28*E206-skemA7!$L$22))</f>
        <v>2.8413918027381948</v>
      </c>
      <c r="N206" s="408">
        <f>skemA7!$M$21*COS(RADIANS(skemA7!$M$28*E206-skemA7!$M$22))</f>
        <v>-8.7877557069975794</v>
      </c>
      <c r="O206" s="409">
        <f>skemA7!$D$21+'Forcasting Pasut'!F206+'Forcasting Pasut'!G206+K206+L206+'Forcasting Pasut'!H206+'Forcasting Pasut'!I206+'Forcasting Pasut'!J206+'Forcasting Pasut'!M206+'Forcasting Pasut'!N206</f>
        <v>97.68329013283244</v>
      </c>
      <c r="P206" s="405"/>
      <c r="Q206" s="406">
        <f>AK186</f>
        <v>177.1</v>
      </c>
      <c r="R206" s="406"/>
      <c r="S206" s="406"/>
      <c r="T206" s="406"/>
      <c r="U206" s="406"/>
      <c r="V206" s="406"/>
      <c r="W206" s="406"/>
      <c r="X206" s="406"/>
      <c r="Y206" s="406"/>
      <c r="Z206" s="406"/>
      <c r="AA206" s="406"/>
      <c r="AB206" s="406"/>
      <c r="AC206" s="406"/>
      <c r="AD206" s="406"/>
      <c r="AE206" s="406"/>
      <c r="AF206" s="406"/>
      <c r="AG206" s="406"/>
      <c r="AH206" s="406"/>
      <c r="AI206" s="406"/>
      <c r="AJ206" s="406"/>
      <c r="AK206" s="406"/>
      <c r="AL206" s="406"/>
      <c r="AM206" s="406"/>
      <c r="AN206" s="406"/>
      <c r="AO206" s="407"/>
      <c r="AP206" s="410"/>
    </row>
    <row r="207" spans="1:42">
      <c r="A207" s="402"/>
      <c r="B207" s="77"/>
      <c r="D207" s="131"/>
      <c r="E207" s="113">
        <f t="shared" si="2"/>
        <v>189</v>
      </c>
      <c r="F207" s="408">
        <f>skemA7!$E$21*COS(RADIANS(skemA7!$E$28*E207-skemA7!$E$22))</f>
        <v>-9.3440418738014159</v>
      </c>
      <c r="G207" s="408">
        <f>skemA7!$F$21*COS(RADIANS(skemA7!$F$28*E207-skemA7!$F$22))</f>
        <v>15.331308956068865</v>
      </c>
      <c r="H207" s="408">
        <f>skemA7!$G$21*COS(RADIANS(skemA7!$G$28*E207-skemA7!$G$22))</f>
        <v>-15.96409202018611</v>
      </c>
      <c r="I207" s="408">
        <f>skemA7!$H$21*COS(RADIANS(skemA7!$H$28*E207-skemA7!$H$22))</f>
        <v>-35.050741371229513</v>
      </c>
      <c r="J207" s="408">
        <f>skemA7!$I$21*COS(RADIANS(skemA7!$I$28*E207-skemA7!$I$22))</f>
        <v>-27.030085103187492</v>
      </c>
      <c r="K207" s="408">
        <f>skemA7!$J$21*COS(RADIANS(skemA7!$J$28*E207-skemA7!$J$22))</f>
        <v>-1.0736679534353561</v>
      </c>
      <c r="L207" s="408">
        <f>skemA7!$K$21*COS(RADIANS(skemA7!$K$28*E207-skemA7!$K$22))</f>
        <v>2.7726833270027638</v>
      </c>
      <c r="M207" s="408">
        <f>skemA7!$L$21*COS(RADIANS(skemA7!$L$28*E207-skemA7!$L$22))</f>
        <v>5.2248865298521592</v>
      </c>
      <c r="N207" s="408">
        <f>skemA7!$M$21*COS(RADIANS(skemA7!$M$28*E207-skemA7!$M$22))</f>
        <v>-10.522621243530221</v>
      </c>
      <c r="O207" s="409">
        <f>skemA7!$D$21+'Forcasting Pasut'!F207+'Forcasting Pasut'!G207+K207+L207+'Forcasting Pasut'!H207+'Forcasting Pasut'!I207+'Forcasting Pasut'!J207+'Forcasting Pasut'!M207+'Forcasting Pasut'!N207</f>
        <v>90.511948213070909</v>
      </c>
      <c r="P207" s="405"/>
      <c r="Q207" s="406">
        <f>AL186</f>
        <v>158.80000000000001</v>
      </c>
      <c r="R207" s="406"/>
      <c r="S207" s="406"/>
      <c r="T207" s="406"/>
      <c r="U207" s="406"/>
      <c r="V207" s="406"/>
      <c r="W207" s="406"/>
      <c r="X207" s="406"/>
      <c r="Y207" s="406"/>
      <c r="Z207" s="406"/>
      <c r="AA207" s="406"/>
      <c r="AB207" s="406"/>
      <c r="AC207" s="406"/>
      <c r="AD207" s="406"/>
      <c r="AE207" s="406"/>
      <c r="AF207" s="406"/>
      <c r="AG207" s="406"/>
      <c r="AH207" s="406"/>
      <c r="AI207" s="406"/>
      <c r="AJ207" s="406"/>
      <c r="AK207" s="406"/>
      <c r="AL207" s="406"/>
      <c r="AM207" s="406"/>
      <c r="AN207" s="406"/>
      <c r="AO207" s="407"/>
      <c r="AP207" s="410"/>
    </row>
    <row r="208" spans="1:42">
      <c r="A208" s="402"/>
      <c r="B208" s="77"/>
      <c r="D208" s="131"/>
      <c r="E208" s="113">
        <f t="shared" si="2"/>
        <v>190</v>
      </c>
      <c r="F208" s="408">
        <f>skemA7!$E$21*COS(RADIANS(skemA7!$E$28*E208-skemA7!$E$22))</f>
        <v>-17.918845512940504</v>
      </c>
      <c r="G208" s="408">
        <f>skemA7!$F$21*COS(RADIANS(skemA7!$F$28*E208-skemA7!$F$22))</f>
        <v>21.842967707503146</v>
      </c>
      <c r="H208" s="408">
        <f>skemA7!$G$21*COS(RADIANS(skemA7!$G$28*E208-skemA7!$G$22))</f>
        <v>-17.517520232509273</v>
      </c>
      <c r="I208" s="408">
        <f>skemA7!$H$21*COS(RADIANS(skemA7!$H$28*E208-skemA7!$H$22))</f>
        <v>-35.685061082051554</v>
      </c>
      <c r="J208" s="408">
        <f>skemA7!$I$21*COS(RADIANS(skemA7!$I$28*E208-skemA7!$I$22))</f>
        <v>-25.020252850034794</v>
      </c>
      <c r="K208" s="408">
        <f>skemA7!$J$21*COS(RADIANS(skemA7!$J$28*E208-skemA7!$J$22))</f>
        <v>0.63548254720310493</v>
      </c>
      <c r="L208" s="408">
        <f>skemA7!$K$21*COS(RADIANS(skemA7!$K$28*E208-skemA7!$K$22))</f>
        <v>-0.11466666176826981</v>
      </c>
      <c r="M208" s="408">
        <f>skemA7!$L$21*COS(RADIANS(skemA7!$L$28*E208-skemA7!$L$22))</f>
        <v>6.2008901644337371</v>
      </c>
      <c r="N208" s="408">
        <f>skemA7!$M$21*COS(RADIANS(skemA7!$M$28*E208-skemA7!$M$22))</f>
        <v>-11.544280053548329</v>
      </c>
      <c r="O208" s="409">
        <f>skemA7!$D$21+'Forcasting Pasut'!F208+'Forcasting Pasut'!G208+K208+L208+'Forcasting Pasut'!H208+'Forcasting Pasut'!I208+'Forcasting Pasut'!J208+'Forcasting Pasut'!M208+'Forcasting Pasut'!N208</f>
        <v>87.047032991804514</v>
      </c>
      <c r="P208" s="405"/>
      <c r="Q208" s="406">
        <f>AM186</f>
        <v>136</v>
      </c>
      <c r="R208" s="406"/>
      <c r="S208" s="406"/>
      <c r="T208" s="406"/>
      <c r="U208" s="406"/>
      <c r="V208" s="406"/>
      <c r="W208" s="406"/>
      <c r="X208" s="406"/>
      <c r="Y208" s="406"/>
      <c r="Z208" s="406"/>
      <c r="AA208" s="406"/>
      <c r="AB208" s="406"/>
      <c r="AC208" s="406"/>
      <c r="AD208" s="406"/>
      <c r="AE208" s="406"/>
      <c r="AF208" s="406"/>
      <c r="AG208" s="406"/>
      <c r="AH208" s="406"/>
      <c r="AI208" s="406"/>
      <c r="AJ208" s="406"/>
      <c r="AK208" s="406"/>
      <c r="AL208" s="406"/>
      <c r="AM208" s="406"/>
      <c r="AN208" s="406"/>
      <c r="AO208" s="407"/>
      <c r="AP208" s="410"/>
    </row>
    <row r="209" spans="1:42">
      <c r="A209" s="402"/>
      <c r="B209" s="77"/>
      <c r="D209" s="131"/>
      <c r="E209" s="113">
        <f t="shared" si="2"/>
        <v>191</v>
      </c>
      <c r="F209" s="408">
        <f>skemA7!$E$21*COS(RADIANS(skemA7!$E$28*E209-skemA7!$E$22))</f>
        <v>-22.005159597386971</v>
      </c>
      <c r="G209" s="408">
        <f>skemA7!$F$21*COS(RADIANS(skemA7!$F$28*E209-skemA7!$F$22))</f>
        <v>22.501820901412799</v>
      </c>
      <c r="H209" s="408">
        <f>skemA7!$G$21*COS(RADIANS(skemA7!$G$28*E209-skemA7!$G$22))</f>
        <v>-14.842790488890961</v>
      </c>
      <c r="I209" s="408">
        <f>skemA7!$H$21*COS(RADIANS(skemA7!$H$28*E209-skemA7!$H$22))</f>
        <v>-33.874266955313146</v>
      </c>
      <c r="J209" s="408">
        <f>skemA7!$I$21*COS(RADIANS(skemA7!$I$28*E209-skemA7!$I$22))</f>
        <v>-21.536023088675659</v>
      </c>
      <c r="K209" s="408">
        <f>skemA7!$J$21*COS(RADIANS(skemA7!$J$28*E209-skemA7!$J$22))</f>
        <v>1.747778715209334</v>
      </c>
      <c r="L209" s="408">
        <f>skemA7!$K$21*COS(RADIANS(skemA7!$K$28*E209-skemA7!$K$22))</f>
        <v>-2.8908536105248261</v>
      </c>
      <c r="M209" s="408">
        <f>skemA7!$L$21*COS(RADIANS(skemA7!$L$28*E209-skemA7!$L$22))</f>
        <v>5.5064847628866138</v>
      </c>
      <c r="N209" s="408">
        <f>skemA7!$M$21*COS(RADIANS(skemA7!$M$28*E209-skemA7!$M$22))</f>
        <v>-11.783485708938152</v>
      </c>
      <c r="O209" s="409">
        <f>skemA7!$D$21+'Forcasting Pasut'!F209+'Forcasting Pasut'!G209+K209+L209+'Forcasting Pasut'!H209+'Forcasting Pasut'!I209+'Forcasting Pasut'!J209+'Forcasting Pasut'!M209+'Forcasting Pasut'!N209</f>
        <v>88.991823895296278</v>
      </c>
      <c r="P209" s="405"/>
      <c r="Q209" s="406">
        <f>AN186</f>
        <v>112.4</v>
      </c>
      <c r="R209" s="406"/>
      <c r="S209" s="406"/>
      <c r="T209" s="406"/>
      <c r="U209" s="406"/>
      <c r="V209" s="406"/>
      <c r="W209" s="406"/>
      <c r="X209" s="406"/>
      <c r="Y209" s="406"/>
      <c r="Z209" s="406"/>
      <c r="AA209" s="406"/>
      <c r="AB209" s="406"/>
      <c r="AC209" s="406"/>
      <c r="AD209" s="406"/>
      <c r="AE209" s="406"/>
      <c r="AF209" s="406"/>
      <c r="AG209" s="406"/>
      <c r="AH209" s="406"/>
      <c r="AI209" s="406"/>
      <c r="AJ209" s="406"/>
      <c r="AK209" s="406"/>
      <c r="AL209" s="406"/>
      <c r="AM209" s="406"/>
      <c r="AN209" s="406"/>
      <c r="AO209" s="407"/>
      <c r="AP209" s="410"/>
    </row>
    <row r="210" spans="1:42">
      <c r="A210" s="402">
        <v>9</v>
      </c>
      <c r="B210" s="77">
        <f>skemA1!B13</f>
        <v>44717</v>
      </c>
      <c r="C210" s="43" t="e">
        <f>skemA1!#REF!</f>
        <v>#REF!</v>
      </c>
      <c r="D210" s="139" t="e">
        <f>skemA1!#REF!</f>
        <v>#REF!</v>
      </c>
      <c r="E210" s="113">
        <f t="shared" si="2"/>
        <v>192</v>
      </c>
      <c r="F210" s="408">
        <f>skemA7!$E$21*COS(RADIANS(skemA7!$E$28*E210-skemA7!$E$22))</f>
        <v>-20.579403781409848</v>
      </c>
      <c r="G210" s="408">
        <f>skemA7!$F$21*COS(RADIANS(skemA7!$F$28*E210-skemA7!$F$22))</f>
        <v>17.131329356559291</v>
      </c>
      <c r="H210" s="408">
        <f>skemA7!$G$21*COS(RADIANS(skemA7!$G$28*E210-skemA7!$G$22))</f>
        <v>-8.5854952987367401</v>
      </c>
      <c r="I210" s="408">
        <f>skemA7!$H$21*COS(RADIANS(skemA7!$H$28*E210-skemA7!$H$22))</f>
        <v>-29.742433257444226</v>
      </c>
      <c r="J210" s="408">
        <f>skemA7!$I$21*COS(RADIANS(skemA7!$I$28*E210-skemA7!$I$22))</f>
        <v>-16.782715074233451</v>
      </c>
      <c r="K210" s="408">
        <f>skemA7!$J$21*COS(RADIANS(skemA7!$J$28*E210-skemA7!$J$22))</f>
        <v>1.2185360191721792</v>
      </c>
      <c r="L210" s="408">
        <f>skemA7!$K$21*COS(RADIANS(skemA7!$K$28*E210-skemA7!$K$22))</f>
        <v>-2.8645165245992779</v>
      </c>
      <c r="M210" s="408">
        <f>skemA7!$L$21*COS(RADIANS(skemA7!$L$28*E210-skemA7!$L$22))</f>
        <v>3.3287307353650415</v>
      </c>
      <c r="N210" s="408">
        <f>skemA7!$M$21*COS(RADIANS(skemA7!$M$28*E210-skemA7!$M$22))</f>
        <v>-11.224025226404406</v>
      </c>
      <c r="O210" s="409">
        <f>skemA7!$D$21+'Forcasting Pasut'!F210+'Forcasting Pasut'!G210+K210+L210+'Forcasting Pasut'!H210+'Forcasting Pasut'!I210+'Forcasting Pasut'!J210+'Forcasting Pasut'!M210+'Forcasting Pasut'!N210</f>
        <v>98.068325913785827</v>
      </c>
      <c r="P210" s="405"/>
      <c r="Q210" s="406">
        <f>skemA1!C13</f>
        <v>90.5</v>
      </c>
      <c r="R210" s="406">
        <f>skemA1!D13</f>
        <v>78.600000000000009</v>
      </c>
      <c r="S210" s="406">
        <f>skemA1!E13</f>
        <v>84.5</v>
      </c>
      <c r="T210" s="406">
        <f>skemA1!F13</f>
        <v>107</v>
      </c>
      <c r="U210" s="406">
        <f>skemA1!G13</f>
        <v>141.30000000000001</v>
      </c>
      <c r="V210" s="406">
        <f>skemA1!H13</f>
        <v>179.20000000000002</v>
      </c>
      <c r="W210" s="406">
        <f>skemA1!I13</f>
        <v>217.89999999999998</v>
      </c>
      <c r="X210" s="406">
        <f>skemA1!J13</f>
        <v>244.20000000000002</v>
      </c>
      <c r="Y210" s="406">
        <f>skemA1!K13</f>
        <v>256.3</v>
      </c>
      <c r="Z210" s="406">
        <f>skemA1!L13</f>
        <v>255.20000000000002</v>
      </c>
      <c r="AA210" s="406">
        <f>skemA1!M13</f>
        <v>240.60000000000002</v>
      </c>
      <c r="AB210" s="406">
        <f>skemA1!N13</f>
        <v>211.50000000000003</v>
      </c>
      <c r="AC210" s="406">
        <f>skemA1!O13</f>
        <v>180.5</v>
      </c>
      <c r="AD210" s="406">
        <f>skemA1!P13</f>
        <v>156.4</v>
      </c>
      <c r="AE210" s="406">
        <f>skemA1!Q13</f>
        <v>143.9</v>
      </c>
      <c r="AF210" s="406">
        <f>skemA1!R13</f>
        <v>140.79999999999998</v>
      </c>
      <c r="AG210" s="406">
        <f>skemA1!S13</f>
        <v>147.9</v>
      </c>
      <c r="AH210" s="406">
        <f>skemA1!T13</f>
        <v>159.30000000000001</v>
      </c>
      <c r="AI210" s="406">
        <f>skemA1!U13</f>
        <v>172.10000000000002</v>
      </c>
      <c r="AJ210" s="406">
        <f>skemA1!V13</f>
        <v>180.8</v>
      </c>
      <c r="AK210" s="406">
        <f>skemA1!W13</f>
        <v>180.5</v>
      </c>
      <c r="AL210" s="406">
        <f>skemA1!X13</f>
        <v>166.70000000000002</v>
      </c>
      <c r="AM210" s="406">
        <f>skemA1!Y13</f>
        <v>146</v>
      </c>
      <c r="AN210" s="406">
        <f>skemA1!Z13</f>
        <v>125.4</v>
      </c>
      <c r="AO210" s="407">
        <f>SUM(Q210:AN210)</f>
        <v>4007.1000000000008</v>
      </c>
      <c r="AP210" s="407">
        <f>AVERAGE(Q210:AN210)</f>
        <v>166.96250000000003</v>
      </c>
    </row>
    <row r="211" spans="1:42">
      <c r="A211" s="402"/>
      <c r="B211" s="77"/>
      <c r="D211" s="131"/>
      <c r="E211" s="113">
        <f t="shared" si="2"/>
        <v>193</v>
      </c>
      <c r="F211" s="408">
        <f>skemA7!$E$21*COS(RADIANS(skemA7!$E$28*E211-skemA7!$E$22))</f>
        <v>-13.998715475615917</v>
      </c>
      <c r="G211" s="408">
        <f>skemA7!$F$21*COS(RADIANS(skemA7!$F$28*E211-skemA7!$F$22))</f>
        <v>7.1705119453440167</v>
      </c>
      <c r="H211" s="408">
        <f>skemA7!$G$21*COS(RADIANS(skemA7!$G$28*E211-skemA7!$G$22))</f>
        <v>-0.25594160559608686</v>
      </c>
      <c r="I211" s="408">
        <f>skemA7!$H$21*COS(RADIANS(skemA7!$H$28*E211-skemA7!$H$22))</f>
        <v>-23.572670159558903</v>
      </c>
      <c r="J211" s="408">
        <f>skemA7!$I$21*COS(RADIANS(skemA7!$I$28*E211-skemA7!$I$22))</f>
        <v>-11.040432510465697</v>
      </c>
      <c r="K211" s="408">
        <f>skemA7!$J$21*COS(RADIANS(skemA7!$J$28*E211-skemA7!$J$22))</f>
        <v>-0.45517320188970756</v>
      </c>
      <c r="L211" s="408">
        <f>skemA7!$K$21*COS(RADIANS(skemA7!$K$28*E211-skemA7!$K$22))</f>
        <v>-6.1187764412887542E-2</v>
      </c>
      <c r="M211" s="408">
        <f>skemA7!$L$21*COS(RADIANS(skemA7!$L$28*E211-skemA7!$L$22))</f>
        <v>0.25427611297007624</v>
      </c>
      <c r="N211" s="408">
        <f>skemA7!$M$21*COS(RADIANS(skemA7!$M$28*E211-skemA7!$M$22))</f>
        <v>-9.9038179579913361</v>
      </c>
      <c r="O211" s="409">
        <f>skemA7!$D$21+'Forcasting Pasut'!F211+'Forcasting Pasut'!G211+K211+L211+'Forcasting Pasut'!H211+'Forcasting Pasut'!I211+'Forcasting Pasut'!J211+'Forcasting Pasut'!M211+'Forcasting Pasut'!N211</f>
        <v>114.30516834830078</v>
      </c>
      <c r="P211" s="405"/>
      <c r="Q211" s="406">
        <f>R210</f>
        <v>78.600000000000009</v>
      </c>
      <c r="R211" s="406"/>
      <c r="S211" s="406"/>
      <c r="T211" s="406"/>
      <c r="U211" s="406"/>
      <c r="V211" s="406"/>
      <c r="W211" s="406"/>
      <c r="X211" s="406"/>
      <c r="Y211" s="406"/>
      <c r="Z211" s="406"/>
      <c r="AA211" s="406"/>
      <c r="AB211" s="406"/>
      <c r="AC211" s="406"/>
      <c r="AD211" s="406"/>
      <c r="AE211" s="406"/>
      <c r="AF211" s="406"/>
      <c r="AG211" s="406"/>
      <c r="AH211" s="406"/>
      <c r="AI211" s="406"/>
      <c r="AJ211" s="406"/>
      <c r="AK211" s="406"/>
      <c r="AL211" s="406"/>
      <c r="AM211" s="406"/>
      <c r="AN211" s="406"/>
      <c r="AO211" s="407"/>
      <c r="AP211" s="407"/>
    </row>
    <row r="212" spans="1:42">
      <c r="A212" s="402"/>
      <c r="B212" s="77"/>
      <c r="D212" s="131"/>
      <c r="E212" s="113">
        <f t="shared" ref="E212:E275" si="3">E211+1</f>
        <v>194</v>
      </c>
      <c r="F212" s="408">
        <f>skemA7!$E$21*COS(RADIANS(skemA7!$E$28*E212-skemA7!$E$22))</f>
        <v>-3.9114905379813019</v>
      </c>
      <c r="G212" s="408">
        <f>skemA7!$F$21*COS(RADIANS(skemA7!$F$28*E212-skemA7!$F$22))</f>
        <v>-4.711638350943927</v>
      </c>
      <c r="H212" s="408">
        <f>skemA7!$G$21*COS(RADIANS(skemA7!$G$28*E212-skemA7!$G$22))</f>
        <v>8.1353880422227451</v>
      </c>
      <c r="I212" s="408">
        <f>skemA7!$H$21*COS(RADIANS(skemA7!$H$28*E212-skemA7!$H$22))</f>
        <v>-15.787725239149665</v>
      </c>
      <c r="J212" s="408">
        <f>skemA7!$I$21*COS(RADIANS(skemA7!$I$28*E212-skemA7!$I$22))</f>
        <v>-4.6475575533864371</v>
      </c>
      <c r="K212" s="408">
        <f>skemA7!$J$21*COS(RADIANS(skemA7!$J$28*E212-skemA7!$J$22))</f>
        <v>-1.7013772163307868</v>
      </c>
      <c r="L212" s="408">
        <f>skemA7!$K$21*COS(RADIANS(skemA7!$K$28*E212-skemA7!$K$22))</f>
        <v>2.8014591777012514</v>
      </c>
      <c r="M212" s="408">
        <f>skemA7!$L$21*COS(RADIANS(skemA7!$L$28*E212-skemA7!$L$22))</f>
        <v>-2.8886759518104284</v>
      </c>
      <c r="N212" s="408">
        <f>skemA7!$M$21*COS(RADIANS(skemA7!$M$28*E212-skemA7!$M$22))</f>
        <v>-7.9123454770098345</v>
      </c>
      <c r="O212" s="409">
        <f>skemA7!$D$21+'Forcasting Pasut'!F212+'Forcasting Pasut'!G212+K212+L212+'Forcasting Pasut'!H212+'Forcasting Pasut'!I212+'Forcasting Pasut'!J212+'Forcasting Pasut'!M212+'Forcasting Pasut'!N212</f>
        <v>135.54435585882885</v>
      </c>
      <c r="P212" s="405"/>
      <c r="Q212" s="406">
        <f>S210</f>
        <v>84.5</v>
      </c>
      <c r="R212" s="406"/>
      <c r="S212" s="406"/>
      <c r="T212" s="406"/>
      <c r="U212" s="406"/>
      <c r="V212" s="406"/>
      <c r="W212" s="406"/>
      <c r="X212" s="406"/>
      <c r="Y212" s="406"/>
      <c r="Z212" s="406"/>
      <c r="AA212" s="406"/>
      <c r="AB212" s="406"/>
      <c r="AC212" s="406"/>
      <c r="AD212" s="406"/>
      <c r="AE212" s="406"/>
      <c r="AF212" s="406"/>
      <c r="AG212" s="406"/>
      <c r="AH212" s="406"/>
      <c r="AI212" s="406"/>
      <c r="AJ212" s="406"/>
      <c r="AK212" s="406"/>
      <c r="AL212" s="406"/>
      <c r="AM212" s="406"/>
      <c r="AN212" s="406"/>
      <c r="AO212" s="407"/>
      <c r="AP212" s="407"/>
    </row>
    <row r="213" spans="1:42">
      <c r="A213" s="402"/>
      <c r="B213" s="77"/>
      <c r="D213" s="131"/>
      <c r="E213" s="113">
        <f t="shared" si="3"/>
        <v>195</v>
      </c>
      <c r="F213" s="408">
        <f>skemA7!$E$21*COS(RADIANS(skemA7!$E$28*E213-skemA7!$E$22))</f>
        <v>7.1555232153069186</v>
      </c>
      <c r="G213" s="408">
        <f>skemA7!$F$21*COS(RADIANS(skemA7!$F$28*E213-skemA7!$F$22))</f>
        <v>-15.331308956068924</v>
      </c>
      <c r="H213" s="408">
        <f>skemA7!$G$21*COS(RADIANS(skemA7!$G$28*E213-skemA7!$G$22))</f>
        <v>14.563100396107099</v>
      </c>
      <c r="I213" s="408">
        <f>skemA7!$H$21*COS(RADIANS(skemA7!$H$28*E213-skemA7!$H$22))</f>
        <v>-6.9210171305792469</v>
      </c>
      <c r="J213" s="408">
        <f>skemA7!$I$21*COS(RADIANS(skemA7!$I$28*E213-skemA7!$I$22))</f>
        <v>2.019189427170367</v>
      </c>
      <c r="K213" s="408">
        <f>skemA7!$J$21*COS(RADIANS(skemA7!$J$28*E213-skemA7!$J$22))</f>
        <v>-1.3496233207109503</v>
      </c>
      <c r="L213" s="408">
        <f>skemA7!$K$21*COS(RADIANS(skemA7!$K$28*E213-skemA7!$K$22))</f>
        <v>2.9482450851696553</v>
      </c>
      <c r="M213" s="408">
        <f>skemA7!$L$21*COS(RADIANS(skemA7!$L$28*E213-skemA7!$L$22))</f>
        <v>-5.2534703191642036</v>
      </c>
      <c r="N213" s="408">
        <f>skemA7!$M$21*COS(RADIANS(skemA7!$M$28*E213-skemA7!$M$22))</f>
        <v>-5.3845866576618002</v>
      </c>
      <c r="O213" s="409">
        <f>skemA7!$D$21+'Forcasting Pasut'!F213+'Forcasting Pasut'!G213+K213+L213+'Forcasting Pasut'!H213+'Forcasting Pasut'!I213+'Forcasting Pasut'!J213+'Forcasting Pasut'!M213+'Forcasting Pasut'!N213</f>
        <v>158.61437070508615</v>
      </c>
      <c r="P213" s="405"/>
      <c r="Q213" s="406">
        <f>T210</f>
        <v>107</v>
      </c>
      <c r="R213" s="406"/>
      <c r="S213" s="406"/>
      <c r="T213" s="406"/>
      <c r="U213" s="406"/>
      <c r="V213" s="406"/>
      <c r="W213" s="406"/>
      <c r="X213" s="406"/>
      <c r="Y213" s="406"/>
      <c r="Z213" s="406"/>
      <c r="AA213" s="406"/>
      <c r="AB213" s="406"/>
      <c r="AC213" s="406"/>
      <c r="AD213" s="406"/>
      <c r="AE213" s="406"/>
      <c r="AF213" s="406"/>
      <c r="AG213" s="406"/>
      <c r="AH213" s="406"/>
      <c r="AI213" s="406"/>
      <c r="AJ213" s="406"/>
      <c r="AK213" s="406"/>
      <c r="AL213" s="406"/>
      <c r="AM213" s="406"/>
      <c r="AN213" s="406"/>
      <c r="AO213" s="407"/>
      <c r="AP213" s="407"/>
    </row>
    <row r="214" spans="1:42">
      <c r="A214" s="402"/>
      <c r="B214" s="77"/>
      <c r="D214" s="131"/>
      <c r="E214" s="113">
        <f t="shared" si="3"/>
        <v>196</v>
      </c>
      <c r="F214" s="408">
        <f>skemA7!$E$21*COS(RADIANS(skemA7!$E$28*E214-skemA7!$E$22))</f>
        <v>16.430150780150811</v>
      </c>
      <c r="G214" s="408">
        <f>skemA7!$F$21*COS(RADIANS(skemA7!$F$28*E214-skemA7!$F$22))</f>
        <v>-21.842967707503171</v>
      </c>
      <c r="H214" s="408">
        <f>skemA7!$G$21*COS(RADIANS(skemA7!$G$28*E214-skemA7!$G$22))</f>
        <v>17.475755368256632</v>
      </c>
      <c r="I214" s="408">
        <f>skemA7!$H$21*COS(RADIANS(skemA7!$H$28*E214-skemA7!$H$22))</f>
        <v>2.4199139229109314</v>
      </c>
      <c r="J214" s="408">
        <f>skemA7!$I$21*COS(RADIANS(skemA7!$I$28*E214-skemA7!$I$22))</f>
        <v>8.5669492864594279</v>
      </c>
      <c r="K214" s="408">
        <f>skemA7!$J$21*COS(RADIANS(skemA7!$J$28*E214-skemA7!$J$22))</f>
        <v>0.26971617569870016</v>
      </c>
      <c r="L214" s="408">
        <f>skemA7!$K$21*COS(RADIANS(skemA7!$K$28*E214-skemA7!$K$22))</f>
        <v>0.23686907076124028</v>
      </c>
      <c r="M214" s="408">
        <f>skemA7!$L$21*COS(RADIANS(skemA7!$L$28*E214-skemA7!$L$22))</f>
        <v>-6.2030736317725044</v>
      </c>
      <c r="N214" s="408">
        <f>skemA7!$M$21*COS(RADIANS(skemA7!$M$28*E214-skemA7!$M$22))</f>
        <v>-2.4918690191311925</v>
      </c>
      <c r="O214" s="409">
        <f>skemA7!$D$21+'Forcasting Pasut'!F214+'Forcasting Pasut'!G214+K214+L214+'Forcasting Pasut'!H214+'Forcasting Pasut'!I214+'Forcasting Pasut'!J214+'Forcasting Pasut'!M214+'Forcasting Pasut'!N214</f>
        <v>181.02976321134813</v>
      </c>
      <c r="P214" s="405"/>
      <c r="Q214" s="406">
        <f>U210</f>
        <v>141.30000000000001</v>
      </c>
      <c r="R214" s="406"/>
      <c r="S214" s="406"/>
      <c r="T214" s="406"/>
      <c r="U214" s="406"/>
      <c r="V214" s="406"/>
      <c r="W214" s="406"/>
      <c r="X214" s="406"/>
      <c r="Y214" s="406"/>
      <c r="Z214" s="406"/>
      <c r="AA214" s="406"/>
      <c r="AB214" s="406"/>
      <c r="AC214" s="406"/>
      <c r="AD214" s="406"/>
      <c r="AE214" s="406"/>
      <c r="AF214" s="406"/>
      <c r="AG214" s="406"/>
      <c r="AH214" s="406"/>
      <c r="AI214" s="406"/>
      <c r="AJ214" s="406"/>
      <c r="AK214" s="406"/>
      <c r="AL214" s="406"/>
      <c r="AM214" s="406"/>
      <c r="AN214" s="406"/>
      <c r="AO214" s="407"/>
      <c r="AP214" s="407"/>
    </row>
    <row r="215" spans="1:42">
      <c r="A215" s="402"/>
      <c r="B215" s="77"/>
      <c r="D215" s="131"/>
      <c r="E215" s="113">
        <f t="shared" si="3"/>
        <v>197</v>
      </c>
      <c r="F215" s="408">
        <f>skemA7!$E$21*COS(RADIANS(skemA7!$E$28*E215-skemA7!$E$22))</f>
        <v>21.589191762952915</v>
      </c>
      <c r="G215" s="408">
        <f>skemA7!$F$21*COS(RADIANS(skemA7!$F$28*E215-skemA7!$F$22))</f>
        <v>-22.501820901412852</v>
      </c>
      <c r="H215" s="408">
        <f>skemA7!$G$21*COS(RADIANS(skemA7!$G$28*E215-skemA7!$G$22))</f>
        <v>16.170333060309215</v>
      </c>
      <c r="I215" s="408">
        <f>skemA7!$H$21*COS(RADIANS(skemA7!$H$28*E215-skemA7!$H$22))</f>
        <v>11.595034274690358</v>
      </c>
      <c r="J215" s="408">
        <f>skemA7!$I$21*COS(RADIANS(skemA7!$I$28*E215-skemA7!$I$22))</f>
        <v>14.609874572069058</v>
      </c>
      <c r="K215" s="408">
        <f>skemA7!$J$21*COS(RADIANS(skemA7!$J$28*E215-skemA7!$J$22))</f>
        <v>1.6357343672899809</v>
      </c>
      <c r="L215" s="408">
        <f>skemA7!$K$21*COS(RADIANS(skemA7!$K$28*E215-skemA7!$K$22))</f>
        <v>-2.7041385173333783</v>
      </c>
      <c r="M215" s="408">
        <f>skemA7!$L$21*COS(RADIANS(skemA7!$L$28*E215-skemA7!$L$22))</f>
        <v>-5.4816797211569783</v>
      </c>
      <c r="N215" s="408">
        <f>skemA7!$M$21*COS(RADIANS(skemA7!$M$28*E215-skemA7!$M$22))</f>
        <v>0.56974358434270711</v>
      </c>
      <c r="O215" s="409">
        <f>skemA7!$D$21+'Forcasting Pasut'!F215+'Forcasting Pasut'!G215+K215+L215+'Forcasting Pasut'!H215+'Forcasting Pasut'!I215+'Forcasting Pasut'!J215+'Forcasting Pasut'!M215+'Forcasting Pasut'!N215</f>
        <v>201.65059144726828</v>
      </c>
      <c r="P215" s="405"/>
      <c r="Q215" s="406">
        <f>V210</f>
        <v>179.20000000000002</v>
      </c>
      <c r="R215" s="406"/>
      <c r="S215" s="406"/>
      <c r="T215" s="406"/>
      <c r="U215" s="406"/>
      <c r="V215" s="406"/>
      <c r="W215" s="406"/>
      <c r="X215" s="406"/>
      <c r="Y215" s="406"/>
      <c r="Z215" s="406"/>
      <c r="AA215" s="406"/>
      <c r="AB215" s="406"/>
      <c r="AC215" s="406"/>
      <c r="AD215" s="406"/>
      <c r="AE215" s="406"/>
      <c r="AF215" s="406"/>
      <c r="AG215" s="406"/>
      <c r="AH215" s="406"/>
      <c r="AI215" s="406"/>
      <c r="AJ215" s="406"/>
      <c r="AK215" s="406"/>
      <c r="AL215" s="406"/>
      <c r="AM215" s="406"/>
      <c r="AN215" s="406"/>
      <c r="AO215" s="407"/>
      <c r="AP215" s="407"/>
    </row>
    <row r="216" spans="1:42">
      <c r="A216" s="402"/>
      <c r="B216" s="77"/>
      <c r="D216" s="131"/>
      <c r="E216" s="113">
        <f t="shared" si="3"/>
        <v>198</v>
      </c>
      <c r="F216" s="408">
        <f>skemA7!$E$21*COS(RADIANS(skemA7!$E$28*E216-skemA7!$E$22))</f>
        <v>21.340358580408068</v>
      </c>
      <c r="G216" s="408">
        <f>skemA7!$F$21*COS(RADIANS(skemA7!$F$28*E216-skemA7!$F$22))</f>
        <v>-17.131329356559238</v>
      </c>
      <c r="H216" s="408">
        <f>skemA7!$G$21*COS(RADIANS(skemA7!$G$28*E216-skemA7!$G$22))</f>
        <v>10.961919834030564</v>
      </c>
      <c r="I216" s="408">
        <f>skemA7!$H$21*COS(RADIANS(skemA7!$H$28*E216-skemA7!$H$22))</f>
        <v>19.975671504054475</v>
      </c>
      <c r="J216" s="408">
        <f>skemA7!$I$21*COS(RADIANS(skemA7!$I$28*E216-skemA7!$I$22))</f>
        <v>19.791866805028793</v>
      </c>
      <c r="K216" s="408">
        <f>skemA7!$J$21*COS(RADIANS(skemA7!$J$28*E216-skemA7!$J$22))</f>
        <v>1.4654473551437202</v>
      </c>
      <c r="L216" s="408">
        <f>skemA7!$K$21*COS(RADIANS(skemA7!$K$28*E216-skemA7!$K$22))</f>
        <v>-3.0236321137314932</v>
      </c>
      <c r="M216" s="408">
        <f>skemA7!$L$21*COS(RADIANS(skemA7!$L$28*E216-skemA7!$L$22))</f>
        <v>-3.2836192196859737</v>
      </c>
      <c r="N216" s="408">
        <f>skemA7!$M$21*COS(RADIANS(skemA7!$M$28*E216-skemA7!$M$22))</f>
        <v>3.5927398632966376</v>
      </c>
      <c r="O216" s="409">
        <f>skemA7!$D$21+'Forcasting Pasut'!F216+'Forcasting Pasut'!G216+K216+L216+'Forcasting Pasut'!H216+'Forcasting Pasut'!I216+'Forcasting Pasut'!J216+'Forcasting Pasut'!M216+'Forcasting Pasut'!N216</f>
        <v>219.85774221750282</v>
      </c>
      <c r="P216" s="405"/>
      <c r="Q216" s="406">
        <f>W210</f>
        <v>217.89999999999998</v>
      </c>
      <c r="R216" s="406"/>
      <c r="S216" s="406"/>
      <c r="T216" s="406"/>
      <c r="U216" s="406"/>
      <c r="V216" s="406"/>
      <c r="W216" s="406"/>
      <c r="X216" s="406"/>
      <c r="Y216" s="406"/>
      <c r="Z216" s="406"/>
      <c r="AA216" s="406"/>
      <c r="AB216" s="406"/>
      <c r="AC216" s="406"/>
      <c r="AD216" s="406"/>
      <c r="AE216" s="406"/>
      <c r="AF216" s="406"/>
      <c r="AG216" s="406"/>
      <c r="AH216" s="406"/>
      <c r="AI216" s="406"/>
      <c r="AJ216" s="406"/>
      <c r="AK216" s="406"/>
      <c r="AL216" s="406"/>
      <c r="AM216" s="406"/>
      <c r="AN216" s="406"/>
      <c r="AO216" s="407"/>
      <c r="AP216" s="407"/>
    </row>
    <row r="217" spans="1:42">
      <c r="A217" s="402"/>
      <c r="B217" s="77"/>
      <c r="D217" s="131"/>
      <c r="E217" s="113">
        <f t="shared" si="3"/>
        <v>199</v>
      </c>
      <c r="F217" s="408">
        <f>skemA7!$E$21*COS(RADIANS(skemA7!$E$28*E217-skemA7!$E$22))</f>
        <v>15.745981427835128</v>
      </c>
      <c r="G217" s="408">
        <f>skemA7!$F$21*COS(RADIANS(skemA7!$F$28*E217-skemA7!$F$22))</f>
        <v>-7.1705119453439421</v>
      </c>
      <c r="H217" s="408">
        <f>skemA7!$G$21*COS(RADIANS(skemA7!$G$28*E217-skemA7!$G$22))</f>
        <v>3.1076567418193632</v>
      </c>
      <c r="I217" s="408">
        <f>skemA7!$H$21*COS(RADIANS(skemA7!$H$28*E217-skemA7!$H$22))</f>
        <v>26.987590582795143</v>
      </c>
      <c r="J217" s="408">
        <f>skemA7!$I$21*COS(RADIANS(skemA7!$I$28*E217-skemA7!$I$22))</f>
        <v>23.807560708591474</v>
      </c>
      <c r="K217" s="408">
        <f>skemA7!$J$21*COS(RADIANS(skemA7!$J$28*E217-skemA7!$J$22))</f>
        <v>-8.1208853940534079E-2</v>
      </c>
      <c r="L217" s="408">
        <f>skemA7!$K$21*COS(RADIANS(skemA7!$K$28*E217-skemA7!$K$22))</f>
        <v>-0.41188019845126944</v>
      </c>
      <c r="M217" s="408">
        <f>skemA7!$L$21*COS(RADIANS(skemA7!$L$28*E217-skemA7!$L$22))</f>
        <v>-0.20101035978246543</v>
      </c>
      <c r="N217" s="408">
        <f>skemA7!$M$21*COS(RADIANS(skemA7!$M$28*E217-skemA7!$M$22))</f>
        <v>6.3722258820388857</v>
      </c>
      <c r="O217" s="409">
        <f>skemA7!$D$21+'Forcasting Pasut'!F217+'Forcasting Pasut'!G217+K217+L217+'Forcasting Pasut'!H217+'Forcasting Pasut'!I217+'Forcasting Pasut'!J217+'Forcasting Pasut'!M217+'Forcasting Pasut'!N217</f>
        <v>234.32472295107905</v>
      </c>
      <c r="P217" s="405"/>
      <c r="Q217" s="406">
        <f>X210</f>
        <v>244.20000000000002</v>
      </c>
      <c r="R217" s="406"/>
      <c r="S217" s="406"/>
      <c r="T217" s="406"/>
      <c r="U217" s="406"/>
      <c r="V217" s="406"/>
      <c r="W217" s="406"/>
      <c r="X217" s="406"/>
      <c r="Y217" s="406"/>
      <c r="Z217" s="406"/>
      <c r="AA217" s="406"/>
      <c r="AB217" s="406"/>
      <c r="AC217" s="406"/>
      <c r="AD217" s="406"/>
      <c r="AE217" s="406"/>
      <c r="AF217" s="406"/>
      <c r="AG217" s="406"/>
      <c r="AH217" s="406"/>
      <c r="AI217" s="406"/>
      <c r="AJ217" s="406"/>
      <c r="AK217" s="406"/>
      <c r="AL217" s="406"/>
      <c r="AM217" s="406"/>
      <c r="AN217" s="406"/>
      <c r="AO217" s="407"/>
      <c r="AP217" s="407"/>
    </row>
    <row r="218" spans="1:42">
      <c r="A218" s="402"/>
      <c r="B218" s="77"/>
      <c r="D218" s="131"/>
      <c r="E218" s="113">
        <f t="shared" si="3"/>
        <v>200</v>
      </c>
      <c r="F218" s="408">
        <f>skemA7!$E$21*COS(RADIANS(skemA7!$E$28*E218-skemA7!$E$22))</f>
        <v>6.2073951957106663</v>
      </c>
      <c r="G218" s="408">
        <f>skemA7!$F$21*COS(RADIANS(skemA7!$F$28*E218-skemA7!$F$22))</f>
        <v>4.7116383509440043</v>
      </c>
      <c r="H218" s="408">
        <f>skemA7!$G$21*COS(RADIANS(skemA7!$G$28*E218-skemA7!$G$22))</f>
        <v>-5.4966933149197699</v>
      </c>
      <c r="I218" s="408">
        <f>skemA7!$H$21*COS(RADIANS(skemA7!$H$28*E218-skemA7!$H$22))</f>
        <v>32.150340032130167</v>
      </c>
      <c r="J218" s="408">
        <f>skemA7!$I$21*COS(RADIANS(skemA7!$I$28*E218-skemA7!$I$22))</f>
        <v>26.420318822671476</v>
      </c>
      <c r="K218" s="408">
        <f>skemA7!$J$21*COS(RADIANS(skemA7!$J$28*E218-skemA7!$J$22))</f>
        <v>-1.5515925414018863</v>
      </c>
      <c r="L218" s="408">
        <f>skemA7!$K$21*COS(RADIANS(skemA7!$K$28*E218-skemA7!$K$22))</f>
        <v>2.5991669808184286</v>
      </c>
      <c r="M218" s="408">
        <f>skemA7!$L$21*COS(RADIANS(skemA7!$L$28*E218-skemA7!$L$22))</f>
        <v>2.9357471001497148</v>
      </c>
      <c r="N218" s="408">
        <f>skemA7!$M$21*COS(RADIANS(skemA7!$M$28*E218-skemA7!$M$22))</f>
        <v>8.7198124475213739</v>
      </c>
      <c r="O218" s="409">
        <f>skemA7!$D$21+'Forcasting Pasut'!F218+'Forcasting Pasut'!G218+K218+L218+'Forcasting Pasut'!H218+'Forcasting Pasut'!I218+'Forcasting Pasut'!J218+'Forcasting Pasut'!M218+'Forcasting Pasut'!N218</f>
        <v>242.86445203914144</v>
      </c>
      <c r="P218" s="405"/>
      <c r="Q218" s="406">
        <f>Y210</f>
        <v>256.3</v>
      </c>
      <c r="R218" s="406"/>
      <c r="S218" s="406"/>
      <c r="T218" s="406"/>
      <c r="U218" s="406"/>
      <c r="V218" s="406"/>
      <c r="W218" s="406"/>
      <c r="X218" s="406"/>
      <c r="Y218" s="406"/>
      <c r="Z218" s="406"/>
      <c r="AA218" s="406"/>
      <c r="AB218" s="406"/>
      <c r="AC218" s="406"/>
      <c r="AD218" s="406"/>
      <c r="AE218" s="406"/>
      <c r="AF218" s="406"/>
      <c r="AG218" s="406"/>
      <c r="AH218" s="406"/>
      <c r="AI218" s="406"/>
      <c r="AJ218" s="406"/>
      <c r="AK218" s="406"/>
      <c r="AL218" s="406"/>
      <c r="AM218" s="406"/>
      <c r="AN218" s="406"/>
      <c r="AO218" s="407"/>
      <c r="AP218" s="407"/>
    </row>
    <row r="219" spans="1:42">
      <c r="A219" s="402"/>
      <c r="B219" s="77"/>
      <c r="D219" s="131"/>
      <c r="E219" s="113">
        <f t="shared" si="3"/>
        <v>201</v>
      </c>
      <c r="F219" s="408">
        <f>skemA7!$E$21*COS(RADIANS(skemA7!$E$28*E219-skemA7!$E$22))</f>
        <v>-4.8860807461153062</v>
      </c>
      <c r="G219" s="408">
        <f>skemA7!$F$21*COS(RADIANS(skemA7!$F$28*E219-skemA7!$F$22))</f>
        <v>15.331308956068982</v>
      </c>
      <c r="H219" s="408">
        <f>skemA7!$G$21*COS(RADIANS(skemA7!$G$28*E219-skemA7!$G$22))</f>
        <v>-12.77432090966802</v>
      </c>
      <c r="I219" s="408">
        <f>skemA7!$H$21*COS(RADIANS(skemA7!$H$28*E219-skemA7!$H$22))</f>
        <v>35.110172100601446</v>
      </c>
      <c r="J219" s="408">
        <f>skemA7!$I$21*COS(RADIANS(skemA7!$I$28*E219-skemA7!$I$22))</f>
        <v>27.476176114379825</v>
      </c>
      <c r="K219" s="408">
        <f>skemA7!$J$21*COS(RADIANS(skemA7!$J$28*E219-skemA7!$J$22))</f>
        <v>-1.5646982361135224</v>
      </c>
      <c r="L219" s="408">
        <f>skemA7!$K$21*COS(RADIANS(skemA7!$K$28*E219-skemA7!$K$22))</f>
        <v>3.0904643161747649</v>
      </c>
      <c r="M219" s="408">
        <f>skemA7!$L$21*COS(RADIANS(skemA7!$L$28*E219-skemA7!$L$22))</f>
        <v>5.2816667361826974</v>
      </c>
      <c r="N219" s="408">
        <f>skemA7!$M$21*COS(RADIANS(skemA7!$M$28*E219-skemA7!$M$22))</f>
        <v>10.476383832699723</v>
      </c>
      <c r="O219" s="409">
        <f>skemA7!$D$21+'Forcasting Pasut'!F219+'Forcasting Pasut'!G219+K219+L219+'Forcasting Pasut'!H219+'Forcasting Pasut'!I219+'Forcasting Pasut'!J219+'Forcasting Pasut'!M219+'Forcasting Pasut'!N219</f>
        <v>243.70939112972786</v>
      </c>
      <c r="P219" s="405"/>
      <c r="Q219" s="406">
        <f>Z210</f>
        <v>255.20000000000002</v>
      </c>
      <c r="R219" s="406"/>
      <c r="S219" s="406"/>
      <c r="T219" s="406"/>
      <c r="U219" s="406"/>
      <c r="V219" s="406"/>
      <c r="W219" s="406"/>
      <c r="X219" s="406"/>
      <c r="Y219" s="406"/>
      <c r="Z219" s="406"/>
      <c r="AA219" s="406"/>
      <c r="AB219" s="406"/>
      <c r="AC219" s="406"/>
      <c r="AD219" s="406"/>
      <c r="AE219" s="406"/>
      <c r="AF219" s="406"/>
      <c r="AG219" s="406"/>
      <c r="AH219" s="406"/>
      <c r="AI219" s="406"/>
      <c r="AJ219" s="406"/>
      <c r="AK219" s="406"/>
      <c r="AL219" s="406"/>
      <c r="AM219" s="406"/>
      <c r="AN219" s="406"/>
      <c r="AO219" s="407"/>
      <c r="AP219" s="407"/>
    </row>
    <row r="220" spans="1:42">
      <c r="A220" s="402"/>
      <c r="B220" s="77"/>
      <c r="D220" s="131"/>
      <c r="E220" s="113">
        <f t="shared" si="3"/>
        <v>202</v>
      </c>
      <c r="F220" s="408">
        <f>skemA7!$E$21*COS(RADIANS(skemA7!$E$28*E220-skemA7!$E$22))</f>
        <v>-14.75564288297595</v>
      </c>
      <c r="G220" s="408">
        <f>skemA7!$F$21*COS(RADIANS(skemA7!$F$28*E220-skemA7!$F$22))</f>
        <v>21.842967707503092</v>
      </c>
      <c r="H220" s="408">
        <f>skemA7!$G$21*COS(RADIANS(skemA7!$G$28*E220-skemA7!$G$22))</f>
        <v>-16.968644140038709</v>
      </c>
      <c r="I220" s="408">
        <f>skemA7!$H$21*COS(RADIANS(skemA7!$H$28*E220-skemA7!$H$22))</f>
        <v>35.664281296834623</v>
      </c>
      <c r="J220" s="408">
        <f>skemA7!$I$21*COS(RADIANS(skemA7!$I$28*E220-skemA7!$I$22))</f>
        <v>26.912912854393909</v>
      </c>
      <c r="K220" s="408">
        <f>skemA7!$J$21*COS(RADIANS(skemA7!$J$28*E220-skemA7!$J$22))</f>
        <v>-0.10821688142987002</v>
      </c>
      <c r="L220" s="408">
        <f>skemA7!$K$21*COS(RADIANS(skemA7!$K$28*E220-skemA7!$K$22))</f>
        <v>0.58572598480797389</v>
      </c>
      <c r="M220" s="408">
        <f>skemA7!$L$21*COS(RADIANS(skemA7!$L$28*E220-skemA7!$L$22))</f>
        <v>6.2047997064328939</v>
      </c>
      <c r="N220" s="408">
        <f>skemA7!$M$21*COS(RADIANS(skemA7!$M$28*E220-skemA7!$M$22))</f>
        <v>11.522882390385195</v>
      </c>
      <c r="O220" s="409">
        <f>skemA7!$D$21+'Forcasting Pasut'!F220+'Forcasting Pasut'!G220+K220+L220+'Forcasting Pasut'!H220+'Forcasting Pasut'!I220+'Forcasting Pasut'!J220+'Forcasting Pasut'!M220+'Forcasting Pasut'!N220</f>
        <v>237.06938500143033</v>
      </c>
      <c r="P220" s="405"/>
      <c r="Q220" s="406">
        <f>AA210</f>
        <v>240.60000000000002</v>
      </c>
      <c r="R220" s="406"/>
      <c r="S220" s="406"/>
      <c r="T220" s="406"/>
      <c r="U220" s="406"/>
      <c r="V220" s="406"/>
      <c r="W220" s="406"/>
      <c r="X220" s="406"/>
      <c r="Y220" s="406"/>
      <c r="Z220" s="406"/>
      <c r="AA220" s="406"/>
      <c r="AB220" s="406"/>
      <c r="AC220" s="406"/>
      <c r="AD220" s="406"/>
      <c r="AE220" s="406"/>
      <c r="AF220" s="406"/>
      <c r="AG220" s="406"/>
      <c r="AH220" s="406"/>
      <c r="AI220" s="406"/>
      <c r="AJ220" s="406"/>
      <c r="AK220" s="406"/>
      <c r="AL220" s="406"/>
      <c r="AM220" s="406"/>
      <c r="AN220" s="406"/>
      <c r="AO220" s="407"/>
      <c r="AP220" s="407"/>
    </row>
    <row r="221" spans="1:42">
      <c r="A221" s="402"/>
      <c r="B221" s="77"/>
      <c r="D221" s="131"/>
      <c r="E221" s="113">
        <f t="shared" si="3"/>
        <v>203</v>
      </c>
      <c r="F221" s="408">
        <f>skemA7!$E$21*COS(RADIANS(skemA7!$E$28*E221-skemA7!$E$22))</f>
        <v>-20.929065728653978</v>
      </c>
      <c r="G221" s="408">
        <f>skemA7!$F$21*COS(RADIANS(skemA7!$F$28*E221-skemA7!$F$22))</f>
        <v>22.501820901412835</v>
      </c>
      <c r="H221" s="408">
        <f>skemA7!$G$21*COS(RADIANS(skemA7!$G$28*E221-skemA7!$G$22))</f>
        <v>-17.067290198643072</v>
      </c>
      <c r="I221" s="408">
        <f>skemA7!$H$21*COS(RADIANS(skemA7!$H$28*E221-skemA7!$H$22))</f>
        <v>33.774700470931428</v>
      </c>
      <c r="J221" s="408">
        <f>skemA7!$I$21*COS(RADIANS(skemA7!$I$28*E221-skemA7!$I$22))</f>
        <v>24.763721111233654</v>
      </c>
      <c r="K221" s="408">
        <f>skemA7!$J$21*COS(RADIANS(skemA7!$J$28*E221-skemA7!$J$22))</f>
        <v>1.4499033220776867</v>
      </c>
      <c r="L221" s="408">
        <f>skemA7!$K$21*COS(RADIANS(skemA7!$K$28*E221-skemA7!$K$22))</f>
        <v>-2.4868415663387653</v>
      </c>
      <c r="M221" s="408">
        <f>skemA7!$L$21*COS(RADIANS(skemA7!$L$28*E221-skemA7!$L$22))</f>
        <v>5.4564704797808412</v>
      </c>
      <c r="N221" s="408">
        <f>skemA7!$M$21*COS(RADIANS(skemA7!$M$28*E221-skemA7!$M$22))</f>
        <v>11.788378093414831</v>
      </c>
      <c r="O221" s="409">
        <f>skemA7!$D$21+'Forcasting Pasut'!F221+'Forcasting Pasut'!G221+K221+L221+'Forcasting Pasut'!H221+'Forcasting Pasut'!I221+'Forcasting Pasut'!J221+'Forcasting Pasut'!M221+'Forcasting Pasut'!N221</f>
        <v>225.42011585073271</v>
      </c>
      <c r="P221" s="405"/>
      <c r="Q221" s="406">
        <f>AB210</f>
        <v>211.50000000000003</v>
      </c>
      <c r="R221" s="406"/>
      <c r="S221" s="406"/>
      <c r="T221" s="406"/>
      <c r="U221" s="406"/>
      <c r="V221" s="406"/>
      <c r="W221" s="406"/>
      <c r="X221" s="406"/>
      <c r="Y221" s="406"/>
      <c r="Z221" s="406"/>
      <c r="AA221" s="406"/>
      <c r="AB221" s="406"/>
      <c r="AC221" s="406"/>
      <c r="AD221" s="406"/>
      <c r="AE221" s="406"/>
      <c r="AF221" s="406"/>
      <c r="AG221" s="406"/>
      <c r="AH221" s="406"/>
      <c r="AI221" s="406"/>
      <c r="AJ221" s="406"/>
      <c r="AK221" s="406"/>
      <c r="AL221" s="406"/>
      <c r="AM221" s="406"/>
      <c r="AN221" s="406"/>
      <c r="AO221" s="407"/>
      <c r="AP221" s="407"/>
    </row>
    <row r="222" spans="1:42">
      <c r="A222" s="402"/>
      <c r="B222" s="77"/>
      <c r="D222" s="131"/>
      <c r="E222" s="113">
        <f t="shared" si="3"/>
        <v>204</v>
      </c>
      <c r="F222" s="408">
        <f>skemA7!$E$21*COS(RADIANS(skemA7!$E$28*E222-skemA7!$E$22))</f>
        <v>-21.859969303505999</v>
      </c>
      <c r="G222" s="408">
        <f>skemA7!$F$21*COS(RADIANS(skemA7!$F$28*E222-skemA7!$F$22))</f>
        <v>17.131329356559185</v>
      </c>
      <c r="H222" s="408">
        <f>skemA7!$G$21*COS(RADIANS(skemA7!$G$28*E222-skemA7!$G$22))</f>
        <v>-13.046449144805703</v>
      </c>
      <c r="I222" s="408">
        <f>skemA7!$H$21*COS(RADIANS(skemA7!$H$28*E222-skemA7!$H$22))</f>
        <v>29.57090229533523</v>
      </c>
      <c r="J222" s="408">
        <f>skemA7!$I$21*COS(RADIANS(skemA7!$I$28*E222-skemA7!$I$22))</f>
        <v>21.155248803677857</v>
      </c>
      <c r="K222" s="408">
        <f>skemA7!$J$21*COS(RADIANS(skemA7!$J$28*E222-skemA7!$J$22))</f>
        <v>1.6462535076850406</v>
      </c>
      <c r="L222" s="408">
        <f>skemA7!$K$21*COS(RADIANS(skemA7!$K$28*E222-skemA7!$K$22))</f>
        <v>-3.1485526027392527</v>
      </c>
      <c r="M222" s="408">
        <f>skemA7!$L$21*COS(RADIANS(skemA7!$L$28*E222-skemA7!$L$22))</f>
        <v>3.2382655815560439</v>
      </c>
      <c r="N222" s="408">
        <f>skemA7!$M$21*COS(RADIANS(skemA7!$M$28*E222-skemA7!$M$22))</f>
        <v>11.254876060391791</v>
      </c>
      <c r="O222" s="409">
        <f>skemA7!$D$21+'Forcasting Pasut'!F222+'Forcasting Pasut'!G222+K222+L222+'Forcasting Pasut'!H222+'Forcasting Pasut'!I222+'Forcasting Pasut'!J222+'Forcasting Pasut'!M222+'Forcasting Pasut'!N222</f>
        <v>212.11022351967142</v>
      </c>
      <c r="P222" s="405"/>
      <c r="Q222" s="406">
        <f>AC210</f>
        <v>180.5</v>
      </c>
      <c r="R222" s="406"/>
      <c r="S222" s="406"/>
      <c r="T222" s="406"/>
      <c r="U222" s="406"/>
      <c r="V222" s="406"/>
      <c r="W222" s="406"/>
      <c r="X222" s="406"/>
      <c r="Y222" s="406"/>
      <c r="Z222" s="406"/>
      <c r="AA222" s="406"/>
      <c r="AB222" s="406"/>
      <c r="AC222" s="406"/>
      <c r="AD222" s="406"/>
      <c r="AE222" s="406"/>
      <c r="AF222" s="406"/>
      <c r="AG222" s="406"/>
      <c r="AH222" s="406"/>
      <c r="AI222" s="406"/>
      <c r="AJ222" s="406"/>
      <c r="AK222" s="406"/>
      <c r="AL222" s="406"/>
      <c r="AM222" s="406"/>
      <c r="AN222" s="406"/>
      <c r="AO222" s="407"/>
      <c r="AP222" s="407"/>
    </row>
    <row r="223" spans="1:42">
      <c r="A223" s="402"/>
      <c r="B223" s="77"/>
      <c r="D223" s="131"/>
      <c r="E223" s="113">
        <f t="shared" si="3"/>
        <v>205</v>
      </c>
      <c r="F223" s="408">
        <f>skemA7!$E$21*COS(RADIANS(skemA7!$E$28*E223-skemA7!$E$22))</f>
        <v>-17.31517167797475</v>
      </c>
      <c r="G223" s="408">
        <f>skemA7!$F$21*COS(RADIANS(skemA7!$F$28*E223-skemA7!$F$22))</f>
        <v>7.1705119453438666</v>
      </c>
      <c r="H223" s="408">
        <f>skemA7!$G$21*COS(RADIANS(skemA7!$G$28*E223-skemA7!$G$22))</f>
        <v>-5.8766208475561106</v>
      </c>
      <c r="I223" s="408">
        <f>skemA7!$H$21*COS(RADIANS(skemA7!$H$28*E223-skemA7!$H$22))</f>
        <v>23.340927893636529</v>
      </c>
      <c r="J223" s="408">
        <f>skemA7!$I$21*COS(RADIANS(skemA7!$I$28*E223-skemA7!$I$22))</f>
        <v>16.300136571714265</v>
      </c>
      <c r="K223" s="408">
        <f>skemA7!$J$21*COS(RADIANS(skemA7!$J$28*E223-skemA7!$J$22))</f>
        <v>0.29641876186132116</v>
      </c>
      <c r="L223" s="408">
        <f>skemA7!$K$21*COS(RADIANS(skemA7!$K$28*E223-skemA7!$K$22))</f>
        <v>-0.75791456428070303</v>
      </c>
      <c r="M223" s="408">
        <f>skemA7!$L$21*COS(RADIANS(skemA7!$L$28*E223-skemA7!$L$22))</f>
        <v>0.14772978480298912</v>
      </c>
      <c r="N223" s="408">
        <f>skemA7!$M$21*COS(RADIANS(skemA7!$M$28*E223-skemA7!$M$22))</f>
        <v>9.9585362204587646</v>
      </c>
      <c r="O223" s="409">
        <f>skemA7!$D$21+'Forcasting Pasut'!F223+'Forcasting Pasut'!G223+K223+L223+'Forcasting Pasut'!H223+'Forcasting Pasut'!I223+'Forcasting Pasut'!J223+'Forcasting Pasut'!M223+'Forcasting Pasut'!N223</f>
        <v>199.43287305352342</v>
      </c>
      <c r="P223" s="405"/>
      <c r="Q223" s="406">
        <f>AD210</f>
        <v>156.4</v>
      </c>
      <c r="R223" s="406"/>
      <c r="S223" s="406"/>
      <c r="T223" s="406"/>
      <c r="U223" s="406"/>
      <c r="V223" s="406"/>
      <c r="W223" s="406"/>
      <c r="X223" s="406"/>
      <c r="Y223" s="406"/>
      <c r="Z223" s="406"/>
      <c r="AA223" s="406"/>
      <c r="AB223" s="406"/>
      <c r="AC223" s="406"/>
      <c r="AD223" s="406"/>
      <c r="AE223" s="406"/>
      <c r="AF223" s="406"/>
      <c r="AG223" s="406"/>
      <c r="AH223" s="406"/>
      <c r="AI223" s="406"/>
      <c r="AJ223" s="406"/>
      <c r="AK223" s="406"/>
      <c r="AL223" s="406"/>
      <c r="AM223" s="406"/>
      <c r="AN223" s="406"/>
      <c r="AO223" s="407"/>
      <c r="AP223" s="407"/>
    </row>
    <row r="224" spans="1:42">
      <c r="A224" s="402"/>
      <c r="B224" s="77"/>
      <c r="D224" s="131"/>
      <c r="E224" s="113">
        <f t="shared" si="3"/>
        <v>206</v>
      </c>
      <c r="F224" s="408">
        <f>skemA7!$E$21*COS(RADIANS(skemA7!$E$28*E224-skemA7!$E$22))</f>
        <v>-8.4330986873437492</v>
      </c>
      <c r="G224" s="408">
        <f>skemA7!$F$21*COS(RADIANS(skemA7!$F$28*E224-skemA7!$F$22))</f>
        <v>-4.7116383509440816</v>
      </c>
      <c r="H224" s="408">
        <f>skemA7!$G$21*COS(RADIANS(skemA7!$G$28*E224-skemA7!$G$22))</f>
        <v>2.7116320246826198</v>
      </c>
      <c r="I224" s="408">
        <f>skemA7!$H$21*COS(RADIANS(skemA7!$H$28*E224-skemA7!$H$22))</f>
        <v>15.51165047707104</v>
      </c>
      <c r="J224" s="408">
        <f>skemA7!$I$21*COS(RADIANS(skemA7!$I$28*E224-skemA7!$I$22))</f>
        <v>10.48448725450227</v>
      </c>
      <c r="K224" s="408">
        <f>skemA7!$J$21*COS(RADIANS(skemA7!$J$28*E224-skemA7!$J$22))</f>
        <v>-1.331816741102144</v>
      </c>
      <c r="L224" s="408">
        <f>skemA7!$K$21*COS(RADIANS(skemA7!$K$28*E224-skemA7!$K$22))</f>
        <v>2.3674800785590975</v>
      </c>
      <c r="M224" s="408">
        <f>skemA7!$L$21*COS(RADIANS(skemA7!$L$28*E224-skemA7!$L$22))</f>
        <v>-2.9826017768961455</v>
      </c>
      <c r="N224" s="408">
        <f>skemA7!$M$21*COS(RADIANS(skemA7!$M$28*E224-skemA7!$M$22))</f>
        <v>7.9872224501433688</v>
      </c>
      <c r="O224" s="409">
        <f>skemA7!$D$21+'Forcasting Pasut'!F224+'Forcasting Pasut'!G224+K224+L224+'Forcasting Pasut'!H224+'Forcasting Pasut'!I224+'Forcasting Pasut'!J224+'Forcasting Pasut'!M224+'Forcasting Pasut'!N224</f>
        <v>187.77163569418957</v>
      </c>
      <c r="P224" s="405"/>
      <c r="Q224" s="406">
        <f>AE210</f>
        <v>143.9</v>
      </c>
      <c r="R224" s="406"/>
      <c r="S224" s="406"/>
      <c r="T224" s="406"/>
      <c r="U224" s="406"/>
      <c r="V224" s="406"/>
      <c r="W224" s="406"/>
      <c r="X224" s="406"/>
      <c r="Y224" s="406"/>
      <c r="Z224" s="406"/>
      <c r="AA224" s="406"/>
      <c r="AB224" s="406"/>
      <c r="AC224" s="406"/>
      <c r="AD224" s="406"/>
      <c r="AE224" s="406"/>
      <c r="AF224" s="406"/>
      <c r="AG224" s="406"/>
      <c r="AH224" s="406"/>
      <c r="AI224" s="406"/>
      <c r="AJ224" s="406"/>
      <c r="AK224" s="406"/>
      <c r="AL224" s="406"/>
      <c r="AM224" s="406"/>
      <c r="AN224" s="406"/>
      <c r="AO224" s="407"/>
      <c r="AP224" s="407"/>
    </row>
    <row r="225" spans="1:42">
      <c r="A225" s="402"/>
      <c r="B225" s="77"/>
      <c r="D225" s="131"/>
      <c r="E225" s="113">
        <f t="shared" si="3"/>
        <v>207</v>
      </c>
      <c r="F225" s="408">
        <f>skemA7!$E$21*COS(RADIANS(skemA7!$E$28*E225-skemA7!$E$22))</f>
        <v>2.5613802250022224</v>
      </c>
      <c r="G225" s="408">
        <f>skemA7!$F$21*COS(RADIANS(skemA7!$F$28*E225-skemA7!$F$22))</f>
        <v>-15.331308956068799</v>
      </c>
      <c r="H225" s="408">
        <f>skemA7!$G$21*COS(RADIANS(skemA7!$G$28*E225-skemA7!$G$22))</f>
        <v>10.645385380632792</v>
      </c>
      <c r="I225" s="408">
        <f>skemA7!$H$21*COS(RADIANS(skemA7!$H$28*E225-skemA7!$H$22))</f>
        <v>6.6195263096570987</v>
      </c>
      <c r="J225" s="408">
        <f>skemA7!$I$21*COS(RADIANS(skemA7!$I$28*E225-skemA7!$I$22))</f>
        <v>4.0510063759740795</v>
      </c>
      <c r="K225" s="408">
        <f>skemA7!$J$21*COS(RADIANS(skemA7!$J$28*E225-skemA7!$J$22))</f>
        <v>-1.7091908385123959</v>
      </c>
      <c r="L225" s="408">
        <f>skemA7!$K$21*COS(RADIANS(skemA7!$K$28*E225-skemA7!$K$22))</f>
        <v>3.1977326230105034</v>
      </c>
      <c r="M225" s="408">
        <f>skemA7!$L$21*COS(RADIANS(skemA7!$L$28*E225-skemA7!$L$22))</f>
        <v>-5.3094737018036309</v>
      </c>
      <c r="N225" s="408">
        <f>skemA7!$M$21*COS(RADIANS(skemA7!$M$28*E225-skemA7!$M$22))</f>
        <v>5.4745472979277805</v>
      </c>
      <c r="O225" s="409">
        <f>skemA7!$D$21+'Forcasting Pasut'!F225+'Forcasting Pasut'!G225+K225+L225+'Forcasting Pasut'!H225+'Forcasting Pasut'!I225+'Forcasting Pasut'!J225+'Forcasting Pasut'!M225+'Forcasting Pasut'!N225</f>
        <v>176.36792368133689</v>
      </c>
      <c r="P225" s="405"/>
      <c r="Q225" s="406">
        <f>AF210</f>
        <v>140.79999999999998</v>
      </c>
      <c r="R225" s="406"/>
      <c r="S225" s="406"/>
      <c r="T225" s="406"/>
      <c r="U225" s="406"/>
      <c r="V225" s="406"/>
      <c r="W225" s="406"/>
      <c r="X225" s="406"/>
      <c r="Y225" s="406"/>
      <c r="Z225" s="406"/>
      <c r="AA225" s="406"/>
      <c r="AB225" s="406"/>
      <c r="AC225" s="406"/>
      <c r="AD225" s="406"/>
      <c r="AE225" s="406"/>
      <c r="AF225" s="406"/>
      <c r="AG225" s="406"/>
      <c r="AH225" s="406"/>
      <c r="AI225" s="406"/>
      <c r="AJ225" s="406"/>
      <c r="AK225" s="406"/>
      <c r="AL225" s="406"/>
      <c r="AM225" s="406"/>
      <c r="AN225" s="406"/>
      <c r="AO225" s="407"/>
      <c r="AP225" s="407"/>
    </row>
    <row r="226" spans="1:42">
      <c r="A226" s="402"/>
      <c r="B226" s="77"/>
      <c r="D226" s="131"/>
      <c r="E226" s="113">
        <f t="shared" si="3"/>
        <v>208</v>
      </c>
      <c r="F226" s="408">
        <f>skemA7!$E$21*COS(RADIANS(skemA7!$E$28*E226-skemA7!$E$22))</f>
        <v>12.914259298942781</v>
      </c>
      <c r="G226" s="408">
        <f>skemA7!$F$21*COS(RADIANS(skemA7!$F$28*E226-skemA7!$F$22))</f>
        <v>-21.842967707503117</v>
      </c>
      <c r="H226" s="408">
        <f>skemA7!$G$21*COS(RADIANS(skemA7!$G$28*E226-skemA7!$G$22))</f>
        <v>16.009689962226332</v>
      </c>
      <c r="I226" s="408">
        <f>skemA7!$H$21*COS(RADIANS(skemA7!$H$28*E226-skemA7!$H$22))</f>
        <v>-2.7261628759203589</v>
      </c>
      <c r="J226" s="408">
        <f>skemA7!$I$21*COS(RADIANS(skemA7!$I$28*E226-skemA7!$I$22))</f>
        <v>-2.6211928617277129</v>
      </c>
      <c r="K226" s="408">
        <f>skemA7!$J$21*COS(RADIANS(skemA7!$J$28*E226-skemA7!$J$22))</f>
        <v>-0.48126835972027782</v>
      </c>
      <c r="L226" s="408">
        <f>skemA7!$K$21*COS(RADIANS(skemA7!$K$28*E226-skemA7!$K$22))</f>
        <v>0.92795876008948219</v>
      </c>
      <c r="M226" s="408">
        <f>skemA7!$L$21*COS(RADIANS(skemA7!$L$28*E226-skemA7!$L$22))</f>
        <v>-6.2060682611402678</v>
      </c>
      <c r="N226" s="408">
        <f>skemA7!$M$21*COS(RADIANS(skemA7!$M$28*E226-skemA7!$M$22))</f>
        <v>2.5908159357488434</v>
      </c>
      <c r="O226" s="409">
        <f>skemA7!$D$21+'Forcasting Pasut'!F226+'Forcasting Pasut'!G226+K226+L226+'Forcasting Pasut'!H226+'Forcasting Pasut'!I226+'Forcasting Pasut'!J226+'Forcasting Pasut'!M226+'Forcasting Pasut'!N226</f>
        <v>164.733382856513</v>
      </c>
      <c r="P226" s="405"/>
      <c r="Q226" s="406">
        <f>AG210</f>
        <v>147.9</v>
      </c>
      <c r="R226" s="406"/>
      <c r="S226" s="406"/>
      <c r="T226" s="406"/>
      <c r="U226" s="406"/>
      <c r="V226" s="406"/>
      <c r="W226" s="406"/>
      <c r="X226" s="406"/>
      <c r="Y226" s="406"/>
      <c r="Z226" s="406"/>
      <c r="AA226" s="406"/>
      <c r="AB226" s="406"/>
      <c r="AC226" s="406"/>
      <c r="AD226" s="406"/>
      <c r="AE226" s="406"/>
      <c r="AF226" s="406"/>
      <c r="AG226" s="406"/>
      <c r="AH226" s="406"/>
      <c r="AI226" s="406"/>
      <c r="AJ226" s="406"/>
      <c r="AK226" s="406"/>
      <c r="AL226" s="406"/>
      <c r="AM226" s="406"/>
      <c r="AN226" s="406"/>
      <c r="AO226" s="407"/>
      <c r="AP226" s="407"/>
    </row>
    <row r="227" spans="1:42">
      <c r="A227" s="402"/>
      <c r="B227" s="77"/>
      <c r="D227" s="131"/>
      <c r="E227" s="113">
        <f t="shared" si="3"/>
        <v>209</v>
      </c>
      <c r="F227" s="408">
        <f>skemA7!$E$21*COS(RADIANS(skemA7!$E$28*E227-skemA7!$E$22))</f>
        <v>20.032247044195799</v>
      </c>
      <c r="G227" s="408">
        <f>skemA7!$F$21*COS(RADIANS(skemA7!$F$28*E227-skemA7!$F$22))</f>
        <v>-22.501820901412817</v>
      </c>
      <c r="H227" s="408">
        <f>skemA7!$G$21*COS(RADIANS(skemA7!$G$28*E227-skemA7!$G$22))</f>
        <v>17.509777629126425</v>
      </c>
      <c r="I227" s="408">
        <f>skemA7!$H$21*COS(RADIANS(skemA7!$H$28*E227-skemA7!$H$22))</f>
        <v>-11.885057409359012</v>
      </c>
      <c r="J227" s="408">
        <f>skemA7!$I$21*COS(RADIANS(skemA7!$I$28*E227-skemA7!$I$22))</f>
        <v>-9.1389300223664272</v>
      </c>
      <c r="K227" s="408">
        <f>skemA7!$J$21*COS(RADIANS(skemA7!$J$28*E227-skemA7!$J$22))</f>
        <v>1.19866827260303</v>
      </c>
      <c r="L227" s="408">
        <f>skemA7!$K$21*COS(RADIANS(skemA7!$K$28*E227-skemA7!$K$22))</f>
        <v>-2.2414202294545729</v>
      </c>
      <c r="M227" s="408">
        <f>skemA7!$L$21*COS(RADIANS(skemA7!$L$28*E227-skemA7!$L$22))</f>
        <v>-5.4308588975982071</v>
      </c>
      <c r="N227" s="408">
        <f>skemA7!$M$21*COS(RADIANS(skemA7!$M$28*E227-skemA7!$M$22))</f>
        <v>-0.46851685783911956</v>
      </c>
      <c r="O227" s="409">
        <f>skemA7!$D$21+'Forcasting Pasut'!F227+'Forcasting Pasut'!G227+K227+L227+'Forcasting Pasut'!H227+'Forcasting Pasut'!I227+'Forcasting Pasut'!J227+'Forcasting Pasut'!M227+'Forcasting Pasut'!N227</f>
        <v>153.24240759341237</v>
      </c>
      <c r="P227" s="405"/>
      <c r="Q227" s="406">
        <f>AH210</f>
        <v>159.30000000000001</v>
      </c>
      <c r="R227" s="406"/>
      <c r="S227" s="406"/>
      <c r="T227" s="406"/>
      <c r="U227" s="406"/>
      <c r="V227" s="406"/>
      <c r="W227" s="406"/>
      <c r="X227" s="406"/>
      <c r="Y227" s="406"/>
      <c r="Z227" s="406"/>
      <c r="AA227" s="406"/>
      <c r="AB227" s="406"/>
      <c r="AC227" s="406"/>
      <c r="AD227" s="406"/>
      <c r="AE227" s="406"/>
      <c r="AF227" s="406"/>
      <c r="AG227" s="406"/>
      <c r="AH227" s="406"/>
      <c r="AI227" s="406"/>
      <c r="AJ227" s="406"/>
      <c r="AK227" s="406"/>
      <c r="AL227" s="406"/>
      <c r="AM227" s="406"/>
      <c r="AN227" s="406"/>
      <c r="AO227" s="407"/>
      <c r="AP227" s="407"/>
    </row>
    <row r="228" spans="1:42">
      <c r="A228" s="402"/>
      <c r="B228" s="77"/>
      <c r="D228" s="131"/>
      <c r="E228" s="113">
        <f t="shared" si="3"/>
        <v>210</v>
      </c>
      <c r="F228" s="408">
        <f>skemA7!$E$21*COS(RADIANS(skemA7!$E$28*E228-skemA7!$E$22))</f>
        <v>22.132359527900153</v>
      </c>
      <c r="G228" s="408">
        <f>skemA7!$F$21*COS(RADIANS(skemA7!$F$28*E228-skemA7!$F$22))</f>
        <v>-17.131329356559132</v>
      </c>
      <c r="H228" s="408">
        <f>skemA7!$G$21*COS(RADIANS(skemA7!$G$28*E228-skemA7!$G$22))</f>
        <v>14.783576151974893</v>
      </c>
      <c r="I228" s="408">
        <f>skemA7!$H$21*COS(RADIANS(skemA7!$H$28*E228-skemA7!$H$22))</f>
        <v>-20.229596650957529</v>
      </c>
      <c r="J228" s="408">
        <f>skemA7!$I$21*COS(RADIANS(skemA7!$I$28*E228-skemA7!$I$22))</f>
        <v>-15.118126835974108</v>
      </c>
      <c r="K228" s="408">
        <f>skemA7!$J$21*COS(RADIANS(skemA7!$J$28*E228-skemA7!$J$22))</f>
        <v>1.7527984527417679</v>
      </c>
      <c r="L228" s="408">
        <f>skemA7!$K$21*COS(RADIANS(skemA7!$K$28*E228-skemA7!$K$22))</f>
        <v>-3.2378652309198133</v>
      </c>
      <c r="M228" s="408">
        <f>skemA7!$L$21*COS(RADIANS(skemA7!$L$28*E228-skemA7!$L$22))</f>
        <v>-3.1926731651920339</v>
      </c>
      <c r="N228" s="408">
        <f>skemA7!$M$21*COS(RADIANS(skemA7!$M$28*E228-skemA7!$M$22))</f>
        <v>-3.4960943153026838</v>
      </c>
      <c r="O228" s="409">
        <f>skemA7!$D$21+'Forcasting Pasut'!F228+'Forcasting Pasut'!G228+K228+L228+'Forcasting Pasut'!H228+'Forcasting Pasut'!I228+'Forcasting Pasut'!J228+'Forcasting Pasut'!M228+'Forcasting Pasut'!N228</f>
        <v>142.43136754322876</v>
      </c>
      <c r="P228" s="405"/>
      <c r="Q228" s="406">
        <f>AI210</f>
        <v>172.10000000000002</v>
      </c>
      <c r="R228" s="406"/>
      <c r="S228" s="406"/>
      <c r="T228" s="406"/>
      <c r="U228" s="406"/>
      <c r="V228" s="406"/>
      <c r="W228" s="406"/>
      <c r="X228" s="406"/>
      <c r="Y228" s="406"/>
      <c r="Z228" s="406"/>
      <c r="AA228" s="406"/>
      <c r="AB228" s="406"/>
      <c r="AC228" s="406"/>
      <c r="AD228" s="406"/>
      <c r="AE228" s="406"/>
      <c r="AF228" s="406"/>
      <c r="AG228" s="406"/>
      <c r="AH228" s="406"/>
      <c r="AI228" s="406"/>
      <c r="AJ228" s="406"/>
      <c r="AK228" s="406"/>
      <c r="AL228" s="406"/>
      <c r="AM228" s="406"/>
      <c r="AN228" s="406"/>
      <c r="AO228" s="407"/>
      <c r="AP228" s="407"/>
    </row>
    <row r="229" spans="1:42">
      <c r="A229" s="402"/>
      <c r="B229" s="77"/>
      <c r="D229" s="131"/>
      <c r="E229" s="113">
        <f t="shared" si="3"/>
        <v>211</v>
      </c>
      <c r="F229" s="408">
        <f>skemA7!$E$21*COS(RADIANS(skemA7!$E$28*E229-skemA7!$E$22))</f>
        <v>18.688539815194368</v>
      </c>
      <c r="G229" s="408">
        <f>skemA7!$F$21*COS(RADIANS(skemA7!$F$28*E229-skemA7!$F$22))</f>
        <v>-7.1705119453441029</v>
      </c>
      <c r="H229" s="408">
        <f>skemA7!$G$21*COS(RADIANS(skemA7!$G$28*E229-skemA7!$G$22))</f>
        <v>8.4891016376248079</v>
      </c>
      <c r="I229" s="408">
        <f>skemA7!$H$21*COS(RADIANS(skemA7!$H$28*E229-skemA7!$H$22))</f>
        <v>-27.188018979772917</v>
      </c>
      <c r="J229" s="408">
        <f>skemA7!$I$21*COS(RADIANS(skemA7!$I$28*E229-skemA7!$I$22))</f>
        <v>-20.206440225289626</v>
      </c>
      <c r="K229" s="408">
        <f>skemA7!$J$21*COS(RADIANS(skemA7!$J$28*E229-skemA7!$J$22))</f>
        <v>0.66067515927295717</v>
      </c>
      <c r="L229" s="408">
        <f>skemA7!$K$21*COS(RADIANS(skemA7!$K$28*E229-skemA7!$K$22))</f>
        <v>-1.0953774626045369</v>
      </c>
      <c r="M229" s="408">
        <f>skemA7!$L$21*COS(RADIANS(skemA7!$L$28*E229-skemA7!$L$22))</f>
        <v>-9.4438316752350648E-2</v>
      </c>
      <c r="N229" s="408">
        <f>skemA7!$M$21*COS(RADIANS(skemA7!$M$28*E229-skemA7!$M$22))</f>
        <v>-6.2867119958726114</v>
      </c>
      <c r="O229" s="409">
        <f>skemA7!$D$21+'Forcasting Pasut'!F229+'Forcasting Pasut'!G229+K229+L229+'Forcasting Pasut'!H229+'Forcasting Pasut'!I229+'Forcasting Pasut'!J229+'Forcasting Pasut'!M229+'Forcasting Pasut'!N229</f>
        <v>131.96513665197318</v>
      </c>
      <c r="P229" s="405"/>
      <c r="Q229" s="406">
        <f>AJ210</f>
        <v>180.8</v>
      </c>
      <c r="R229" s="406"/>
      <c r="S229" s="406"/>
      <c r="T229" s="406"/>
      <c r="U229" s="406"/>
      <c r="V229" s="406"/>
      <c r="W229" s="406"/>
      <c r="X229" s="406"/>
      <c r="Y229" s="406"/>
      <c r="Z229" s="406"/>
      <c r="AA229" s="406"/>
      <c r="AB229" s="406"/>
      <c r="AC229" s="406"/>
      <c r="AD229" s="406"/>
      <c r="AE229" s="406"/>
      <c r="AF229" s="406"/>
      <c r="AG229" s="406"/>
      <c r="AH229" s="406"/>
      <c r="AI229" s="406"/>
      <c r="AJ229" s="406"/>
      <c r="AK229" s="406"/>
      <c r="AL229" s="406"/>
      <c r="AM229" s="406"/>
      <c r="AN229" s="406"/>
      <c r="AO229" s="407"/>
      <c r="AP229" s="407"/>
    </row>
    <row r="230" spans="1:42">
      <c r="A230" s="402"/>
      <c r="B230" s="77"/>
      <c r="D230" s="131"/>
      <c r="E230" s="113">
        <f t="shared" si="3"/>
        <v>212</v>
      </c>
      <c r="F230" s="408">
        <f>skemA7!$E$21*COS(RADIANS(skemA7!$E$28*E230-skemA7!$E$22))</f>
        <v>10.563429910417934</v>
      </c>
      <c r="G230" s="408">
        <f>skemA7!$F$21*COS(RADIANS(skemA7!$F$28*E230-skemA7!$F$22))</f>
        <v>4.7116383509438382</v>
      </c>
      <c r="H230" s="408">
        <f>skemA7!$G$21*COS(RADIANS(skemA7!$G$28*E230-skemA7!$G$22))</f>
        <v>0.14563490568275042</v>
      </c>
      <c r="I230" s="408">
        <f>skemA7!$H$21*COS(RADIANS(skemA7!$H$28*E230-skemA7!$H$22))</f>
        <v>-32.283538474529983</v>
      </c>
      <c r="J230" s="408">
        <f>skemA7!$I$21*COS(RADIANS(skemA7!$I$28*E230-skemA7!$I$22))</f>
        <v>-24.104025235621268</v>
      </c>
      <c r="K230" s="408">
        <f>skemA7!$J$21*COS(RADIANS(skemA7!$J$28*E230-skemA7!$J$22))</f>
        <v>-1.0519637298012383</v>
      </c>
      <c r="L230" s="408">
        <f>skemA7!$K$21*COS(RADIANS(skemA7!$K$28*E230-skemA7!$K$22))</f>
        <v>2.1090186828151114</v>
      </c>
      <c r="M230" s="408">
        <f>skemA7!$L$21*COS(RADIANS(skemA7!$L$28*E230-skemA7!$L$22))</f>
        <v>3.0292365271519706</v>
      </c>
      <c r="N230" s="408">
        <f>skemA7!$M$21*COS(RADIANS(skemA7!$M$28*E230-skemA7!$M$22))</f>
        <v>-8.6512262199608898</v>
      </c>
      <c r="O230" s="409">
        <f>skemA7!$D$21+'Forcasting Pasut'!F230+'Forcasting Pasut'!G230+K230+L230+'Forcasting Pasut'!H230+'Forcasting Pasut'!I230+'Forcasting Pasut'!J230+'Forcasting Pasut'!M230+'Forcasting Pasut'!N230</f>
        <v>120.63652368261548</v>
      </c>
      <c r="P230" s="405"/>
      <c r="Q230" s="406">
        <f>AK210</f>
        <v>180.5</v>
      </c>
      <c r="R230" s="406"/>
      <c r="S230" s="406"/>
      <c r="T230" s="406"/>
      <c r="U230" s="406"/>
      <c r="V230" s="406"/>
      <c r="W230" s="406"/>
      <c r="X230" s="406"/>
      <c r="Y230" s="406"/>
      <c r="Z230" s="406"/>
      <c r="AA230" s="406"/>
      <c r="AB230" s="406"/>
      <c r="AC230" s="406"/>
      <c r="AD230" s="406"/>
      <c r="AE230" s="406"/>
      <c r="AF230" s="406"/>
      <c r="AG230" s="406"/>
      <c r="AH230" s="406"/>
      <c r="AI230" s="406"/>
      <c r="AJ230" s="406"/>
      <c r="AK230" s="406"/>
      <c r="AL230" s="406"/>
      <c r="AM230" s="406"/>
      <c r="AN230" s="406"/>
      <c r="AO230" s="407"/>
      <c r="AP230" s="407"/>
    </row>
    <row r="231" spans="1:42">
      <c r="A231" s="402"/>
      <c r="B231" s="77"/>
      <c r="D231" s="131"/>
      <c r="E231" s="113">
        <f t="shared" si="3"/>
        <v>213</v>
      </c>
      <c r="F231" s="408">
        <f>skemA7!$E$21*COS(RADIANS(skemA7!$E$28*E231-skemA7!$E$22))</f>
        <v>-0.20771233948941528</v>
      </c>
      <c r="G231" s="408">
        <f>skemA7!$F$21*COS(RADIANS(skemA7!$F$28*E231-skemA7!$F$22))</f>
        <v>15.331308956068858</v>
      </c>
      <c r="H231" s="408">
        <f>skemA7!$G$21*COS(RADIANS(skemA7!$G$28*E231-skemA7!$G$22))</f>
        <v>-8.232983341824335</v>
      </c>
      <c r="I231" s="408">
        <f>skemA7!$H$21*COS(RADIANS(skemA7!$H$28*E231-skemA7!$H$22))</f>
        <v>-35.167013930242653</v>
      </c>
      <c r="J231" s="408">
        <f>skemA7!$I$21*COS(RADIANS(skemA7!$I$28*E231-skemA7!$I$22))</f>
        <v>-26.581204346853664</v>
      </c>
      <c r="K231" s="408">
        <f>skemA7!$J$21*COS(RADIANS(skemA7!$J$28*E231-skemA7!$J$22))</f>
        <v>-1.7765831796835296</v>
      </c>
      <c r="L231" s="408">
        <f>skemA7!$K$21*COS(RADIANS(skemA7!$K$28*E231-skemA7!$K$22))</f>
        <v>3.2688368784331128</v>
      </c>
      <c r="M231" s="408">
        <f>skemA7!$L$21*COS(RADIANS(skemA7!$L$28*E231-skemA7!$L$22))</f>
        <v>5.3368891656399411</v>
      </c>
      <c r="N231" s="408">
        <f>skemA7!$M$21*COS(RADIANS(skemA7!$M$28*E231-skemA7!$M$22))</f>
        <v>-10.42937393043265</v>
      </c>
      <c r="O231" s="409">
        <f>skemA7!$D$21+'Forcasting Pasut'!F231+'Forcasting Pasut'!G231+K231+L231+'Forcasting Pasut'!H231+'Forcasting Pasut'!I231+'Forcasting Pasut'!J231+'Forcasting Pasut'!M231+'Forcasting Pasut'!N231</f>
        <v>107.71048289713291</v>
      </c>
      <c r="P231" s="405"/>
      <c r="Q231" s="406">
        <f>AL210</f>
        <v>166.70000000000002</v>
      </c>
      <c r="R231" s="406"/>
      <c r="S231" s="406"/>
      <c r="T231" s="406"/>
      <c r="U231" s="406"/>
      <c r="V231" s="406"/>
      <c r="W231" s="406"/>
      <c r="X231" s="406"/>
      <c r="Y231" s="406"/>
      <c r="Z231" s="406"/>
      <c r="AA231" s="406"/>
      <c r="AB231" s="406"/>
      <c r="AC231" s="406"/>
      <c r="AD231" s="406"/>
      <c r="AE231" s="406"/>
      <c r="AF231" s="406"/>
      <c r="AG231" s="406"/>
      <c r="AH231" s="406"/>
      <c r="AI231" s="406"/>
      <c r="AJ231" s="406"/>
      <c r="AK231" s="406"/>
      <c r="AL231" s="406"/>
      <c r="AM231" s="406"/>
      <c r="AN231" s="406"/>
      <c r="AO231" s="407"/>
      <c r="AP231" s="407"/>
    </row>
    <row r="232" spans="1:42">
      <c r="A232" s="402"/>
      <c r="B232" s="77"/>
      <c r="D232" s="131"/>
      <c r="E232" s="113">
        <f t="shared" si="3"/>
        <v>214</v>
      </c>
      <c r="F232" s="408">
        <f>skemA7!$E$21*COS(RADIANS(skemA7!$E$28*E232-skemA7!$E$22))</f>
        <v>-10.926824749331974</v>
      </c>
      <c r="G232" s="408">
        <f>skemA7!$F$21*COS(RADIANS(skemA7!$F$28*E232-skemA7!$F$22))</f>
        <v>21.842967707503142</v>
      </c>
      <c r="H232" s="408">
        <f>skemA7!$G$21*COS(RADIANS(skemA7!$G$28*E232-skemA7!$G$22))</f>
        <v>-14.624427973670015</v>
      </c>
      <c r="I232" s="408">
        <f>skemA7!$H$21*COS(RADIANS(skemA7!$H$28*E232-skemA7!$H$22))</f>
        <v>-35.64087175383743</v>
      </c>
      <c r="J232" s="408">
        <f>skemA7!$I$21*COS(RADIANS(skemA7!$I$28*E232-skemA7!$I$22))</f>
        <v>-27.492001947514243</v>
      </c>
      <c r="K232" s="408">
        <f>skemA7!$J$21*COS(RADIANS(skemA7!$J$28*E232-skemA7!$J$22))</f>
        <v>-0.83261019891198096</v>
      </c>
      <c r="L232" s="408">
        <f>skemA7!$K$21*COS(RADIANS(skemA7!$K$28*E232-skemA7!$K$22))</f>
        <v>1.2596969905590227</v>
      </c>
      <c r="M232" s="408">
        <f>skemA7!$L$21*COS(RADIANS(skemA7!$L$28*E232-skemA7!$L$22))</f>
        <v>6.2068792023558936</v>
      </c>
      <c r="N232" s="408">
        <f>skemA7!$M$21*COS(RADIANS(skemA7!$M$28*E232-skemA7!$M$22))</f>
        <v>-11.500635070688528</v>
      </c>
      <c r="O232" s="409">
        <f>skemA7!$D$21+'Forcasting Pasut'!F232+'Forcasting Pasut'!G232+K232+L232+'Forcasting Pasut'!H232+'Forcasting Pasut'!I232+'Forcasting Pasut'!J232+'Forcasting Pasut'!M232+'Forcasting Pasut'!N232</f>
        <v>94.460491171981118</v>
      </c>
      <c r="P232" s="405"/>
      <c r="Q232" s="406">
        <f>AM210</f>
        <v>146</v>
      </c>
      <c r="R232" s="406"/>
      <c r="S232" s="406"/>
      <c r="T232" s="406"/>
      <c r="U232" s="406"/>
      <c r="V232" s="406"/>
      <c r="W232" s="406"/>
      <c r="X232" s="406"/>
      <c r="Y232" s="406"/>
      <c r="Z232" s="406"/>
      <c r="AA232" s="406"/>
      <c r="AB232" s="406"/>
      <c r="AC232" s="406"/>
      <c r="AD232" s="406"/>
      <c r="AE232" s="406"/>
      <c r="AF232" s="406"/>
      <c r="AG232" s="406"/>
      <c r="AH232" s="406"/>
      <c r="AI232" s="406"/>
      <c r="AJ232" s="406"/>
      <c r="AK232" s="406"/>
      <c r="AL232" s="406"/>
      <c r="AM232" s="406"/>
      <c r="AN232" s="406"/>
      <c r="AO232" s="407"/>
      <c r="AP232" s="407"/>
    </row>
    <row r="233" spans="1:42">
      <c r="A233" s="402"/>
      <c r="B233" s="77"/>
      <c r="D233" s="131"/>
      <c r="E233" s="113">
        <f t="shared" si="3"/>
        <v>215</v>
      </c>
      <c r="F233" s="408">
        <f>skemA7!$E$21*COS(RADIANS(skemA7!$E$28*E233-skemA7!$E$22))</f>
        <v>-18.908878082577665</v>
      </c>
      <c r="G233" s="408">
        <f>skemA7!$F$21*COS(RADIANS(skemA7!$F$28*E233-skemA7!$F$22))</f>
        <v>22.501820901412803</v>
      </c>
      <c r="H233" s="408">
        <f>skemA7!$G$21*COS(RADIANS(skemA7!$G$28*E233-skemA7!$G$22))</f>
        <v>-17.486012747085717</v>
      </c>
      <c r="I233" s="408">
        <f>skemA7!$H$21*COS(RADIANS(skemA7!$H$28*E233-skemA7!$H$22))</f>
        <v>-33.672643559766477</v>
      </c>
      <c r="J233" s="408">
        <f>skemA7!$I$21*COS(RADIANS(skemA7!$I$28*E233-skemA7!$I$22))</f>
        <v>-26.782746409224998</v>
      </c>
      <c r="K233" s="408">
        <f>skemA7!$J$21*COS(RADIANS(skemA7!$J$28*E233-skemA7!$J$22))</f>
        <v>0.89336223534832615</v>
      </c>
      <c r="L233" s="408">
        <f>skemA7!$K$21*COS(RADIANS(skemA7!$K$28*E233-skemA7!$K$22))</f>
        <v>-1.9706500451297262</v>
      </c>
      <c r="M233" s="408">
        <f>skemA7!$L$21*COS(RADIANS(skemA7!$L$28*E233-skemA7!$L$22))</f>
        <v>5.4048468631165099</v>
      </c>
      <c r="N233" s="408">
        <f>skemA7!$M$21*COS(RADIANS(skemA7!$M$28*E233-skemA7!$M$22))</f>
        <v>-11.792401244645225</v>
      </c>
      <c r="O233" s="409">
        <f>skemA7!$D$21+'Forcasting Pasut'!F233+'Forcasting Pasut'!G233+K233+L233+'Forcasting Pasut'!H233+'Forcasting Pasut'!I233+'Forcasting Pasut'!J233+'Forcasting Pasut'!M233+'Forcasting Pasut'!N233</f>
        <v>84.355016876965067</v>
      </c>
      <c r="P233" s="405"/>
      <c r="Q233" s="406">
        <f>AN210</f>
        <v>125.4</v>
      </c>
      <c r="R233" s="406"/>
      <c r="S233" s="406"/>
      <c r="T233" s="406"/>
      <c r="U233" s="406"/>
      <c r="V233" s="406"/>
      <c r="W233" s="406"/>
      <c r="X233" s="406"/>
      <c r="Y233" s="406"/>
      <c r="Z233" s="406"/>
      <c r="AA233" s="406"/>
      <c r="AB233" s="406"/>
      <c r="AC233" s="406"/>
      <c r="AD233" s="406"/>
      <c r="AE233" s="406"/>
      <c r="AF233" s="406"/>
      <c r="AG233" s="406"/>
      <c r="AH233" s="406"/>
      <c r="AI233" s="406"/>
      <c r="AJ233" s="406"/>
      <c r="AK233" s="406"/>
      <c r="AL233" s="406"/>
      <c r="AM233" s="406"/>
      <c r="AN233" s="406"/>
      <c r="AO233" s="407"/>
      <c r="AP233" s="407"/>
    </row>
    <row r="234" spans="1:42">
      <c r="A234" s="402">
        <v>10</v>
      </c>
      <c r="B234" s="77">
        <f>skemA1!B14</f>
        <v>44718</v>
      </c>
      <c r="C234" s="43" t="e">
        <f>skemA1!#REF!</f>
        <v>#REF!</v>
      </c>
      <c r="D234" s="139" t="e">
        <f>skemA1!#REF!</f>
        <v>#REF!</v>
      </c>
      <c r="E234" s="113">
        <f t="shared" si="3"/>
        <v>216</v>
      </c>
      <c r="F234" s="408">
        <f>skemA7!$E$21*COS(RADIANS(skemA7!$E$28*E234-skemA7!$E$22))</f>
        <v>-22.154448716459772</v>
      </c>
      <c r="G234" s="408">
        <f>skemA7!$F$21*COS(RADIANS(skemA7!$F$28*E234-skemA7!$F$22))</f>
        <v>17.131329356559299</v>
      </c>
      <c r="H234" s="408">
        <f>skemA7!$G$21*COS(RADIANS(skemA7!$G$28*E234-skemA7!$G$22))</f>
        <v>-16.127044443754894</v>
      </c>
      <c r="I234" s="408">
        <f>skemA7!$H$21*COS(RADIANS(skemA7!$H$28*E234-skemA7!$H$22))</f>
        <v>-29.397190879630816</v>
      </c>
      <c r="J234" s="408">
        <f>skemA7!$I$21*COS(RADIANS(skemA7!$I$28*E234-skemA7!$I$22))</f>
        <v>-24.495232857103165</v>
      </c>
      <c r="K234" s="408">
        <f>skemA7!$J$21*COS(RADIANS(skemA7!$J$28*E234-skemA7!$J$22))</f>
        <v>1.7802760312172305</v>
      </c>
      <c r="L234" s="408">
        <f>skemA7!$K$21*COS(RADIANS(skemA7!$K$28*E234-skemA7!$K$22))</f>
        <v>-3.2905599368147218</v>
      </c>
      <c r="M234" s="408">
        <f>skemA7!$L$21*COS(RADIANS(skemA7!$L$28*E234-skemA7!$L$22))</f>
        <v>3.1468453324173149</v>
      </c>
      <c r="N234" s="408">
        <f>skemA7!$M$21*COS(RADIANS(skemA7!$M$28*E234-skemA7!$M$22))</f>
        <v>-11.284896999683191</v>
      </c>
      <c r="O234" s="409">
        <f>skemA7!$D$21+'Forcasting Pasut'!F234+'Forcasting Pasut'!G234+K234+L234+'Forcasting Pasut'!H234+'Forcasting Pasut'!I234+'Forcasting Pasut'!J234+'Forcasting Pasut'!M234+'Forcasting Pasut'!N234</f>
        <v>81.477395852264522</v>
      </c>
      <c r="P234" s="405"/>
      <c r="Q234" s="406">
        <f>skemA1!C14</f>
        <v>104.69999999999999</v>
      </c>
      <c r="R234" s="406">
        <f>skemA1!D14</f>
        <v>90.600000000000009</v>
      </c>
      <c r="S234" s="406">
        <f>skemA1!E14</f>
        <v>87.1</v>
      </c>
      <c r="T234" s="406">
        <f>skemA1!F14</f>
        <v>102.4</v>
      </c>
      <c r="U234" s="406">
        <f>skemA1!G14</f>
        <v>131.4</v>
      </c>
      <c r="V234" s="406">
        <f>skemA1!H14</f>
        <v>166.79999999999998</v>
      </c>
      <c r="W234" s="406">
        <f>skemA1!I14</f>
        <v>199.3</v>
      </c>
      <c r="X234" s="406">
        <f>skemA1!J14</f>
        <v>225</v>
      </c>
      <c r="Y234" s="406">
        <f>skemA1!K14</f>
        <v>240.20000000000002</v>
      </c>
      <c r="Z234" s="406">
        <f>skemA1!L14</f>
        <v>242.20000000000002</v>
      </c>
      <c r="AA234" s="406">
        <f>skemA1!M14</f>
        <v>235.70000000000002</v>
      </c>
      <c r="AB234" s="406">
        <f>skemA1!N14</f>
        <v>218.29999999999998</v>
      </c>
      <c r="AC234" s="406">
        <f>skemA1!O14</f>
        <v>192.3</v>
      </c>
      <c r="AD234" s="406">
        <f>skemA1!P14</f>
        <v>170.5</v>
      </c>
      <c r="AE234" s="406">
        <f>skemA1!Q14</f>
        <v>155.6</v>
      </c>
      <c r="AF234" s="406">
        <f>skemA1!R14</f>
        <v>147.30000000000001</v>
      </c>
      <c r="AG234" s="406">
        <f>skemA1!S14</f>
        <v>147.9</v>
      </c>
      <c r="AH234" s="406">
        <f>skemA1!T14</f>
        <v>157.29999999999998</v>
      </c>
      <c r="AI234" s="406">
        <f>skemA1!U14</f>
        <v>167.3</v>
      </c>
      <c r="AJ234" s="406">
        <f>skemA1!V14</f>
        <v>178.9</v>
      </c>
      <c r="AK234" s="406">
        <f>skemA1!W14</f>
        <v>183.20000000000002</v>
      </c>
      <c r="AL234" s="406">
        <f>skemA1!X14</f>
        <v>175.5</v>
      </c>
      <c r="AM234" s="406">
        <f>skemA1!Y14</f>
        <v>155.6</v>
      </c>
      <c r="AN234" s="406">
        <f>skemA1!Z14</f>
        <v>137.5</v>
      </c>
      <c r="AO234" s="407">
        <f>SUM(Q234:AN234)</f>
        <v>4012.6000000000004</v>
      </c>
      <c r="AP234" s="407">
        <f>AVERAGE(Q234:AN234)</f>
        <v>167.19166666666669</v>
      </c>
    </row>
    <row r="235" spans="1:42">
      <c r="A235" s="402"/>
      <c r="B235" s="77"/>
      <c r="D235" s="131"/>
      <c r="E235" s="113">
        <f t="shared" si="3"/>
        <v>217</v>
      </c>
      <c r="F235" s="408">
        <f>skemA7!$E$21*COS(RADIANS(skemA7!$E$28*E235-skemA7!$E$22))</f>
        <v>-19.850554035626487</v>
      </c>
      <c r="G235" s="408">
        <f>skemA7!$F$21*COS(RADIANS(skemA7!$F$28*E235-skemA7!$F$22))</f>
        <v>7.1705119453440274</v>
      </c>
      <c r="H235" s="408">
        <f>skemA7!$G$21*COS(RADIANS(skemA7!$G$28*E235-skemA7!$G$22))</f>
        <v>-10.875533682037554</v>
      </c>
      <c r="I235" s="408">
        <f>skemA7!$H$21*COS(RADIANS(skemA7!$H$28*E235-skemA7!$H$22))</f>
        <v>-23.107464550364618</v>
      </c>
      <c r="J235" s="408">
        <f>skemA7!$I$21*COS(RADIANS(skemA7!$I$28*E235-skemA7!$I$22))</f>
        <v>-20.764260259866276</v>
      </c>
      <c r="K235" s="408">
        <f>skemA7!$J$21*COS(RADIANS(skemA7!$J$28*E235-skemA7!$J$22))</f>
        <v>0.99512901724964165</v>
      </c>
      <c r="L235" s="408">
        <f>skemA7!$K$21*COS(RADIANS(skemA7!$K$28*E235-skemA7!$K$22))</f>
        <v>-1.4204524312465894</v>
      </c>
      <c r="M235" s="408">
        <f>skemA7!$L$21*COS(RADIANS(skemA7!$L$28*E235-skemA7!$L$22))</f>
        <v>4.1139885154822649E-2</v>
      </c>
      <c r="N235" s="408">
        <f>skemA7!$M$21*COS(RADIANS(skemA7!$M$28*E235-skemA7!$M$22))</f>
        <v>-10.01252017573829</v>
      </c>
      <c r="O235" s="409">
        <f>skemA7!$D$21+'Forcasting Pasut'!F235+'Forcasting Pasut'!G235+K235+L235+'Forcasting Pasut'!H235+'Forcasting Pasut'!I235+'Forcasting Pasut'!J235+'Forcasting Pasut'!M235+'Forcasting Pasut'!N235</f>
        <v>88.344314678385928</v>
      </c>
      <c r="P235" s="405"/>
      <c r="Q235" s="406">
        <f>R234</f>
        <v>90.600000000000009</v>
      </c>
      <c r="R235" s="406"/>
      <c r="S235" s="406"/>
      <c r="T235" s="406"/>
      <c r="U235" s="406"/>
      <c r="V235" s="406"/>
      <c r="W235" s="406"/>
      <c r="X235" s="406"/>
      <c r="Y235" s="406"/>
      <c r="Z235" s="406"/>
      <c r="AA235" s="406"/>
      <c r="AB235" s="406"/>
      <c r="AC235" s="406"/>
      <c r="AD235" s="406"/>
      <c r="AE235" s="406"/>
      <c r="AF235" s="406"/>
      <c r="AG235" s="406"/>
      <c r="AH235" s="406"/>
      <c r="AI235" s="406"/>
      <c r="AJ235" s="406"/>
      <c r="AK235" s="406"/>
      <c r="AL235" s="406"/>
      <c r="AM235" s="406"/>
      <c r="AN235" s="406"/>
      <c r="AO235" s="407"/>
      <c r="AP235" s="407"/>
    </row>
    <row r="236" spans="1:42">
      <c r="A236" s="402"/>
      <c r="B236" s="77"/>
      <c r="D236" s="131"/>
      <c r="E236" s="113">
        <f t="shared" si="3"/>
        <v>218</v>
      </c>
      <c r="F236" s="408">
        <f>skemA7!$E$21*COS(RADIANS(skemA7!$E$28*E236-skemA7!$E$22))</f>
        <v>-12.574296354094779</v>
      </c>
      <c r="G236" s="408">
        <f>skemA7!$F$21*COS(RADIANS(skemA7!$F$28*E236-skemA7!$F$22))</f>
        <v>-4.7116383509439155</v>
      </c>
      <c r="H236" s="408">
        <f>skemA7!$G$21*COS(RADIANS(skemA7!$G$28*E236-skemA7!$G$22))</f>
        <v>-2.9990238535297746</v>
      </c>
      <c r="I236" s="408">
        <f>skemA7!$H$21*COS(RADIANS(skemA7!$H$28*E236-skemA7!$H$22))</f>
        <v>-15.234431940828346</v>
      </c>
      <c r="J236" s="408">
        <f>skemA7!$I$21*COS(RADIANS(skemA7!$I$28*E236-skemA7!$I$22))</f>
        <v>-15.809687974393244</v>
      </c>
      <c r="K236" s="408">
        <f>skemA7!$J$21*COS(RADIANS(skemA7!$J$28*E236-skemA7!$J$22))</f>
        <v>-0.72465745784499336</v>
      </c>
      <c r="L236" s="408">
        <f>skemA7!$K$21*COS(RADIANS(skemA7!$K$28*E236-skemA7!$K$22))</f>
        <v>1.8267058057035739</v>
      </c>
      <c r="M236" s="408">
        <f>skemA7!$L$21*COS(RADIANS(skemA7!$L$28*E236-skemA7!$L$22))</f>
        <v>-3.0756479122357319</v>
      </c>
      <c r="N236" s="408">
        <f>skemA7!$M$21*COS(RADIANS(skemA7!$M$28*E236-skemA7!$M$22))</f>
        <v>-8.0615104737840895</v>
      </c>
      <c r="O236" s="409">
        <f>skemA7!$D$21+'Forcasting Pasut'!F236+'Forcasting Pasut'!G236+K236+L236+'Forcasting Pasut'!H236+'Forcasting Pasut'!I236+'Forcasting Pasut'!J236+'Forcasting Pasut'!M236+'Forcasting Pasut'!N236</f>
        <v>104.80413045356593</v>
      </c>
      <c r="P236" s="405"/>
      <c r="Q236" s="406">
        <f>S234</f>
        <v>87.1</v>
      </c>
      <c r="R236" s="406"/>
      <c r="S236" s="406"/>
      <c r="T236" s="406"/>
      <c r="U236" s="406"/>
      <c r="V236" s="406"/>
      <c r="W236" s="406"/>
      <c r="X236" s="406"/>
      <c r="Y236" s="406"/>
      <c r="Z236" s="406"/>
      <c r="AA236" s="406"/>
      <c r="AB236" s="406"/>
      <c r="AC236" s="406"/>
      <c r="AD236" s="406"/>
      <c r="AE236" s="406"/>
      <c r="AF236" s="406"/>
      <c r="AG236" s="406"/>
      <c r="AH236" s="406"/>
      <c r="AI236" s="406"/>
      <c r="AJ236" s="406"/>
      <c r="AK236" s="406"/>
      <c r="AL236" s="406"/>
      <c r="AM236" s="406"/>
      <c r="AN236" s="406"/>
      <c r="AO236" s="407"/>
      <c r="AP236" s="407"/>
    </row>
    <row r="237" spans="1:42">
      <c r="A237" s="402"/>
      <c r="B237" s="77"/>
      <c r="D237" s="131"/>
      <c r="E237" s="113">
        <f t="shared" si="3"/>
        <v>219</v>
      </c>
      <c r="F237" s="408">
        <f>skemA7!$E$21*COS(RADIANS(skemA7!$E$28*E237-skemA7!$E$22))</f>
        <v>-2.1483046228887912</v>
      </c>
      <c r="G237" s="408">
        <f>skemA7!$F$21*COS(RADIANS(skemA7!$F$28*E237-skemA7!$F$22))</f>
        <v>-15.331308956068916</v>
      </c>
      <c r="H237" s="408">
        <f>skemA7!$G$21*COS(RADIANS(skemA7!$G$28*E237-skemA7!$G$22))</f>
        <v>5.6013525039190473</v>
      </c>
      <c r="I237" s="408">
        <f>skemA7!$H$21*COS(RADIANS(skemA7!$H$28*E237-skemA7!$H$22))</f>
        <v>-6.3175473883109214</v>
      </c>
      <c r="J237" s="408">
        <f>skemA7!$I$21*COS(RADIANS(skemA7!$I$28*E237-skemA7!$I$22))</f>
        <v>-9.9234798379688609</v>
      </c>
      <c r="K237" s="408">
        <f>skemA7!$J$21*COS(RADIANS(skemA7!$J$28*E237-skemA7!$J$22))</f>
        <v>-1.7638352438533975</v>
      </c>
      <c r="L237" s="408">
        <f>skemA7!$K$21*COS(RADIANS(skemA7!$K$28*E237-skemA7!$K$22))</f>
        <v>3.302972944557383</v>
      </c>
      <c r="M237" s="408">
        <f>skemA7!$L$21*COS(RADIANS(skemA7!$L$28*E237-skemA7!$L$22))</f>
        <v>-5.3639111061723845</v>
      </c>
      <c r="N237" s="408">
        <f>skemA7!$M$21*COS(RADIANS(skemA7!$M$28*E237-skemA7!$M$22))</f>
        <v>-5.5641042644667289</v>
      </c>
      <c r="O237" s="409">
        <f>skemA7!$D$21+'Forcasting Pasut'!F237+'Forcasting Pasut'!G237+K237+L237+'Forcasting Pasut'!H237+'Forcasting Pasut'!I237+'Forcasting Pasut'!J237+'Forcasting Pasut'!M237+'Forcasting Pasut'!N237</f>
        <v>128.66015299426368</v>
      </c>
      <c r="P237" s="405"/>
      <c r="Q237" s="406">
        <f>T234</f>
        <v>102.4</v>
      </c>
      <c r="R237" s="406"/>
      <c r="S237" s="406"/>
      <c r="T237" s="406"/>
      <c r="U237" s="406"/>
      <c r="V237" s="406"/>
      <c r="W237" s="406"/>
      <c r="X237" s="406"/>
      <c r="Y237" s="406"/>
      <c r="Z237" s="406"/>
      <c r="AA237" s="406"/>
      <c r="AB237" s="406"/>
      <c r="AC237" s="406"/>
      <c r="AD237" s="406"/>
      <c r="AE237" s="406"/>
      <c r="AF237" s="406"/>
      <c r="AG237" s="406"/>
      <c r="AH237" s="406"/>
      <c r="AI237" s="406"/>
      <c r="AJ237" s="406"/>
      <c r="AK237" s="406"/>
      <c r="AL237" s="406"/>
      <c r="AM237" s="406"/>
      <c r="AN237" s="406"/>
      <c r="AO237" s="407"/>
      <c r="AP237" s="407"/>
    </row>
    <row r="238" spans="1:42">
      <c r="A238" s="402"/>
      <c r="B238" s="77"/>
      <c r="D238" s="131"/>
      <c r="E238" s="113">
        <f t="shared" si="3"/>
        <v>220</v>
      </c>
      <c r="F238" s="408">
        <f>skemA7!$E$21*COS(RADIANS(skemA7!$E$28*E238-skemA7!$E$22))</f>
        <v>8.8158156865883708</v>
      </c>
      <c r="G238" s="408">
        <f>skemA7!$F$21*COS(RADIANS(skemA7!$F$28*E238-skemA7!$F$22))</f>
        <v>-21.842967707503163</v>
      </c>
      <c r="H238" s="408">
        <f>skemA7!$G$21*COS(RADIANS(skemA7!$G$28*E238-skemA7!$G$22))</f>
        <v>12.849745085174851</v>
      </c>
      <c r="I238" s="408">
        <f>skemA7!$H$21*COS(RADIANS(skemA7!$H$28*E238-skemA7!$H$22))</f>
        <v>3.0322108113348514</v>
      </c>
      <c r="J238" s="408">
        <f>skemA7!$I$21*COS(RADIANS(skemA7!$I$28*E238-skemA7!$I$22))</f>
        <v>-3.4524992760401743</v>
      </c>
      <c r="K238" s="408">
        <f>skemA7!$J$21*COS(RADIANS(skemA7!$J$28*E238-skemA7!$J$22))</f>
        <v>-1.1463936435753026</v>
      </c>
      <c r="L238" s="408">
        <f>skemA7!$K$21*COS(RADIANS(skemA7!$K$28*E238-skemA7!$K$22))</f>
        <v>1.5771889559082384</v>
      </c>
      <c r="M238" s="408">
        <f>skemA7!$L$21*COS(RADIANS(skemA7!$L$28*E238-skemA7!$L$22))</f>
        <v>-6.2072324702838451</v>
      </c>
      <c r="N238" s="408">
        <f>skemA7!$M$21*COS(RADIANS(skemA7!$M$28*E238-skemA7!$M$22))</f>
        <v>-2.6895718147758725</v>
      </c>
      <c r="O238" s="409">
        <f>skemA7!$D$21+'Forcasting Pasut'!F238+'Forcasting Pasut'!G238+K238+L238+'Forcasting Pasut'!H238+'Forcasting Pasut'!I238+'Forcasting Pasut'!J238+'Forcasting Pasut'!M238+'Forcasting Pasut'!N238</f>
        <v>157.1046145923452</v>
      </c>
      <c r="P238" s="405"/>
      <c r="Q238" s="406">
        <f>U234</f>
        <v>131.4</v>
      </c>
      <c r="R238" s="406"/>
      <c r="S238" s="406"/>
      <c r="T238" s="406"/>
      <c r="U238" s="406"/>
      <c r="V238" s="406"/>
      <c r="W238" s="406"/>
      <c r="X238" s="406"/>
      <c r="Y238" s="406"/>
      <c r="Z238" s="406"/>
      <c r="AA238" s="406"/>
      <c r="AB238" s="406"/>
      <c r="AC238" s="406"/>
      <c r="AD238" s="406"/>
      <c r="AE238" s="406"/>
      <c r="AF238" s="406"/>
      <c r="AG238" s="406"/>
      <c r="AH238" s="406"/>
      <c r="AI238" s="406"/>
      <c r="AJ238" s="406"/>
      <c r="AK238" s="406"/>
      <c r="AL238" s="406"/>
      <c r="AM238" s="406"/>
      <c r="AN238" s="406"/>
      <c r="AO238" s="407"/>
      <c r="AP238" s="407"/>
    </row>
    <row r="239" spans="1:42">
      <c r="A239" s="402"/>
      <c r="B239" s="77"/>
      <c r="D239" s="131"/>
      <c r="E239" s="113">
        <f t="shared" si="3"/>
        <v>221</v>
      </c>
      <c r="F239" s="408">
        <f>skemA7!$E$21*COS(RADIANS(skemA7!$E$28*E239-skemA7!$E$22))</f>
        <v>17.571663337161414</v>
      </c>
      <c r="G239" s="408">
        <f>skemA7!$F$21*COS(RADIANS(skemA7!$F$28*E239-skemA7!$F$22))</f>
        <v>-22.501820901412852</v>
      </c>
      <c r="H239" s="408">
        <f>skemA7!$G$21*COS(RADIANS(skemA7!$G$28*E239-skemA7!$G$22))</f>
        <v>16.996628366451695</v>
      </c>
      <c r="I239" s="408">
        <f>skemA7!$H$21*COS(RADIANS(skemA7!$H$28*E239-skemA7!$H$22))</f>
        <v>12.174204181991534</v>
      </c>
      <c r="J239" s="408">
        <f>skemA7!$I$21*COS(RADIANS(skemA7!$I$28*E239-skemA7!$I$22))</f>
        <v>3.2219307218388007</v>
      </c>
      <c r="K239" s="408">
        <f>skemA7!$J$21*COS(RADIANS(skemA7!$J$28*E239-skemA7!$J$22))</f>
        <v>0.54775732674204825</v>
      </c>
      <c r="L239" s="408">
        <f>skemA7!$K$21*COS(RADIANS(skemA7!$K$28*E239-skemA7!$K$22))</f>
        <v>-1.6775932290093207</v>
      </c>
      <c r="M239" s="408">
        <f>skemA7!$L$21*COS(RADIANS(skemA7!$L$28*E239-skemA7!$L$22))</f>
        <v>-5.3784362943710393</v>
      </c>
      <c r="N239" s="408">
        <f>skemA7!$M$21*COS(RADIANS(skemA7!$M$28*E239-skemA7!$M$22))</f>
        <v>0.36725558456174939</v>
      </c>
      <c r="O239" s="409">
        <f>skemA7!$D$21+'Forcasting Pasut'!F239+'Forcasting Pasut'!G239+K239+L239+'Forcasting Pasut'!H239+'Forcasting Pasut'!I239+'Forcasting Pasut'!J239+'Forcasting Pasut'!M239+'Forcasting Pasut'!N239</f>
        <v>187.48990805947128</v>
      </c>
      <c r="P239" s="405"/>
      <c r="Q239" s="406">
        <f>V234</f>
        <v>166.79999999999998</v>
      </c>
      <c r="R239" s="406"/>
      <c r="S239" s="406"/>
      <c r="T239" s="406"/>
      <c r="U239" s="406"/>
      <c r="V239" s="406"/>
      <c r="W239" s="406"/>
      <c r="X239" s="406"/>
      <c r="Y239" s="406"/>
      <c r="Z239" s="406"/>
      <c r="AA239" s="406"/>
      <c r="AB239" s="406"/>
      <c r="AC239" s="406"/>
      <c r="AD239" s="406"/>
      <c r="AE239" s="406"/>
      <c r="AF239" s="406"/>
      <c r="AG239" s="406"/>
      <c r="AH239" s="406"/>
      <c r="AI239" s="406"/>
      <c r="AJ239" s="406"/>
      <c r="AK239" s="406"/>
      <c r="AL239" s="406"/>
      <c r="AM239" s="406"/>
      <c r="AN239" s="406"/>
      <c r="AO239" s="407"/>
      <c r="AP239" s="407"/>
    </row>
    <row r="240" spans="1:42">
      <c r="A240" s="402"/>
      <c r="B240" s="77"/>
      <c r="D240" s="131"/>
      <c r="E240" s="113">
        <f t="shared" si="3"/>
        <v>222</v>
      </c>
      <c r="F240" s="408">
        <f>skemA7!$E$21*COS(RADIANS(skemA7!$E$28*E240-skemA7!$E$22))</f>
        <v>21.925987056381555</v>
      </c>
      <c r="G240" s="408">
        <f>skemA7!$F$21*COS(RADIANS(skemA7!$F$28*E240-skemA7!$F$22))</f>
        <v>-17.131329356559245</v>
      </c>
      <c r="H240" s="408">
        <f>skemA7!$G$21*COS(RADIANS(skemA7!$G$28*E240-skemA7!$G$22))</f>
        <v>17.041079996561908</v>
      </c>
      <c r="I240" s="408">
        <f>skemA7!$H$21*COS(RADIANS(skemA7!$H$28*E240-skemA7!$H$22))</f>
        <v>20.482030139056146</v>
      </c>
      <c r="J240" s="408">
        <f>skemA7!$I$21*COS(RADIANS(skemA7!$I$28*E240-skemA7!$I$22))</f>
        <v>9.7064982648352984</v>
      </c>
      <c r="K240" s="408">
        <f>skemA7!$J$21*COS(RADIANS(skemA7!$J$28*E240-skemA7!$J$22))</f>
        <v>1.7274467510485159</v>
      </c>
      <c r="L240" s="408">
        <f>skemA7!$K$21*COS(RADIANS(skemA7!$K$28*E240-skemA7!$K$22))</f>
        <v>-3.3060407812764527</v>
      </c>
      <c r="M240" s="408">
        <f>skemA7!$L$21*COS(RADIANS(skemA7!$L$28*E240-skemA7!$L$22))</f>
        <v>-3.100785462413878</v>
      </c>
      <c r="N240" s="408">
        <f>skemA7!$M$21*COS(RADIANS(skemA7!$M$28*E240-skemA7!$M$22))</f>
        <v>3.3991909776970508</v>
      </c>
      <c r="O240" s="409">
        <f>skemA7!$D$21+'Forcasting Pasut'!F240+'Forcasting Pasut'!G240+K240+L240+'Forcasting Pasut'!H240+'Forcasting Pasut'!I240+'Forcasting Pasut'!J240+'Forcasting Pasut'!M240+'Forcasting Pasut'!N240</f>
        <v>216.91239655084814</v>
      </c>
      <c r="P240" s="405"/>
      <c r="Q240" s="406">
        <f>W234</f>
        <v>199.3</v>
      </c>
      <c r="R240" s="406"/>
      <c r="S240" s="406"/>
      <c r="T240" s="406"/>
      <c r="U240" s="406"/>
      <c r="V240" s="406"/>
      <c r="W240" s="406"/>
      <c r="X240" s="406"/>
      <c r="Y240" s="406"/>
      <c r="Z240" s="406"/>
      <c r="AA240" s="406"/>
      <c r="AB240" s="406"/>
      <c r="AC240" s="406"/>
      <c r="AD240" s="406"/>
      <c r="AE240" s="406"/>
      <c r="AF240" s="406"/>
      <c r="AG240" s="406"/>
      <c r="AH240" s="406"/>
      <c r="AI240" s="406"/>
      <c r="AJ240" s="406"/>
      <c r="AK240" s="406"/>
      <c r="AL240" s="406"/>
      <c r="AM240" s="406"/>
      <c r="AN240" s="406"/>
      <c r="AO240" s="407"/>
      <c r="AP240" s="407"/>
    </row>
    <row r="241" spans="1:42">
      <c r="A241" s="402"/>
      <c r="B241" s="77"/>
      <c r="D241" s="131"/>
      <c r="E241" s="113">
        <f t="shared" si="3"/>
        <v>223</v>
      </c>
      <c r="F241" s="408">
        <f>skemA7!$E$21*COS(RADIANS(skemA7!$E$28*E241-skemA7!$E$22))</f>
        <v>20.788072795881874</v>
      </c>
      <c r="G241" s="408">
        <f>skemA7!$F$21*COS(RADIANS(skemA7!$F$28*E241-skemA7!$F$22))</f>
        <v>-7.1705119453439519</v>
      </c>
      <c r="H241" s="408">
        <f>skemA7!$G$21*COS(RADIANS(skemA7!$G$28*E241-skemA7!$G$22))</f>
        <v>12.972370802026338</v>
      </c>
      <c r="I241" s="408">
        <f>skemA7!$H$21*COS(RADIANS(skemA7!$H$28*E241-skemA7!$H$22))</f>
        <v>27.386442628530805</v>
      </c>
      <c r="J241" s="408">
        <f>skemA7!$I$21*COS(RADIANS(skemA7!$I$28*E241-skemA7!$I$22))</f>
        <v>15.619079707576573</v>
      </c>
      <c r="K241" s="408">
        <f>skemA7!$J$21*COS(RADIANS(skemA7!$J$28*E241-skemA7!$J$22))</f>
        <v>1.2846933839790942</v>
      </c>
      <c r="L241" s="408">
        <f>skemA7!$K$21*COS(RADIANS(skemA7!$K$28*E241-skemA7!$K$22))</f>
        <v>-1.7294631065881065</v>
      </c>
      <c r="M241" s="408">
        <f>skemA7!$L$21*COS(RADIANS(skemA7!$L$28*E241-skemA7!$L$22))</f>
        <v>1.2161579952207817E-2</v>
      </c>
      <c r="N241" s="408">
        <f>skemA7!$M$21*COS(RADIANS(skemA7!$M$28*E241-skemA7!$M$22))</f>
        <v>6.2007345498312318</v>
      </c>
      <c r="O241" s="409">
        <f>skemA7!$D$21+'Forcasting Pasut'!F241+'Forcasting Pasut'!G241+K241+L241+'Forcasting Pasut'!H241+'Forcasting Pasut'!I241+'Forcasting Pasut'!J241+'Forcasting Pasut'!M241+'Forcasting Pasut'!N241</f>
        <v>241.53189936136332</v>
      </c>
      <c r="P241" s="405"/>
      <c r="Q241" s="406">
        <f>X234</f>
        <v>225</v>
      </c>
      <c r="R241" s="406"/>
      <c r="S241" s="406"/>
      <c r="T241" s="406"/>
      <c r="U241" s="406"/>
      <c r="V241" s="406"/>
      <c r="W241" s="406"/>
      <c r="X241" s="406"/>
      <c r="Y241" s="406"/>
      <c r="Z241" s="406"/>
      <c r="AA241" s="406"/>
      <c r="AB241" s="406"/>
      <c r="AC241" s="406"/>
      <c r="AD241" s="406"/>
      <c r="AE241" s="406"/>
      <c r="AF241" s="406"/>
      <c r="AG241" s="406"/>
      <c r="AH241" s="406"/>
      <c r="AI241" s="406"/>
      <c r="AJ241" s="406"/>
      <c r="AK241" s="406"/>
      <c r="AL241" s="406"/>
      <c r="AM241" s="406"/>
      <c r="AN241" s="406"/>
      <c r="AO241" s="407"/>
      <c r="AP241" s="407"/>
    </row>
    <row r="242" spans="1:42">
      <c r="A242" s="402"/>
      <c r="B242" s="77"/>
      <c r="D242" s="131"/>
      <c r="E242" s="113">
        <f t="shared" si="3"/>
        <v>224</v>
      </c>
      <c r="F242" s="408">
        <f>skemA7!$E$21*COS(RADIANS(skemA7!$E$28*E242-skemA7!$E$22))</f>
        <v>14.442956568094541</v>
      </c>
      <c r="G242" s="408">
        <f>skemA7!$F$21*COS(RADIANS(skemA7!$F$28*E242-skemA7!$F$22))</f>
        <v>4.7116383509439927</v>
      </c>
      <c r="H242" s="408">
        <f>skemA7!$G$21*COS(RADIANS(skemA7!$G$28*E242-skemA7!$G$22))</f>
        <v>5.7725544595608831</v>
      </c>
      <c r="I242" s="408">
        <f>skemA7!$H$21*COS(RADIANS(skemA7!$H$28*E242-skemA7!$H$22))</f>
        <v>32.414356443150652</v>
      </c>
      <c r="J242" s="408">
        <f>skemA7!$I$21*COS(RADIANS(skemA7!$I$28*E242-skemA7!$I$22))</f>
        <v>20.611257494153755</v>
      </c>
      <c r="K242" s="408">
        <f>skemA7!$J$21*COS(RADIANS(skemA7!$J$28*E242-skemA7!$J$22))</f>
        <v>-0.36466245503335643</v>
      </c>
      <c r="L242" s="408">
        <f>skemA7!$K$21*COS(RADIANS(skemA7!$K$28*E242-skemA7!$K$22))</f>
        <v>1.5237342024060045</v>
      </c>
      <c r="M242" s="408">
        <f>skemA7!$L$21*COS(RADIANS(skemA7!$L$28*E242-skemA7!$L$22))</f>
        <v>3.1218325099364352</v>
      </c>
      <c r="N242" s="408">
        <f>skemA7!$M$21*COS(RADIANS(skemA7!$M$28*E242-skemA7!$M$22))</f>
        <v>8.5820020816213862</v>
      </c>
      <c r="O242" s="409">
        <f>skemA7!$D$21+'Forcasting Pasut'!F242+'Forcasting Pasut'!G242+K242+L242+'Forcasting Pasut'!H242+'Forcasting Pasut'!I242+'Forcasting Pasut'!J242+'Forcasting Pasut'!M242+'Forcasting Pasut'!N242</f>
        <v>256.98398862035151</v>
      </c>
      <c r="P242" s="405"/>
      <c r="Q242" s="406">
        <f>Y234</f>
        <v>240.20000000000002</v>
      </c>
      <c r="R242" s="406"/>
      <c r="S242" s="406"/>
      <c r="T242" s="406"/>
      <c r="U242" s="406"/>
      <c r="V242" s="406"/>
      <c r="W242" s="406"/>
      <c r="X242" s="406"/>
      <c r="Y242" s="406"/>
      <c r="Z242" s="406"/>
      <c r="AA242" s="406"/>
      <c r="AB242" s="406"/>
      <c r="AC242" s="406"/>
      <c r="AD242" s="406"/>
      <c r="AE242" s="406"/>
      <c r="AF242" s="406"/>
      <c r="AG242" s="406"/>
      <c r="AH242" s="406"/>
      <c r="AI242" s="406"/>
      <c r="AJ242" s="406"/>
      <c r="AK242" s="406"/>
      <c r="AL242" s="406"/>
      <c r="AM242" s="406"/>
      <c r="AN242" s="406"/>
      <c r="AO242" s="407"/>
      <c r="AP242" s="407"/>
    </row>
    <row r="243" spans="1:42">
      <c r="A243" s="402"/>
      <c r="B243" s="77"/>
      <c r="D243" s="131"/>
      <c r="E243" s="113">
        <f t="shared" si="3"/>
        <v>225</v>
      </c>
      <c r="F243" s="408">
        <f>skemA7!$E$21*COS(RADIANS(skemA7!$E$28*E243-skemA7!$E$22))</f>
        <v>4.4800258082291657</v>
      </c>
      <c r="G243" s="408">
        <f>skemA7!$F$21*COS(RADIANS(skemA7!$F$28*E243-skemA7!$F$22))</f>
        <v>15.331308956068975</v>
      </c>
      <c r="H243" s="408">
        <f>skemA7!$G$21*COS(RADIANS(skemA7!$G$28*E243-skemA7!$G$22))</f>
        <v>-2.8205682265161514</v>
      </c>
      <c r="I243" s="408">
        <f>skemA7!$H$21*COS(RADIANS(skemA7!$H$28*E243-skemA7!$H$22))</f>
        <v>35.221262668837767</v>
      </c>
      <c r="J243" s="408">
        <f>skemA7!$I$21*COS(RADIANS(skemA7!$I$28*E243-skemA7!$I$22))</f>
        <v>24.388851764228445</v>
      </c>
      <c r="K243" s="408">
        <f>skemA7!$J$21*COS(RADIANS(skemA7!$J$28*E243-skemA7!$J$22))</f>
        <v>-1.6715220804316215</v>
      </c>
      <c r="L243" s="408">
        <f>skemA7!$K$21*COS(RADIANS(skemA7!$K$28*E243-skemA7!$K$22))</f>
        <v>3.2997547670767795</v>
      </c>
      <c r="M243" s="408">
        <f>skemA7!$L$21*COS(RADIANS(skemA7!$L$28*E243-skemA7!$L$22))</f>
        <v>5.3905375308986905</v>
      </c>
      <c r="N243" s="408">
        <f>skemA7!$M$21*COS(RADIANS(skemA7!$M$28*E243-skemA7!$M$22))</f>
        <v>10.381595003072723</v>
      </c>
      <c r="O243" s="409">
        <f>skemA7!$D$21+'Forcasting Pasut'!F243+'Forcasting Pasut'!G243+K243+L243+'Forcasting Pasut'!H243+'Forcasting Pasut'!I243+'Forcasting Pasut'!J243+'Forcasting Pasut'!M243+'Forcasting Pasut'!N243</f>
        <v>260.169565156982</v>
      </c>
      <c r="P243" s="405"/>
      <c r="Q243" s="406">
        <f>Z234</f>
        <v>242.20000000000002</v>
      </c>
      <c r="R243" s="406"/>
      <c r="S243" s="406"/>
      <c r="T243" s="406"/>
      <c r="U243" s="406"/>
      <c r="V243" s="406"/>
      <c r="W243" s="406"/>
      <c r="X243" s="406"/>
      <c r="Y243" s="406"/>
      <c r="Z243" s="406"/>
      <c r="AA243" s="406"/>
      <c r="AB243" s="406"/>
      <c r="AC243" s="406"/>
      <c r="AD243" s="406"/>
      <c r="AE243" s="406"/>
      <c r="AF243" s="406"/>
      <c r="AG243" s="406"/>
      <c r="AH243" s="406"/>
      <c r="AI243" s="406"/>
      <c r="AJ243" s="406"/>
      <c r="AK243" s="406"/>
      <c r="AL243" s="406"/>
      <c r="AM243" s="406"/>
      <c r="AN243" s="406"/>
      <c r="AO243" s="407"/>
      <c r="AP243" s="407"/>
    </row>
    <row r="244" spans="1:42">
      <c r="A244" s="402"/>
      <c r="B244" s="77"/>
      <c r="D244" s="131"/>
      <c r="E244" s="113">
        <f t="shared" si="3"/>
        <v>226</v>
      </c>
      <c r="F244" s="408">
        <f>skemA7!$E$21*COS(RADIANS(skemA7!$E$28*E244-skemA7!$E$22))</f>
        <v>-6.6051061018422335</v>
      </c>
      <c r="G244" s="408">
        <f>skemA7!$F$21*COS(RADIANS(skemA7!$F$28*E244-skemA7!$F$22))</f>
        <v>21.842967707503089</v>
      </c>
      <c r="H244" s="408">
        <f>skemA7!$G$21*COS(RADIANS(skemA7!$G$28*E244-skemA7!$G$22))</f>
        <v>-10.732897750722667</v>
      </c>
      <c r="I244" s="408">
        <f>skemA7!$H$21*COS(RADIANS(skemA7!$H$28*E244-skemA7!$H$22))</f>
        <v>35.614834179196677</v>
      </c>
      <c r="J244" s="408">
        <f>skemA7!$I$21*COS(RADIANS(skemA7!$I$28*E244-skemA7!$I$22))</f>
        <v>26.729255831441382</v>
      </c>
      <c r="K244" s="408">
        <f>skemA7!$J$21*COS(RADIANS(skemA7!$J$28*E244-skemA7!$J$22))</f>
        <v>-1.408464168067419</v>
      </c>
      <c r="L244" s="408">
        <f>skemA7!$K$21*COS(RADIANS(skemA7!$K$28*E244-skemA7!$K$22))</f>
        <v>1.8768440508199213</v>
      </c>
      <c r="M244" s="408">
        <f>skemA7!$L$21*COS(RADIANS(skemA7!$L$28*E244-skemA7!$L$22))</f>
        <v>6.2071280388753918</v>
      </c>
      <c r="N244" s="408">
        <f>skemA7!$M$21*COS(RADIANS(skemA7!$M$28*E244-skemA7!$M$22))</f>
        <v>11.477539734896881</v>
      </c>
      <c r="O244" s="409">
        <f>skemA7!$D$21+'Forcasting Pasut'!F244+'Forcasting Pasut'!G244+K244+L244+'Forcasting Pasut'!H244+'Forcasting Pasut'!I244+'Forcasting Pasut'!J244+'Forcasting Pasut'!M244+'Forcasting Pasut'!N244</f>
        <v>251.17042048761829</v>
      </c>
      <c r="P244" s="405"/>
      <c r="Q244" s="406">
        <f>AA234</f>
        <v>235.70000000000002</v>
      </c>
      <c r="R244" s="406"/>
      <c r="S244" s="406"/>
      <c r="T244" s="406"/>
      <c r="U244" s="406"/>
      <c r="V244" s="406"/>
      <c r="W244" s="406"/>
      <c r="X244" s="406"/>
      <c r="Y244" s="406"/>
      <c r="Z244" s="406"/>
      <c r="AA244" s="406"/>
      <c r="AB244" s="406"/>
      <c r="AC244" s="406"/>
      <c r="AD244" s="406"/>
      <c r="AE244" s="406"/>
      <c r="AF244" s="406"/>
      <c r="AG244" s="406"/>
      <c r="AH244" s="406"/>
      <c r="AI244" s="406"/>
      <c r="AJ244" s="406"/>
      <c r="AK244" s="406"/>
      <c r="AL244" s="406"/>
      <c r="AM244" s="406"/>
      <c r="AN244" s="406"/>
      <c r="AO244" s="407"/>
      <c r="AP244" s="407"/>
    </row>
    <row r="245" spans="1:42">
      <c r="A245" s="402"/>
      <c r="B245" s="77"/>
      <c r="D245" s="131"/>
      <c r="E245" s="113">
        <f t="shared" si="3"/>
        <v>227</v>
      </c>
      <c r="F245" s="408">
        <f>skemA7!$E$21*COS(RADIANS(skemA7!$E$28*E245-skemA7!$E$22))</f>
        <v>-16.035725743009841</v>
      </c>
      <c r="G245" s="408">
        <f>skemA7!$F$21*COS(RADIANS(skemA7!$F$28*E245-skemA7!$F$22))</f>
        <v>22.501820901412838</v>
      </c>
      <c r="H245" s="408">
        <f>skemA7!$G$21*COS(RADIANS(skemA7!$G$28*E245-skemA7!$G$22))</f>
        <v>-16.054655869119514</v>
      </c>
      <c r="I245" s="408">
        <f>skemA7!$H$21*COS(RADIANS(skemA7!$H$28*E245-skemA7!$H$22))</f>
        <v>33.568103747133669</v>
      </c>
      <c r="J245" s="408">
        <f>skemA7!$I$21*COS(RADIANS(skemA7!$I$28*E245-skemA7!$I$22))</f>
        <v>27.494553986244103</v>
      </c>
      <c r="K245" s="408">
        <f>skemA7!$J$21*COS(RADIANS(skemA7!$J$28*E245-skemA7!$J$22))</f>
        <v>0.17744351376444661</v>
      </c>
      <c r="L245" s="408">
        <f>skemA7!$K$21*COS(RADIANS(skemA7!$K$28*E245-skemA7!$K$22))</f>
        <v>-1.3655640424827986</v>
      </c>
      <c r="M245" s="408">
        <f>skemA7!$L$21*COS(RADIANS(skemA7!$L$28*E245-skemA7!$L$22))</f>
        <v>5.3516291387836343</v>
      </c>
      <c r="N245" s="408">
        <f>skemA7!$M$21*COS(RADIANS(skemA7!$M$28*E245-skemA7!$M$22))</f>
        <v>11.795554865976403</v>
      </c>
      <c r="O245" s="409">
        <f>skemA7!$D$21+'Forcasting Pasut'!F245+'Forcasting Pasut'!G245+K245+L245+'Forcasting Pasut'!H245+'Forcasting Pasut'!I245+'Forcasting Pasut'!J245+'Forcasting Pasut'!M245+'Forcasting Pasut'!N245</f>
        <v>233.6014794642202</v>
      </c>
      <c r="P245" s="405"/>
      <c r="Q245" s="406">
        <f>AB234</f>
        <v>218.29999999999998</v>
      </c>
      <c r="R245" s="406"/>
      <c r="S245" s="406"/>
      <c r="T245" s="406"/>
      <c r="U245" s="406"/>
      <c r="V245" s="406"/>
      <c r="W245" s="406"/>
      <c r="X245" s="406"/>
      <c r="Y245" s="406"/>
      <c r="Z245" s="406"/>
      <c r="AA245" s="406"/>
      <c r="AB245" s="406"/>
      <c r="AC245" s="406"/>
      <c r="AD245" s="406"/>
      <c r="AE245" s="406"/>
      <c r="AF245" s="406"/>
      <c r="AG245" s="406"/>
      <c r="AH245" s="406"/>
      <c r="AI245" s="406"/>
      <c r="AJ245" s="406"/>
      <c r="AK245" s="406"/>
      <c r="AL245" s="406"/>
      <c r="AM245" s="406"/>
      <c r="AN245" s="406"/>
      <c r="AO245" s="407"/>
      <c r="AP245" s="407"/>
    </row>
    <row r="246" spans="1:42">
      <c r="A246" s="402"/>
      <c r="B246" s="77"/>
      <c r="D246" s="131"/>
      <c r="E246" s="113">
        <f t="shared" si="3"/>
        <v>228</v>
      </c>
      <c r="F246" s="408">
        <f>skemA7!$E$21*COS(RADIANS(skemA7!$E$28*E246-skemA7!$E$22))</f>
        <v>-21.449558284392445</v>
      </c>
      <c r="G246" s="408">
        <f>skemA7!$F$21*COS(RADIANS(skemA7!$F$28*E246-skemA7!$F$22))</f>
        <v>17.131329356559192</v>
      </c>
      <c r="H246" s="408">
        <f>skemA7!$G$21*COS(RADIANS(skemA7!$G$28*E246-skemA7!$G$22))</f>
        <v>-17.501343769704263</v>
      </c>
      <c r="I246" s="408">
        <f>skemA7!$H$21*COS(RADIANS(skemA7!$H$28*E246-skemA7!$H$22))</f>
        <v>29.221311819195492</v>
      </c>
      <c r="J246" s="408">
        <f>skemA7!$I$21*COS(RADIANS(skemA7!$I$28*E246-skemA7!$I$22))</f>
        <v>26.639648615145809</v>
      </c>
      <c r="K246" s="408">
        <f>skemA7!$J$21*COS(RADIANS(skemA7!$J$28*E246-skemA7!$J$22))</f>
        <v>1.5966936997234276</v>
      </c>
      <c r="L246" s="408">
        <f>skemA7!$K$21*COS(RADIANS(skemA7!$K$28*E246-skemA7!$K$22))</f>
        <v>-3.2841326871109464</v>
      </c>
      <c r="M246" s="408">
        <f>skemA7!$L$21*COS(RADIANS(skemA7!$L$28*E246-skemA7!$L$22))</f>
        <v>3.0544969514733178</v>
      </c>
      <c r="N246" s="408">
        <f>skemA7!$M$21*COS(RADIANS(skemA7!$M$28*E246-skemA7!$M$22))</f>
        <v>11.314085830640778</v>
      </c>
      <c r="O246" s="409">
        <f>skemA7!$D$21+'Forcasting Pasut'!F246+'Forcasting Pasut'!G246+K246+L246+'Forcasting Pasut'!H246+'Forcasting Pasut'!I246+'Forcasting Pasut'!J246+'Forcasting Pasut'!M246+'Forcasting Pasut'!N246</f>
        <v>212.89085049704758</v>
      </c>
      <c r="P246" s="405"/>
      <c r="Q246" s="406">
        <f>AC234</f>
        <v>192.3</v>
      </c>
      <c r="R246" s="406"/>
      <c r="S246" s="406"/>
      <c r="T246" s="406"/>
      <c r="U246" s="406"/>
      <c r="V246" s="406"/>
      <c r="W246" s="406"/>
      <c r="X246" s="406"/>
      <c r="Y246" s="406"/>
      <c r="Z246" s="406"/>
      <c r="AA246" s="406"/>
      <c r="AB246" s="406"/>
      <c r="AC246" s="406"/>
      <c r="AD246" s="406"/>
      <c r="AE246" s="406"/>
      <c r="AF246" s="406"/>
      <c r="AG246" s="406"/>
      <c r="AH246" s="406"/>
      <c r="AI246" s="406"/>
      <c r="AJ246" s="406"/>
      <c r="AK246" s="406"/>
      <c r="AL246" s="406"/>
      <c r="AM246" s="406"/>
      <c r="AN246" s="406"/>
      <c r="AO246" s="407"/>
      <c r="AP246" s="407"/>
    </row>
    <row r="247" spans="1:42">
      <c r="A247" s="402"/>
      <c r="B247" s="77"/>
      <c r="D247" s="131"/>
      <c r="E247" s="113">
        <f t="shared" si="3"/>
        <v>229</v>
      </c>
      <c r="F247" s="408">
        <f>skemA7!$E$21*COS(RADIANS(skemA7!$E$28*E247-skemA7!$E$22))</f>
        <v>-21.490493434436818</v>
      </c>
      <c r="G247" s="408">
        <f>skemA7!$F$21*COS(RADIANS(skemA7!$F$28*E247-skemA7!$F$22))</f>
        <v>7.1705119453438781</v>
      </c>
      <c r="H247" s="408">
        <f>skemA7!$G$21*COS(RADIANS(skemA7!$G$28*E247-skemA7!$G$22))</f>
        <v>-14.723778184786015</v>
      </c>
      <c r="I247" s="408">
        <f>skemA7!$H$21*COS(RADIANS(skemA7!$H$28*E247-skemA7!$H$22))</f>
        <v>22.872297344503171</v>
      </c>
      <c r="J247" s="408">
        <f>skemA7!$I$21*COS(RADIANS(skemA7!$I$28*E247-skemA7!$I$22))</f>
        <v>24.214917720177542</v>
      </c>
      <c r="K247" s="408">
        <f>skemA7!$J$21*COS(RADIANS(skemA7!$J$28*E247-skemA7!$J$22))</f>
        <v>1.516306237471706</v>
      </c>
      <c r="L247" s="408">
        <f>skemA7!$K$21*COS(RADIANS(skemA7!$K$28*E247-skemA7!$K$22))</f>
        <v>-2.0189148005893749</v>
      </c>
      <c r="M247" s="408">
        <f>skemA7!$L$21*COS(RADIANS(skemA7!$L$28*E247-skemA7!$L$22))</f>
        <v>-6.5462148307320597E-2</v>
      </c>
      <c r="N247" s="408">
        <f>skemA7!$M$21*COS(RADIANS(skemA7!$M$28*E247-skemA7!$M$22))</f>
        <v>10.065765843244389</v>
      </c>
      <c r="O247" s="409">
        <f>skemA7!$D$21+'Forcasting Pasut'!F247+'Forcasting Pasut'!G247+K247+L247+'Forcasting Pasut'!H247+'Forcasting Pasut'!I247+'Forcasting Pasut'!J247+'Forcasting Pasut'!M247+'Forcasting Pasut'!N247</f>
        <v>193.70946948813838</v>
      </c>
      <c r="P247" s="405"/>
      <c r="Q247" s="406">
        <f>AD234</f>
        <v>170.5</v>
      </c>
      <c r="R247" s="406"/>
      <c r="S247" s="406"/>
      <c r="T247" s="406"/>
      <c r="U247" s="406"/>
      <c r="V247" s="406"/>
      <c r="W247" s="406"/>
      <c r="X247" s="406"/>
      <c r="Y247" s="406"/>
      <c r="Z247" s="406"/>
      <c r="AA247" s="406"/>
      <c r="AB247" s="406"/>
      <c r="AC247" s="406"/>
      <c r="AD247" s="406"/>
      <c r="AE247" s="406"/>
      <c r="AF247" s="406"/>
      <c r="AG247" s="406"/>
      <c r="AH247" s="406"/>
      <c r="AI247" s="406"/>
      <c r="AJ247" s="406"/>
      <c r="AK247" s="406"/>
      <c r="AL247" s="406"/>
      <c r="AM247" s="406"/>
      <c r="AN247" s="406"/>
      <c r="AO247" s="407"/>
      <c r="AP247" s="407"/>
    </row>
    <row r="248" spans="1:42">
      <c r="A248" s="402"/>
      <c r="B248" s="77"/>
      <c r="D248" s="131"/>
      <c r="E248" s="113">
        <f t="shared" si="3"/>
        <v>230</v>
      </c>
      <c r="F248" s="408">
        <f>skemA7!$E$21*COS(RADIANS(skemA7!$E$28*E248-skemA7!$E$22))</f>
        <v>-16.148277352109439</v>
      </c>
      <c r="G248" s="408">
        <f>skemA7!$F$21*COS(RADIANS(skemA7!$F$28*E248-skemA7!$F$22))</f>
        <v>-4.71163835094407</v>
      </c>
      <c r="H248" s="408">
        <f>skemA7!$G$21*COS(RADIANS(skemA7!$G$28*E248-skemA7!$G$22))</f>
        <v>-8.3923728413161101</v>
      </c>
      <c r="I248" s="408">
        <f>skemA7!$H$21*COS(RADIANS(skemA7!$H$28*E248-skemA7!$H$22))</f>
        <v>14.956090071534311</v>
      </c>
      <c r="J248" s="408">
        <f>skemA7!$I$21*COS(RADIANS(skemA7!$I$28*E248-skemA7!$I$22))</f>
        <v>20.363246235837767</v>
      </c>
      <c r="K248" s="408">
        <f>skemA7!$J$21*COS(RADIANS(skemA7!$J$28*E248-skemA7!$J$22))</f>
        <v>1.1782185764478455E-2</v>
      </c>
      <c r="L248" s="408">
        <f>skemA7!$K$21*COS(RADIANS(skemA7!$K$28*E248-skemA7!$K$22))</f>
        <v>1.2035302634093745</v>
      </c>
      <c r="M248" s="408">
        <f>skemA7!$L$21*COS(RADIANS(skemA7!$L$28*E248-skemA7!$L$22))</f>
        <v>-3.1677869147653559</v>
      </c>
      <c r="N248" s="408">
        <f>skemA7!$M$21*COS(RADIANS(skemA7!$M$28*E248-skemA7!$M$22))</f>
        <v>8.1352040701963251</v>
      </c>
      <c r="O248" s="409">
        <f>skemA7!$D$21+'Forcasting Pasut'!F248+'Forcasting Pasut'!G248+K248+L248+'Forcasting Pasut'!H248+'Forcasting Pasut'!I248+'Forcasting Pasut'!J248+'Forcasting Pasut'!M248+'Forcasting Pasut'!N248</f>
        <v>178.41809633312454</v>
      </c>
      <c r="P248" s="405"/>
      <c r="Q248" s="406">
        <f>AE234</f>
        <v>155.6</v>
      </c>
      <c r="R248" s="406"/>
      <c r="S248" s="406"/>
      <c r="T248" s="406"/>
      <c r="U248" s="406"/>
      <c r="V248" s="406"/>
      <c r="W248" s="406"/>
      <c r="X248" s="406"/>
      <c r="Y248" s="406"/>
      <c r="Z248" s="406"/>
      <c r="AA248" s="406"/>
      <c r="AB248" s="406"/>
      <c r="AC248" s="406"/>
      <c r="AD248" s="406"/>
      <c r="AE248" s="406"/>
      <c r="AF248" s="406"/>
      <c r="AG248" s="406"/>
      <c r="AH248" s="406"/>
      <c r="AI248" s="406"/>
      <c r="AJ248" s="406"/>
      <c r="AK248" s="406"/>
      <c r="AL248" s="406"/>
      <c r="AM248" s="406"/>
      <c r="AN248" s="406"/>
      <c r="AO248" s="407"/>
      <c r="AP248" s="407"/>
    </row>
    <row r="249" spans="1:42">
      <c r="A249" s="402"/>
      <c r="B249" s="77"/>
      <c r="D249" s="131"/>
      <c r="E249" s="113">
        <f t="shared" si="3"/>
        <v>231</v>
      </c>
      <c r="F249" s="408">
        <f>skemA7!$E$21*COS(RADIANS(skemA7!$E$28*E249-skemA7!$E$22))</f>
        <v>-6.761081130359698</v>
      </c>
      <c r="G249" s="408">
        <f>skemA7!$F$21*COS(RADIANS(skemA7!$F$28*E249-skemA7!$F$22))</f>
        <v>-15.33130895606879</v>
      </c>
      <c r="H249" s="408">
        <f>skemA7!$G$21*COS(RADIANS(skemA7!$G$28*E249-skemA7!$G$22))</f>
        <v>-3.5322456353453005E-2</v>
      </c>
      <c r="I249" s="408">
        <f>skemA7!$H$21*COS(RADIANS(skemA7!$H$28*E249-skemA7!$H$22))</f>
        <v>6.0151026333975199</v>
      </c>
      <c r="J249" s="408">
        <f>skemA7!$I$21*COS(RADIANS(skemA7!$I$28*E249-skemA7!$I$22))</f>
        <v>15.31160608255343</v>
      </c>
      <c r="K249" s="408">
        <f>skemA7!$J$21*COS(RADIANS(skemA7!$J$28*E249-skemA7!$J$22))</f>
        <v>-1.5038078639820982</v>
      </c>
      <c r="L249" s="408">
        <f>skemA7!$K$21*COS(RADIANS(skemA7!$K$28*E249-skemA7!$K$22))</f>
        <v>3.2592187412592941</v>
      </c>
      <c r="M249" s="408">
        <f>skemA7!$L$21*COS(RADIANS(skemA7!$L$28*E249-skemA7!$L$22))</f>
        <v>-5.4167664764807846</v>
      </c>
      <c r="N249" s="408">
        <f>skemA7!$M$21*COS(RADIANS(skemA7!$M$28*E249-skemA7!$M$22))</f>
        <v>5.6532509536652178</v>
      </c>
      <c r="O249" s="409">
        <f>skemA7!$D$21+'Forcasting Pasut'!F249+'Forcasting Pasut'!G249+K249+L249+'Forcasting Pasut'!H249+'Forcasting Pasut'!I249+'Forcasting Pasut'!J249+'Forcasting Pasut'!M249+'Forcasting Pasut'!N249</f>
        <v>167.35921049314791</v>
      </c>
      <c r="P249" s="405"/>
      <c r="Q249" s="406">
        <f>AF234</f>
        <v>147.30000000000001</v>
      </c>
      <c r="R249" s="406"/>
      <c r="S249" s="406"/>
      <c r="T249" s="406"/>
      <c r="U249" s="406"/>
      <c r="V249" s="406"/>
      <c r="W249" s="406"/>
      <c r="X249" s="406"/>
      <c r="Y249" s="406"/>
      <c r="Z249" s="406"/>
      <c r="AA249" s="406"/>
      <c r="AB249" s="406"/>
      <c r="AC249" s="406"/>
      <c r="AD249" s="406"/>
      <c r="AE249" s="406"/>
      <c r="AF249" s="406"/>
      <c r="AG249" s="406"/>
      <c r="AH249" s="406"/>
      <c r="AI249" s="406"/>
      <c r="AJ249" s="406"/>
      <c r="AK249" s="406"/>
      <c r="AL249" s="406"/>
      <c r="AM249" s="406"/>
      <c r="AN249" s="406"/>
      <c r="AO249" s="407"/>
      <c r="AP249" s="407"/>
    </row>
    <row r="250" spans="1:42">
      <c r="A250" s="402"/>
      <c r="B250" s="77"/>
      <c r="D250" s="131"/>
      <c r="E250" s="113">
        <f t="shared" si="3"/>
        <v>232</v>
      </c>
      <c r="F250" s="408">
        <f>skemA7!$E$21*COS(RADIANS(skemA7!$E$28*E250-skemA7!$E$22))</f>
        <v>4.3196975272751503</v>
      </c>
      <c r="G250" s="408">
        <f>skemA7!$F$21*COS(RADIANS(skemA7!$F$28*E250-skemA7!$F$22))</f>
        <v>-21.842967707503114</v>
      </c>
      <c r="H250" s="408">
        <f>skemA7!$G$21*COS(RADIANS(skemA7!$G$28*E250-skemA7!$G$22))</f>
        <v>8.3302536173413788</v>
      </c>
      <c r="I250" s="408">
        <f>skemA7!$H$21*COS(RADIANS(skemA7!$H$28*E250-skemA7!$H$22))</f>
        <v>-3.3380351622646822</v>
      </c>
      <c r="J250" s="408">
        <f>skemA7!$I$21*COS(RADIANS(skemA7!$I$28*E250-skemA7!$I$22))</f>
        <v>9.3576811286296966</v>
      </c>
      <c r="K250" s="408">
        <f>skemA7!$J$21*COS(RADIANS(skemA7!$J$28*E250-skemA7!$J$22))</f>
        <v>-1.6069999761070841</v>
      </c>
      <c r="L250" s="408">
        <f>skemA7!$K$21*COS(RADIANS(skemA7!$K$28*E250-skemA7!$K$22))</f>
        <v>2.1552733921275049</v>
      </c>
      <c r="M250" s="408">
        <f>skemA7!$L$21*COS(RADIANS(skemA7!$L$28*E250-skemA7!$L$22))</f>
        <v>-6.2065659158309368</v>
      </c>
      <c r="N250" s="408">
        <f>skemA7!$M$21*COS(RADIANS(skemA7!$M$28*E250-skemA7!$M$22))</f>
        <v>2.7881293743038795</v>
      </c>
      <c r="O250" s="409">
        <f>skemA7!$D$21+'Forcasting Pasut'!F250+'Forcasting Pasut'!G250+K250+L250+'Forcasting Pasut'!H250+'Forcasting Pasut'!I250+'Forcasting Pasut'!J250+'Forcasting Pasut'!M250+'Forcasting Pasut'!N250</f>
        <v>160.12478524348904</v>
      </c>
      <c r="P250" s="405"/>
      <c r="Q250" s="406">
        <f>AG234</f>
        <v>147.9</v>
      </c>
      <c r="R250" s="406"/>
      <c r="S250" s="406"/>
      <c r="T250" s="406"/>
      <c r="U250" s="406"/>
      <c r="V250" s="406"/>
      <c r="W250" s="406"/>
      <c r="X250" s="406"/>
      <c r="Y250" s="406"/>
      <c r="Z250" s="406"/>
      <c r="AA250" s="406"/>
      <c r="AB250" s="406"/>
      <c r="AC250" s="406"/>
      <c r="AD250" s="406"/>
      <c r="AE250" s="406"/>
      <c r="AF250" s="406"/>
      <c r="AG250" s="406"/>
      <c r="AH250" s="406"/>
      <c r="AI250" s="406"/>
      <c r="AJ250" s="406"/>
      <c r="AK250" s="406"/>
      <c r="AL250" s="406"/>
      <c r="AM250" s="406"/>
      <c r="AN250" s="406"/>
      <c r="AO250" s="407"/>
      <c r="AP250" s="407"/>
    </row>
    <row r="251" spans="1:42">
      <c r="A251" s="402"/>
      <c r="B251" s="77"/>
      <c r="D251" s="131"/>
      <c r="E251" s="113">
        <f t="shared" si="3"/>
        <v>233</v>
      </c>
      <c r="F251" s="408">
        <f>skemA7!$E$21*COS(RADIANS(skemA7!$E$28*E251-skemA7!$E$22))</f>
        <v>14.318435647387359</v>
      </c>
      <c r="G251" s="408">
        <f>skemA7!$F$21*COS(RADIANS(skemA7!$F$28*E251-skemA7!$F$22))</f>
        <v>-22.50182090141282</v>
      </c>
      <c r="H251" s="408">
        <f>skemA7!$G$21*COS(RADIANS(skemA7!$G$28*E251-skemA7!$G$22))</f>
        <v>14.685178203857699</v>
      </c>
      <c r="I251" s="408">
        <f>skemA7!$H$21*COS(RADIANS(skemA7!$H$28*E251-skemA7!$H$22))</f>
        <v>-12.462453271928105</v>
      </c>
      <c r="J251" s="408">
        <f>skemA7!$I$21*COS(RADIANS(skemA7!$I$28*E251-skemA7!$I$22))</f>
        <v>2.8523252270912716</v>
      </c>
      <c r="K251" s="408">
        <f>skemA7!$J$21*COS(RADIANS(skemA7!$J$28*E251-skemA7!$J$22))</f>
        <v>-0.20087463726368435</v>
      </c>
      <c r="L251" s="408">
        <f>skemA7!$K$21*COS(RADIANS(skemA7!$K$28*E251-skemA7!$K$22))</f>
        <v>-1.0380913107750851</v>
      </c>
      <c r="M251" s="408">
        <f>skemA7!$L$21*COS(RADIANS(skemA7!$L$28*E251-skemA7!$L$22))</f>
        <v>-5.3244273730189526</v>
      </c>
      <c r="N251" s="408">
        <f>skemA7!$M$21*COS(RADIANS(skemA7!$M$28*E251-skemA7!$M$22))</f>
        <v>-0.26596723115855686</v>
      </c>
      <c r="O251" s="409">
        <f>skemA7!$D$21+'Forcasting Pasut'!F251+'Forcasting Pasut'!G251+K251+L251+'Forcasting Pasut'!H251+'Forcasting Pasut'!I251+'Forcasting Pasut'!J251+'Forcasting Pasut'!M251+'Forcasting Pasut'!N251</f>
        <v>156.23062331829638</v>
      </c>
      <c r="P251" s="405"/>
      <c r="Q251" s="406">
        <f>AH234</f>
        <v>157.29999999999998</v>
      </c>
      <c r="R251" s="406"/>
      <c r="S251" s="406"/>
      <c r="T251" s="406"/>
      <c r="U251" s="406"/>
      <c r="V251" s="406"/>
      <c r="W251" s="406"/>
      <c r="X251" s="406"/>
      <c r="Y251" s="406"/>
      <c r="Z251" s="406"/>
      <c r="AA251" s="406"/>
      <c r="AB251" s="406"/>
      <c r="AC251" s="406"/>
      <c r="AD251" s="406"/>
      <c r="AE251" s="406"/>
      <c r="AF251" s="406"/>
      <c r="AG251" s="406"/>
      <c r="AH251" s="406"/>
      <c r="AI251" s="406"/>
      <c r="AJ251" s="406"/>
      <c r="AK251" s="406"/>
      <c r="AL251" s="406"/>
      <c r="AM251" s="406"/>
      <c r="AN251" s="406"/>
      <c r="AO251" s="407"/>
      <c r="AP251" s="407"/>
    </row>
    <row r="252" spans="1:42">
      <c r="A252" s="402"/>
      <c r="B252" s="77"/>
      <c r="D252" s="131"/>
      <c r="E252" s="113">
        <f t="shared" si="3"/>
        <v>234</v>
      </c>
      <c r="F252" s="408">
        <f>skemA7!$E$21*COS(RADIANS(skemA7!$E$28*E252-skemA7!$E$22))</f>
        <v>20.730550466549179</v>
      </c>
      <c r="G252" s="408">
        <f>skemA7!$F$21*COS(RADIANS(skemA7!$F$28*E252-skemA7!$F$22))</f>
        <v>-17.131329356559139</v>
      </c>
      <c r="H252" s="408">
        <f>skemA7!$G$21*COS(RADIANS(skemA7!$G$28*E252-skemA7!$G$22))</f>
        <v>17.495579808072328</v>
      </c>
      <c r="I252" s="408">
        <f>skemA7!$H$21*COS(RADIANS(skemA7!$H$28*E252-skemA7!$H$22))</f>
        <v>-20.732953354799875</v>
      </c>
      <c r="J252" s="408">
        <f>skemA7!$I$21*COS(RADIANS(skemA7!$I$28*E252-skemA7!$I$22))</f>
        <v>-3.8211129569334301</v>
      </c>
      <c r="K252" s="408">
        <f>skemA7!$J$21*COS(RADIANS(skemA7!$J$28*E252-skemA7!$J$22))</f>
        <v>1.3939150450686473</v>
      </c>
      <c r="L252" s="408">
        <f>skemA7!$K$21*COS(RADIANS(skemA7!$K$28*E252-skemA7!$K$22))</f>
        <v>-3.2250834190743989</v>
      </c>
      <c r="M252" s="408">
        <f>skemA7!$L$21*COS(RADIANS(skemA7!$L$28*E252-skemA7!$L$22))</f>
        <v>-3.0079832127465527</v>
      </c>
      <c r="N252" s="408">
        <f>skemA7!$M$21*COS(RADIANS(skemA7!$M$28*E252-skemA7!$M$22))</f>
        <v>-3.302036995788622</v>
      </c>
      <c r="O252" s="409">
        <f>skemA7!$D$21+'Forcasting Pasut'!F252+'Forcasting Pasut'!G252+K252+L252+'Forcasting Pasut'!H252+'Forcasting Pasut'!I252+'Forcasting Pasut'!J252+'Forcasting Pasut'!M252+'Forcasting Pasut'!N252</f>
        <v>154.56786498930535</v>
      </c>
      <c r="P252" s="405"/>
      <c r="Q252" s="406">
        <f>AI234</f>
        <v>167.3</v>
      </c>
      <c r="R252" s="406"/>
      <c r="S252" s="406"/>
      <c r="T252" s="406"/>
      <c r="U252" s="406"/>
      <c r="V252" s="406"/>
      <c r="W252" s="406"/>
      <c r="X252" s="406"/>
      <c r="Y252" s="406"/>
      <c r="Z252" s="406"/>
      <c r="AA252" s="406"/>
      <c r="AB252" s="406"/>
      <c r="AC252" s="406"/>
      <c r="AD252" s="406"/>
      <c r="AE252" s="406"/>
      <c r="AF252" s="406"/>
      <c r="AG252" s="406"/>
      <c r="AH252" s="406"/>
      <c r="AI252" s="406"/>
      <c r="AJ252" s="406"/>
      <c r="AK252" s="406"/>
      <c r="AL252" s="406"/>
      <c r="AM252" s="406"/>
      <c r="AN252" s="406"/>
      <c r="AO252" s="407"/>
      <c r="AP252" s="407"/>
    </row>
    <row r="253" spans="1:42">
      <c r="A253" s="402"/>
      <c r="B253" s="77"/>
      <c r="D253" s="131"/>
      <c r="E253" s="113">
        <f t="shared" si="3"/>
        <v>235</v>
      </c>
      <c r="F253" s="408">
        <f>skemA7!$E$21*COS(RADIANS(skemA7!$E$28*E253-skemA7!$E$22))</f>
        <v>21.949872080091851</v>
      </c>
      <c r="G253" s="408">
        <f>skemA7!$F$21*COS(RADIANS(skemA7!$F$28*E253-skemA7!$F$22))</f>
        <v>-7.1705119453441126</v>
      </c>
      <c r="H253" s="408">
        <f>skemA7!$G$21*COS(RADIANS(skemA7!$G$28*E253-skemA7!$G$22))</f>
        <v>16.08311915909956</v>
      </c>
      <c r="I253" s="408">
        <f>skemA7!$H$21*COS(RADIANS(skemA7!$H$28*E253-skemA7!$H$22))</f>
        <v>-27.582846898011773</v>
      </c>
      <c r="J253" s="408">
        <f>skemA7!$I$21*COS(RADIANS(skemA7!$I$28*E253-skemA7!$I$22))</f>
        <v>-10.269379978378351</v>
      </c>
      <c r="K253" s="408">
        <f>skemA7!$J$21*COS(RADIANS(skemA7!$J$28*E253-skemA7!$J$22))</f>
        <v>1.6795197031510352</v>
      </c>
      <c r="L253" s="408">
        <f>skemA7!$K$21*COS(RADIANS(skemA7!$K$28*E253-skemA7!$K$22))</f>
        <v>-2.285534023194689</v>
      </c>
      <c r="M253" s="408">
        <f>skemA7!$L$21*COS(RADIANS(skemA7!$L$28*E253-skemA7!$L$22))</f>
        <v>0.11875788971557166</v>
      </c>
      <c r="N253" s="408">
        <f>skemA7!$M$21*COS(RADIANS(skemA7!$M$28*E253-skemA7!$M$22))</f>
        <v>-6.114299883587087</v>
      </c>
      <c r="O253" s="409">
        <f>skemA7!$D$21+'Forcasting Pasut'!F253+'Forcasting Pasut'!G253+K253+L253+'Forcasting Pasut'!H253+'Forcasting Pasut'!I253+'Forcasting Pasut'!J253+'Forcasting Pasut'!M253+'Forcasting Pasut'!N253</f>
        <v>152.57701506905926</v>
      </c>
      <c r="P253" s="405"/>
      <c r="Q253" s="406">
        <f>AJ234</f>
        <v>178.9</v>
      </c>
      <c r="R253" s="406"/>
      <c r="S253" s="406"/>
      <c r="T253" s="406"/>
      <c r="U253" s="406"/>
      <c r="V253" s="406"/>
      <c r="W253" s="406"/>
      <c r="X253" s="406"/>
      <c r="Y253" s="406"/>
      <c r="Z253" s="406"/>
      <c r="AA253" s="406"/>
      <c r="AB253" s="406"/>
      <c r="AC253" s="406"/>
      <c r="AD253" s="406"/>
      <c r="AE253" s="406"/>
      <c r="AF253" s="406"/>
      <c r="AG253" s="406"/>
      <c r="AH253" s="406"/>
      <c r="AI253" s="406"/>
      <c r="AJ253" s="406"/>
      <c r="AK253" s="406"/>
      <c r="AL253" s="406"/>
      <c r="AM253" s="406"/>
      <c r="AN253" s="406"/>
      <c r="AO253" s="407"/>
      <c r="AP253" s="407"/>
    </row>
    <row r="254" spans="1:42">
      <c r="A254" s="402"/>
      <c r="B254" s="77"/>
      <c r="D254" s="131"/>
      <c r="E254" s="113">
        <f t="shared" si="3"/>
        <v>236</v>
      </c>
      <c r="F254" s="408">
        <f>skemA7!$E$21*COS(RADIANS(skemA7!$E$28*E254-skemA7!$E$22))</f>
        <v>17.670972757068792</v>
      </c>
      <c r="G254" s="408">
        <f>skemA7!$F$21*COS(RADIANS(skemA7!$F$28*E254-skemA7!$F$22))</f>
        <v>4.7116383509438275</v>
      </c>
      <c r="H254" s="408">
        <f>skemA7!$G$21*COS(RADIANS(skemA7!$G$28*E254-skemA7!$G$22))</f>
        <v>10.788718182596478</v>
      </c>
      <c r="I254" s="408">
        <f>skemA7!$H$21*COS(RADIANS(skemA7!$H$28*E254-skemA7!$H$22))</f>
        <v>-32.542784291938432</v>
      </c>
      <c r="J254" s="408">
        <f>skemA7!$I$21*COS(RADIANS(skemA7!$I$28*E254-skemA7!$I$22))</f>
        <v>-16.112491314878717</v>
      </c>
      <c r="K254" s="408">
        <f>skemA7!$J$21*COS(RADIANS(skemA7!$J$28*E254-skemA7!$J$22))</f>
        <v>0.38769534138252121</v>
      </c>
      <c r="L254" s="408">
        <f>skemA7!$K$21*COS(RADIANS(skemA7!$K$28*E254-skemA7!$K$22))</f>
        <v>0.8697152644981484</v>
      </c>
      <c r="M254" s="408">
        <f>skemA7!$L$21*COS(RADIANS(skemA7!$L$28*E254-skemA7!$L$22))</f>
        <v>3.2135077382072992</v>
      </c>
      <c r="N254" s="408">
        <f>skemA7!$M$21*COS(RADIANS(skemA7!$M$28*E254-skemA7!$M$22))</f>
        <v>-8.5121451368458665</v>
      </c>
      <c r="O254" s="409">
        <f>skemA7!$D$21+'Forcasting Pasut'!F254+'Forcasting Pasut'!G254+K254+L254+'Forcasting Pasut'!H254+'Forcasting Pasut'!I254+'Forcasting Pasut'!J254+'Forcasting Pasut'!M254+'Forcasting Pasut'!N254</f>
        <v>146.64314585655129</v>
      </c>
      <c r="P254" s="405"/>
      <c r="Q254" s="406">
        <f>AK234</f>
        <v>183.20000000000002</v>
      </c>
      <c r="R254" s="406"/>
      <c r="S254" s="406"/>
      <c r="T254" s="406"/>
      <c r="U254" s="406"/>
      <c r="V254" s="406"/>
      <c r="W254" s="406"/>
      <c r="X254" s="406"/>
      <c r="Y254" s="406"/>
      <c r="Z254" s="406"/>
      <c r="AA254" s="406"/>
      <c r="AB254" s="406"/>
      <c r="AC254" s="406"/>
      <c r="AD254" s="406"/>
      <c r="AE254" s="406"/>
      <c r="AF254" s="406"/>
      <c r="AG254" s="406"/>
      <c r="AH254" s="406"/>
      <c r="AI254" s="406"/>
      <c r="AJ254" s="406"/>
      <c r="AK254" s="406"/>
      <c r="AL254" s="406"/>
      <c r="AM254" s="406"/>
      <c r="AN254" s="406"/>
      <c r="AO254" s="407"/>
      <c r="AP254" s="407"/>
    </row>
    <row r="255" spans="1:42">
      <c r="A255" s="402"/>
      <c r="B255" s="77"/>
      <c r="D255" s="131"/>
      <c r="E255" s="113">
        <f t="shared" si="3"/>
        <v>237</v>
      </c>
      <c r="F255" s="408">
        <f>skemA7!$E$21*COS(RADIANS(skemA7!$E$28*E255-skemA7!$E$22))</f>
        <v>8.9656734975047829</v>
      </c>
      <c r="G255" s="408">
        <f>skemA7!$F$21*COS(RADIANS(skemA7!$F$28*E255-skemA7!$F$22))</f>
        <v>15.331308956068849</v>
      </c>
      <c r="H255" s="408">
        <f>skemA7!$G$21*COS(RADIANS(skemA7!$G$28*E255-skemA7!$G$22))</f>
        <v>2.890272568913355</v>
      </c>
      <c r="I255" s="408">
        <f>skemA7!$H$21*COS(RADIANS(skemA7!$H$28*E255-skemA7!$H$22))</f>
        <v>-35.272914316277124</v>
      </c>
      <c r="J255" s="408">
        <f>skemA7!$I$21*COS(RADIANS(skemA7!$I$28*E255-skemA7!$I$22))</f>
        <v>-21.006123156186355</v>
      </c>
      <c r="K255" s="408">
        <f>skemA7!$J$21*COS(RADIANS(skemA7!$J$28*E255-skemA7!$J$22))</f>
        <v>-1.2682580515670234</v>
      </c>
      <c r="L255" s="408">
        <f>skemA7!$K$21*COS(RADIANS(skemA7!$K$28*E255-skemA7!$K$22))</f>
        <v>3.1818233003433325</v>
      </c>
      <c r="M255" s="408">
        <f>skemA7!$L$21*COS(RADIANS(skemA7!$L$28*E255-skemA7!$L$22))</f>
        <v>5.4425960088890362</v>
      </c>
      <c r="N255" s="408">
        <f>skemA7!$M$21*COS(RADIANS(skemA7!$M$28*E255-skemA7!$M$22))</f>
        <v>-10.333050573668697</v>
      </c>
      <c r="O255" s="409">
        <f>skemA7!$D$21+'Forcasting Pasut'!F255+'Forcasting Pasut'!G255+K255+L255+'Forcasting Pasut'!H255+'Forcasting Pasut'!I255+'Forcasting Pasut'!J255+'Forcasting Pasut'!M255+'Forcasting Pasut'!N255</f>
        <v>134.09964719953743</v>
      </c>
      <c r="P255" s="405"/>
      <c r="Q255" s="406">
        <f>AL234</f>
        <v>175.5</v>
      </c>
      <c r="R255" s="406"/>
      <c r="S255" s="406"/>
      <c r="T255" s="406"/>
      <c r="U255" s="406"/>
      <c r="V255" s="406"/>
      <c r="W255" s="406"/>
      <c r="X255" s="406"/>
      <c r="Y255" s="406"/>
      <c r="Z255" s="406"/>
      <c r="AA255" s="406"/>
      <c r="AB255" s="406"/>
      <c r="AC255" s="406"/>
      <c r="AD255" s="406"/>
      <c r="AE255" s="406"/>
      <c r="AF255" s="406"/>
      <c r="AG255" s="406"/>
      <c r="AH255" s="406"/>
      <c r="AI255" s="406"/>
      <c r="AJ255" s="406"/>
      <c r="AK255" s="406"/>
      <c r="AL255" s="406"/>
      <c r="AM255" s="406"/>
      <c r="AN255" s="406"/>
      <c r="AO255" s="407"/>
      <c r="AP255" s="407"/>
    </row>
    <row r="256" spans="1:42">
      <c r="A256" s="402"/>
      <c r="B256" s="77"/>
      <c r="D256" s="131"/>
      <c r="E256" s="113">
        <f t="shared" si="3"/>
        <v>238</v>
      </c>
      <c r="F256" s="408">
        <f>skemA7!$E$21*COS(RADIANS(skemA7!$E$28*E256-skemA7!$E$22))</f>
        <v>-1.9854362868092557</v>
      </c>
      <c r="G256" s="408">
        <f>skemA7!$F$21*COS(RADIANS(skemA7!$F$28*E256-skemA7!$F$22))</f>
        <v>21.842967707503135</v>
      </c>
      <c r="H256" s="408">
        <f>skemA7!$G$21*COS(RADIANS(skemA7!$G$28*E256-skemA7!$G$22))</f>
        <v>-5.7057905611122859</v>
      </c>
      <c r="I256" s="408">
        <f>skemA7!$H$21*COS(RADIANS(skemA7!$H$28*E256-skemA7!$H$22))</f>
        <v>-35.586170492830952</v>
      </c>
      <c r="J256" s="408">
        <f>skemA7!$I$21*COS(RADIANS(skemA7!$I$28*E256-skemA7!$I$22))</f>
        <v>-24.661902773370006</v>
      </c>
      <c r="K256" s="408">
        <f>skemA7!$J$21*COS(RADIANS(skemA7!$J$28*E256-skemA7!$J$22))</f>
        <v>-1.7330452727544738</v>
      </c>
      <c r="L256" s="408">
        <f>skemA7!$K$21*COS(RADIANS(skemA7!$K$28*E256-skemA7!$K$22))</f>
        <v>2.4093281446399981</v>
      </c>
      <c r="M256" s="408">
        <f>skemA7!$L$21*COS(RADIANS(skemA7!$L$28*E256-skemA7!$L$22))</f>
        <v>6.2055461425994443</v>
      </c>
      <c r="N256" s="408">
        <f>skemA7!$M$21*COS(RADIANS(skemA7!$M$28*E256-skemA7!$M$22))</f>
        <v>-11.453598085978495</v>
      </c>
      <c r="O256" s="409">
        <f>skemA7!$D$21+'Forcasting Pasut'!F256+'Forcasting Pasut'!G256+K256+L256+'Forcasting Pasut'!H256+'Forcasting Pasut'!I256+'Forcasting Pasut'!J256+'Forcasting Pasut'!M256+'Forcasting Pasut'!N256</f>
        <v>115.50021748740436</v>
      </c>
      <c r="P256" s="405"/>
      <c r="Q256" s="406">
        <f>AM234</f>
        <v>155.6</v>
      </c>
      <c r="R256" s="406"/>
      <c r="S256" s="406"/>
      <c r="T256" s="406"/>
      <c r="U256" s="406"/>
      <c r="V256" s="406"/>
      <c r="W256" s="406"/>
      <c r="X256" s="406"/>
      <c r="Y256" s="406"/>
      <c r="Z256" s="406"/>
      <c r="AA256" s="406"/>
      <c r="AB256" s="406"/>
      <c r="AC256" s="406"/>
      <c r="AD256" s="406"/>
      <c r="AE256" s="406"/>
      <c r="AF256" s="406"/>
      <c r="AG256" s="406"/>
      <c r="AH256" s="406"/>
      <c r="AI256" s="406"/>
      <c r="AJ256" s="406"/>
      <c r="AK256" s="406"/>
      <c r="AL256" s="406"/>
      <c r="AM256" s="406"/>
      <c r="AN256" s="406"/>
      <c r="AO256" s="407"/>
      <c r="AP256" s="407"/>
    </row>
    <row r="257" spans="1:42">
      <c r="A257" s="402"/>
      <c r="B257" s="77"/>
      <c r="D257" s="131"/>
      <c r="E257" s="113">
        <f t="shared" si="3"/>
        <v>239</v>
      </c>
      <c r="F257" s="408">
        <f>skemA7!$E$21*COS(RADIANS(skemA7!$E$28*E257-skemA7!$E$22))</f>
        <v>-12.439214363653036</v>
      </c>
      <c r="G257" s="408">
        <f>skemA7!$F$21*COS(RADIANS(skemA7!$F$28*E257-skemA7!$F$22))</f>
        <v>22.501820901412806</v>
      </c>
      <c r="H257" s="408">
        <f>skemA7!$G$21*COS(RADIANS(skemA7!$G$28*E257-skemA7!$G$22))</f>
        <v>-12.924661974748521</v>
      </c>
      <c r="I257" s="408">
        <f>skemA7!$H$21*COS(RADIANS(skemA7!$H$28*E257-skemA7!$H$22))</f>
        <v>-33.461088741428433</v>
      </c>
      <c r="J257" s="408">
        <f>skemA7!$I$21*COS(RADIANS(skemA7!$I$28*E257-skemA7!$I$22))</f>
        <v>-26.864401793645879</v>
      </c>
      <c r="K257" s="408">
        <f>skemA7!$J$21*COS(RADIANS(skemA7!$J$28*E257-skemA7!$J$22))</f>
        <v>-0.5701314905959014</v>
      </c>
      <c r="L257" s="408">
        <f>skemA7!$K$21*COS(RADIANS(skemA7!$K$28*E257-skemA7!$K$22))</f>
        <v>-0.69887851447785931</v>
      </c>
      <c r="M257" s="408">
        <f>skemA7!$L$21*COS(RADIANS(skemA7!$L$28*E257-skemA7!$L$22))</f>
        <v>5.2968330028388069</v>
      </c>
      <c r="N257" s="408">
        <f>skemA7!$M$21*COS(RADIANS(skemA7!$M$28*E257-skemA7!$M$22))</f>
        <v>-11.7978387248715</v>
      </c>
      <c r="O257" s="409">
        <f>skemA7!$D$21+'Forcasting Pasut'!F257+'Forcasting Pasut'!G257+K257+L257+'Forcasting Pasut'!H257+'Forcasting Pasut'!I257+'Forcasting Pasut'!J257+'Forcasting Pasut'!M257+'Forcasting Pasut'!N257</f>
        <v>95.210757266347727</v>
      </c>
      <c r="P257" s="405"/>
      <c r="Q257" s="406">
        <f>AN234</f>
        <v>137.5</v>
      </c>
      <c r="R257" s="406"/>
      <c r="S257" s="406"/>
      <c r="T257" s="406"/>
      <c r="U257" s="406"/>
      <c r="V257" s="406"/>
      <c r="W257" s="406"/>
      <c r="X257" s="406"/>
      <c r="Y257" s="406"/>
      <c r="Z257" s="406"/>
      <c r="AA257" s="406"/>
      <c r="AB257" s="406"/>
      <c r="AC257" s="406"/>
      <c r="AD257" s="406"/>
      <c r="AE257" s="406"/>
      <c r="AF257" s="406"/>
      <c r="AG257" s="406"/>
      <c r="AH257" s="406"/>
      <c r="AI257" s="406"/>
      <c r="AJ257" s="406"/>
      <c r="AK257" s="406"/>
      <c r="AL257" s="406"/>
      <c r="AM257" s="406"/>
      <c r="AN257" s="406"/>
      <c r="AO257" s="407"/>
      <c r="AP257" s="407"/>
    </row>
    <row r="258" spans="1:42">
      <c r="A258" s="402">
        <v>11</v>
      </c>
      <c r="B258" s="77">
        <f>skemA1!B15</f>
        <v>44719</v>
      </c>
      <c r="C258" s="43" t="e">
        <f>skemA1!#REF!</f>
        <v>#REF!</v>
      </c>
      <c r="D258" s="139" t="e">
        <f>skemA1!#REF!</f>
        <v>#REF!</v>
      </c>
      <c r="E258" s="113">
        <f t="shared" si="3"/>
        <v>240</v>
      </c>
      <c r="F258" s="408">
        <f>skemA7!$E$21*COS(RADIANS(skemA7!$E$28*E258-skemA7!$E$22))</f>
        <v>-19.777095063094833</v>
      </c>
      <c r="G258" s="408">
        <f>skemA7!$F$21*COS(RADIANS(skemA7!$F$28*E258-skemA7!$F$22))</f>
        <v>17.131329356559306</v>
      </c>
      <c r="H258" s="408">
        <f>skemA7!$G$21*COS(RADIANS(skemA7!$G$28*E258-skemA7!$G$22))</f>
        <v>-17.023941595079727</v>
      </c>
      <c r="I258" s="408">
        <f>skemA7!$H$21*COS(RADIANS(skemA7!$H$28*E258-skemA7!$H$22))</f>
        <v>-29.043278082728218</v>
      </c>
      <c r="J258" s="408">
        <f>skemA7!$I$21*COS(RADIANS(skemA7!$I$28*E258-skemA7!$I$22))</f>
        <v>-27.483830998384228</v>
      </c>
      <c r="K258" s="408">
        <f>skemA7!$J$21*COS(RADIANS(skemA7!$J$28*E258-skemA7!$J$22))</f>
        <v>1.1282579735148492</v>
      </c>
      <c r="L258" s="408">
        <f>skemA7!$K$21*COS(RADIANS(skemA7!$K$28*E258-skemA7!$K$22))</f>
        <v>-3.129560781832442</v>
      </c>
      <c r="M258" s="408">
        <f>skemA7!$L$21*COS(RADIANS(skemA7!$L$28*E258-skemA7!$L$22))</f>
        <v>2.9612476759920034</v>
      </c>
      <c r="N258" s="408">
        <f>skemA7!$M$21*COS(RADIANS(skemA7!$M$28*E258-skemA7!$M$22))</f>
        <v>-11.342440400983616</v>
      </c>
      <c r="O258" s="409">
        <f>skemA7!$D$21+'Forcasting Pasut'!F258+'Forcasting Pasut'!G258+K258+L258+'Forcasting Pasut'!H258+'Forcasting Pasut'!I258+'Forcasting Pasut'!J258+'Forcasting Pasut'!M258+'Forcasting Pasut'!N258</f>
        <v>79.589007049480301</v>
      </c>
      <c r="P258" s="405"/>
      <c r="Q258" s="406">
        <f>skemA1!C15</f>
        <v>119.7</v>
      </c>
      <c r="R258" s="406">
        <f>skemA1!D15</f>
        <v>105.80000000000001</v>
      </c>
      <c r="S258" s="406">
        <f>skemA1!E15</f>
        <v>102.8</v>
      </c>
      <c r="T258" s="406">
        <f>skemA1!F15</f>
        <v>110.00000000000001</v>
      </c>
      <c r="U258" s="406">
        <f>skemA1!G15</f>
        <v>130.69999999999999</v>
      </c>
      <c r="V258" s="406">
        <f>skemA1!H15</f>
        <v>159.30000000000001</v>
      </c>
      <c r="W258" s="406">
        <f>skemA1!I15</f>
        <v>188.6</v>
      </c>
      <c r="X258" s="406">
        <f>skemA1!J15</f>
        <v>209.60000000000002</v>
      </c>
      <c r="Y258" s="406">
        <f>skemA1!K15</f>
        <v>224.10000000000002</v>
      </c>
      <c r="Z258" s="406">
        <f>skemA1!L15</f>
        <v>230.29999999999998</v>
      </c>
      <c r="AA258" s="406">
        <f>skemA1!M15</f>
        <v>224.7</v>
      </c>
      <c r="AB258" s="406">
        <f>skemA1!N15</f>
        <v>212.4</v>
      </c>
      <c r="AC258" s="406">
        <f>skemA1!O15</f>
        <v>198.6</v>
      </c>
      <c r="AD258" s="406">
        <f>skemA1!P15</f>
        <v>180.8</v>
      </c>
      <c r="AE258" s="406">
        <f>skemA1!Q15</f>
        <v>162.9</v>
      </c>
      <c r="AF258" s="406">
        <f>skemA1!R15</f>
        <v>153.5</v>
      </c>
      <c r="AG258" s="406">
        <f>skemA1!S15</f>
        <v>150.19999999999999</v>
      </c>
      <c r="AH258" s="406">
        <f>skemA1!T15</f>
        <v>151.10000000000002</v>
      </c>
      <c r="AI258" s="406">
        <f>skemA1!U15</f>
        <v>159.5</v>
      </c>
      <c r="AJ258" s="406">
        <f>skemA1!V15</f>
        <v>172.4</v>
      </c>
      <c r="AK258" s="406">
        <f>skemA1!W15</f>
        <v>179.6</v>
      </c>
      <c r="AL258" s="406">
        <f>skemA1!X15</f>
        <v>176.6</v>
      </c>
      <c r="AM258" s="406">
        <f>skemA1!Y15</f>
        <v>164</v>
      </c>
      <c r="AN258" s="406">
        <f>skemA1!Z15</f>
        <v>149.5</v>
      </c>
      <c r="AO258" s="407">
        <f>SUM(Q258:AN258)</f>
        <v>4016.7</v>
      </c>
      <c r="AP258" s="407">
        <f>AVERAGE(Q258:AN258)</f>
        <v>167.36249999999998</v>
      </c>
    </row>
    <row r="259" spans="1:42">
      <c r="A259" s="402"/>
      <c r="B259" s="77"/>
      <c r="D259" s="131"/>
      <c r="E259" s="113">
        <f t="shared" si="3"/>
        <v>241</v>
      </c>
      <c r="F259" s="408">
        <f>skemA7!$E$21*COS(RADIANS(skemA7!$E$28*E259-skemA7!$E$22))</f>
        <v>-22.161013491431451</v>
      </c>
      <c r="G259" s="408">
        <f>skemA7!$F$21*COS(RADIANS(skemA7!$F$28*E259-skemA7!$F$22))</f>
        <v>7.1705119453440371</v>
      </c>
      <c r="H259" s="408">
        <f>skemA7!$G$21*COS(RADIANS(skemA7!$G$28*E259-skemA7!$G$22))</f>
        <v>-17.014197041821546</v>
      </c>
      <c r="I259" s="408">
        <f>skemA7!$H$21*COS(RADIANS(skemA7!$H$28*E259-skemA7!$H$22))</f>
        <v>-22.635443616448786</v>
      </c>
      <c r="J259" s="408">
        <f>skemA7!$I$21*COS(RADIANS(skemA7!$I$28*E259-skemA7!$I$22))</f>
        <v>-26.48368856318514</v>
      </c>
      <c r="K259" s="408">
        <f>skemA7!$J$21*COS(RADIANS(skemA7!$J$28*E259-skemA7!$J$22))</f>
        <v>1.7669713493001447</v>
      </c>
      <c r="L259" s="408">
        <f>skemA7!$K$21*COS(RADIANS(skemA7!$K$28*E259-skemA7!$K$22))</f>
        <v>-2.5263055031443531</v>
      </c>
      <c r="M259" s="408">
        <f>skemA7!$L$21*COS(RADIANS(skemA7!$L$28*E259-skemA7!$L$22))</f>
        <v>-0.17204487433767435</v>
      </c>
      <c r="N259" s="408">
        <f>skemA7!$M$21*COS(RADIANS(skemA7!$M$28*E259-skemA7!$M$22))</f>
        <v>-10.118269296830004</v>
      </c>
      <c r="O259" s="409">
        <f>skemA7!$D$21+'Forcasting Pasut'!F259+'Forcasting Pasut'!G259+K259+L259+'Forcasting Pasut'!H259+'Forcasting Pasut'!I259+'Forcasting Pasut'!J259+'Forcasting Pasut'!M259+'Forcasting Pasut'!N259</f>
        <v>73.994839872962473</v>
      </c>
      <c r="P259" s="405"/>
      <c r="Q259" s="406">
        <f>R258</f>
        <v>105.80000000000001</v>
      </c>
      <c r="R259" s="406"/>
      <c r="S259" s="406"/>
      <c r="T259" s="406"/>
      <c r="U259" s="406"/>
      <c r="V259" s="406"/>
      <c r="W259" s="406"/>
      <c r="X259" s="406"/>
      <c r="Y259" s="406"/>
      <c r="Z259" s="406"/>
      <c r="AA259" s="406"/>
      <c r="AB259" s="406"/>
      <c r="AC259" s="406"/>
      <c r="AD259" s="406"/>
      <c r="AE259" s="406"/>
      <c r="AF259" s="406"/>
      <c r="AG259" s="406"/>
      <c r="AH259" s="406"/>
      <c r="AI259" s="406"/>
      <c r="AJ259" s="406"/>
      <c r="AK259" s="406"/>
      <c r="AL259" s="406"/>
      <c r="AM259" s="406"/>
      <c r="AN259" s="406"/>
      <c r="AO259" s="407"/>
      <c r="AP259" s="407"/>
    </row>
    <row r="260" spans="1:42">
      <c r="A260" s="402"/>
      <c r="B260" s="77"/>
      <c r="D260" s="131"/>
      <c r="E260" s="113">
        <f t="shared" si="3"/>
        <v>242</v>
      </c>
      <c r="F260" s="408">
        <f>skemA7!$E$21*COS(RADIANS(skemA7!$E$28*E260-skemA7!$E$22))</f>
        <v>-18.99382219532394</v>
      </c>
      <c r="G260" s="408">
        <f>skemA7!$F$21*COS(RADIANS(skemA7!$F$28*E260-skemA7!$F$22))</f>
        <v>-4.7116383509439048</v>
      </c>
      <c r="H260" s="408">
        <f>skemA7!$G$21*COS(RADIANS(skemA7!$G$28*E260-skemA7!$G$22))</f>
        <v>-12.897780332259462</v>
      </c>
      <c r="I260" s="408">
        <f>skemA7!$H$21*COS(RADIANS(skemA7!$H$28*E260-skemA7!$H$22))</f>
        <v>-14.676645393133182</v>
      </c>
      <c r="J260" s="408">
        <f>skemA7!$I$21*COS(RADIANS(skemA7!$I$28*E260-skemA7!$I$22))</f>
        <v>-23.922911043292238</v>
      </c>
      <c r="K260" s="408">
        <f>skemA7!$J$21*COS(RADIANS(skemA7!$J$28*E260-skemA7!$J$22))</f>
        <v>0.74611986353494608</v>
      </c>
      <c r="L260" s="408">
        <f>skemA7!$K$21*COS(RADIANS(skemA7!$K$28*E260-skemA7!$K$22))</f>
        <v>0.52606441273460702</v>
      </c>
      <c r="M260" s="408">
        <f>skemA7!$L$21*COS(RADIANS(skemA7!$L$28*E260-skemA7!$L$22))</f>
        <v>-3.2589916089709914</v>
      </c>
      <c r="N260" s="408">
        <f>skemA7!$M$21*COS(RADIANS(skemA7!$M$28*E260-skemA7!$M$22))</f>
        <v>-8.2082978054751141</v>
      </c>
      <c r="O260" s="409">
        <f>skemA7!$D$21+'Forcasting Pasut'!F260+'Forcasting Pasut'!G260+K260+L260+'Forcasting Pasut'!H260+'Forcasting Pasut'!I260+'Forcasting Pasut'!J260+'Forcasting Pasut'!M260+'Forcasting Pasut'!N260</f>
        <v>80.770416512387982</v>
      </c>
      <c r="P260" s="405"/>
      <c r="Q260" s="406">
        <f>S258</f>
        <v>102.8</v>
      </c>
      <c r="R260" s="406"/>
      <c r="S260" s="406"/>
      <c r="T260" s="406"/>
      <c r="U260" s="406"/>
      <c r="V260" s="406"/>
      <c r="W260" s="406"/>
      <c r="X260" s="406"/>
      <c r="Y260" s="406"/>
      <c r="Z260" s="406"/>
      <c r="AA260" s="406"/>
      <c r="AB260" s="406"/>
      <c r="AC260" s="406"/>
      <c r="AD260" s="406"/>
      <c r="AE260" s="406"/>
      <c r="AF260" s="406"/>
      <c r="AG260" s="406"/>
      <c r="AH260" s="406"/>
      <c r="AI260" s="406"/>
      <c r="AJ260" s="406"/>
      <c r="AK260" s="406"/>
      <c r="AL260" s="406"/>
      <c r="AM260" s="406"/>
      <c r="AN260" s="406"/>
      <c r="AO260" s="407"/>
      <c r="AP260" s="407"/>
    </row>
    <row r="261" spans="1:42">
      <c r="A261" s="402"/>
      <c r="B261" s="77"/>
      <c r="D261" s="131"/>
      <c r="E261" s="113">
        <f t="shared" si="3"/>
        <v>243</v>
      </c>
      <c r="F261" s="408">
        <f>skemA7!$E$21*COS(RADIANS(skemA7!$E$28*E261-skemA7!$E$22))</f>
        <v>-11.06887055880649</v>
      </c>
      <c r="G261" s="408">
        <f>skemA7!$F$21*COS(RADIANS(skemA7!$F$28*E261-skemA7!$F$22))</f>
        <v>-15.331308956068908</v>
      </c>
      <c r="H261" s="408">
        <f>skemA7!$G$21*COS(RADIANS(skemA7!$G$28*E261-skemA7!$G$22))</f>
        <v>-5.6682601809997868</v>
      </c>
      <c r="I261" s="408">
        <f>skemA7!$H$21*COS(RADIANS(skemA7!$H$28*E261-skemA7!$H$22))</f>
        <v>-5.712214346120863</v>
      </c>
      <c r="J261" s="408">
        <f>skemA7!$I$21*COS(RADIANS(skemA7!$I$28*E261-skemA7!$I$22))</f>
        <v>-19.952400350729807</v>
      </c>
      <c r="K261" s="408">
        <f>skemA7!$J$21*COS(RADIANS(skemA7!$J$28*E261-skemA7!$J$22))</f>
        <v>-0.97549811089903338</v>
      </c>
      <c r="L261" s="408">
        <f>skemA7!$K$21*COS(RADIANS(skemA7!$K$28*E261-skemA7!$K$22))</f>
        <v>3.0684437309879216</v>
      </c>
      <c r="M261" s="408">
        <f>skemA7!$L$21*COS(RADIANS(skemA7!$L$28*E261-skemA7!$L$22))</f>
        <v>-5.4680242235452114</v>
      </c>
      <c r="N261" s="408">
        <f>skemA7!$M$21*COS(RADIANS(skemA7!$M$28*E261-skemA7!$M$22))</f>
        <v>-5.7419807921621402</v>
      </c>
      <c r="O261" s="409">
        <f>skemA7!$D$21+'Forcasting Pasut'!F261+'Forcasting Pasut'!G261+K261+L261+'Forcasting Pasut'!H261+'Forcasting Pasut'!I261+'Forcasting Pasut'!J261+'Forcasting Pasut'!M261+'Forcasting Pasut'!N261</f>
        <v>99.318205177172928</v>
      </c>
      <c r="P261" s="405"/>
      <c r="Q261" s="406">
        <f>T258</f>
        <v>110.00000000000001</v>
      </c>
      <c r="R261" s="406"/>
      <c r="S261" s="406"/>
      <c r="T261" s="406"/>
      <c r="U261" s="406"/>
      <c r="V261" s="406"/>
      <c r="W261" s="406"/>
      <c r="X261" s="406"/>
      <c r="Y261" s="406"/>
      <c r="Z261" s="406"/>
      <c r="AA261" s="406"/>
      <c r="AB261" s="406"/>
      <c r="AC261" s="406"/>
      <c r="AD261" s="406"/>
      <c r="AE261" s="406"/>
      <c r="AF261" s="406"/>
      <c r="AG261" s="406"/>
      <c r="AH261" s="406"/>
      <c r="AI261" s="406"/>
      <c r="AJ261" s="406"/>
      <c r="AK261" s="406"/>
      <c r="AL261" s="406"/>
      <c r="AM261" s="406"/>
      <c r="AN261" s="406"/>
      <c r="AO261" s="407"/>
      <c r="AP261" s="407"/>
    </row>
    <row r="262" spans="1:42">
      <c r="A262" s="402"/>
      <c r="B262" s="77"/>
      <c r="D262" s="131"/>
      <c r="E262" s="113">
        <f t="shared" si="3"/>
        <v>244</v>
      </c>
      <c r="F262" s="408">
        <f>skemA7!$E$21*COS(RADIANS(skemA7!$E$28*E262-skemA7!$E$22))</f>
        <v>-0.37127880718930711</v>
      </c>
      <c r="G262" s="408">
        <f>skemA7!$F$21*COS(RADIANS(skemA7!$F$28*E262-skemA7!$F$22))</f>
        <v>-21.842967707503163</v>
      </c>
      <c r="H262" s="408">
        <f>skemA7!$G$21*COS(RADIANS(skemA7!$G$28*E262-skemA7!$G$22))</f>
        <v>2.929393077145932</v>
      </c>
      <c r="I262" s="408">
        <f>skemA7!$H$21*COS(RADIANS(skemA7!$H$28*E262-skemA7!$H$22))</f>
        <v>3.6436133783044284</v>
      </c>
      <c r="J262" s="408">
        <f>skemA7!$I$21*COS(RADIANS(skemA7!$I$28*E262-skemA7!$I$22))</f>
        <v>-14.806131382015034</v>
      </c>
      <c r="K262" s="408">
        <f>skemA7!$J$21*COS(RADIANS(skemA7!$J$28*E262-skemA7!$J$22))</f>
        <v>-1.7809142533123135</v>
      </c>
      <c r="L262" s="408">
        <f>skemA7!$K$21*COS(RADIANS(skemA7!$K$28*E262-skemA7!$K$22))</f>
        <v>2.636135132199684</v>
      </c>
      <c r="M262" s="408">
        <f>skemA7!$L$21*COS(RADIANS(skemA7!$L$28*E262-skemA7!$L$22))</f>
        <v>-6.2040687943753792</v>
      </c>
      <c r="N262" s="408">
        <f>skemA7!$M$21*COS(RADIANS(skemA7!$M$28*E262-skemA7!$M$22))</f>
        <v>-2.8864813470471886</v>
      </c>
      <c r="O262" s="409">
        <f>skemA7!$D$21+'Forcasting Pasut'!F262+'Forcasting Pasut'!G262+K262+L262+'Forcasting Pasut'!H262+'Forcasting Pasut'!I262+'Forcasting Pasut'!J262+'Forcasting Pasut'!M262+'Forcasting Pasut'!N262</f>
        <v>127.48561826172489</v>
      </c>
      <c r="P262" s="405"/>
      <c r="Q262" s="406">
        <f>U258</f>
        <v>130.69999999999999</v>
      </c>
      <c r="R262" s="406"/>
      <c r="S262" s="406"/>
      <c r="T262" s="406"/>
      <c r="U262" s="406"/>
      <c r="V262" s="406"/>
      <c r="W262" s="406"/>
      <c r="X262" s="406"/>
      <c r="Y262" s="406"/>
      <c r="Z262" s="406"/>
      <c r="AA262" s="406"/>
      <c r="AB262" s="406"/>
      <c r="AC262" s="406"/>
      <c r="AD262" s="406"/>
      <c r="AE262" s="406"/>
      <c r="AF262" s="406"/>
      <c r="AG262" s="406"/>
      <c r="AH262" s="406"/>
      <c r="AI262" s="406"/>
      <c r="AJ262" s="406"/>
      <c r="AK262" s="406"/>
      <c r="AL262" s="406"/>
      <c r="AM262" s="406"/>
      <c r="AN262" s="406"/>
      <c r="AO262" s="407"/>
      <c r="AP262" s="407"/>
    </row>
    <row r="263" spans="1:42">
      <c r="A263" s="402"/>
      <c r="B263" s="77"/>
      <c r="D263" s="131"/>
      <c r="E263" s="113">
        <f t="shared" si="3"/>
        <v>245</v>
      </c>
      <c r="F263" s="408">
        <f>skemA7!$E$21*COS(RADIANS(skemA7!$E$28*E263-skemA7!$E$22))</f>
        <v>10.419314530202168</v>
      </c>
      <c r="G263" s="408">
        <f>skemA7!$F$21*COS(RADIANS(skemA7!$F$28*E263-skemA7!$F$22))</f>
        <v>-22.501820901412856</v>
      </c>
      <c r="H263" s="408">
        <f>skemA7!$G$21*COS(RADIANS(skemA7!$G$28*E263-skemA7!$G$22))</f>
        <v>10.819986404386814</v>
      </c>
      <c r="I263" s="408">
        <f>skemA7!$H$21*COS(RADIANS(skemA7!$H$28*E263-skemA7!$H$22))</f>
        <v>12.749783424702768</v>
      </c>
      <c r="J263" s="408">
        <f>skemA7!$I$21*COS(RADIANS(skemA7!$I$28*E263-skemA7!$I$22))</f>
        <v>-8.7873643075996508</v>
      </c>
      <c r="K263" s="408">
        <f>skemA7!$J$21*COS(RADIANS(skemA7!$J$28*E263-skemA7!$J$22))</f>
        <v>-0.91367015853372247</v>
      </c>
      <c r="L263" s="408">
        <f>skemA7!$K$21*COS(RADIANS(skemA7!$K$28*E263-skemA7!$K$22))</f>
        <v>-0.35176190585200207</v>
      </c>
      <c r="M263" s="408">
        <f>skemA7!$L$21*COS(RADIANS(skemA7!$L$28*E263-skemA7!$L$22))</f>
        <v>-5.268848062954361</v>
      </c>
      <c r="N263" s="408">
        <f>skemA7!$M$21*COS(RADIANS(skemA7!$M$28*E263-skemA7!$M$22))</f>
        <v>0.16465926627362429</v>
      </c>
      <c r="O263" s="409">
        <f>skemA7!$D$21+'Forcasting Pasut'!F263+'Forcasting Pasut'!G263+K263+L263+'Forcasting Pasut'!H263+'Forcasting Pasut'!I263+'Forcasting Pasut'!J263+'Forcasting Pasut'!M263+'Forcasting Pasut'!N263</f>
        <v>162.49859725472999</v>
      </c>
      <c r="P263" s="405"/>
      <c r="Q263" s="406">
        <f>V258</f>
        <v>159.30000000000001</v>
      </c>
      <c r="R263" s="406"/>
      <c r="S263" s="406"/>
      <c r="T263" s="406"/>
      <c r="U263" s="406"/>
      <c r="V263" s="406"/>
      <c r="W263" s="406"/>
      <c r="X263" s="406"/>
      <c r="Y263" s="406"/>
      <c r="Z263" s="406"/>
      <c r="AA263" s="406"/>
      <c r="AB263" s="406"/>
      <c r="AC263" s="406"/>
      <c r="AD263" s="406"/>
      <c r="AE263" s="406"/>
      <c r="AF263" s="406"/>
      <c r="AG263" s="406"/>
      <c r="AH263" s="406"/>
      <c r="AI263" s="406"/>
      <c r="AJ263" s="406"/>
      <c r="AK263" s="406"/>
      <c r="AL263" s="406"/>
      <c r="AM263" s="406"/>
      <c r="AN263" s="406"/>
      <c r="AO263" s="407"/>
      <c r="AP263" s="407"/>
    </row>
    <row r="264" spans="1:42">
      <c r="A264" s="402"/>
      <c r="B264" s="77"/>
      <c r="D264" s="131"/>
      <c r="E264" s="113">
        <f t="shared" si="3"/>
        <v>246</v>
      </c>
      <c r="F264" s="408">
        <f>skemA7!$E$21*COS(RADIANS(skemA7!$E$28*E264-skemA7!$E$22))</f>
        <v>18.599974967502416</v>
      </c>
      <c r="G264" s="408">
        <f>skemA7!$F$21*COS(RADIANS(skemA7!$F$28*E264-skemA7!$F$22))</f>
        <v>-17.131329356559256</v>
      </c>
      <c r="H264" s="408">
        <f>skemA7!$G$21*COS(RADIANS(skemA7!$G$28*E264-skemA7!$G$22))</f>
        <v>16.098987965689268</v>
      </c>
      <c r="I264" s="408">
        <f>skemA7!$H$21*COS(RADIANS(skemA7!$H$28*E264-skemA7!$H$22))</f>
        <v>20.982347795998926</v>
      </c>
      <c r="J264" s="408">
        <f>skemA7!$I$21*COS(RADIANS(skemA7!$I$28*E264-skemA7!$I$22))</f>
        <v>-2.2507740074760925</v>
      </c>
      <c r="K264" s="408">
        <f>skemA7!$J$21*COS(RADIANS(skemA7!$J$28*E264-skemA7!$J$22))</f>
        <v>0.8117060676743677</v>
      </c>
      <c r="L264" s="408">
        <f>skemA7!$K$21*COS(RADIANS(skemA7!$K$28*E264-skemA7!$K$22))</f>
        <v>-2.9986450675708269</v>
      </c>
      <c r="M264" s="408">
        <f>skemA7!$L$21*COS(RADIANS(skemA7!$L$28*E264-skemA7!$L$22))</f>
        <v>-2.914293787322459</v>
      </c>
      <c r="N264" s="408">
        <f>skemA7!$M$21*COS(RADIANS(skemA7!$M$28*E264-skemA7!$M$22))</f>
        <v>3.2046395333678257</v>
      </c>
      <c r="O264" s="409">
        <f>skemA7!$D$21+'Forcasting Pasut'!F264+'Forcasting Pasut'!G264+K264+L264+'Forcasting Pasut'!H264+'Forcasting Pasut'!I264+'Forcasting Pasut'!J264+'Forcasting Pasut'!M264+'Forcasting Pasut'!N264</f>
        <v>200.57093307682143</v>
      </c>
      <c r="P264" s="405"/>
      <c r="Q264" s="406">
        <f>W258</f>
        <v>188.6</v>
      </c>
      <c r="R264" s="406"/>
      <c r="S264" s="406"/>
      <c r="T264" s="406"/>
      <c r="U264" s="406"/>
      <c r="V264" s="406"/>
      <c r="W264" s="406"/>
      <c r="X264" s="406"/>
      <c r="Y264" s="406"/>
      <c r="Z264" s="406"/>
      <c r="AA264" s="406"/>
      <c r="AB264" s="406"/>
      <c r="AC264" s="406"/>
      <c r="AD264" s="406"/>
      <c r="AE264" s="406"/>
      <c r="AF264" s="406"/>
      <c r="AG264" s="406"/>
      <c r="AH264" s="406"/>
      <c r="AI264" s="406"/>
      <c r="AJ264" s="406"/>
      <c r="AK264" s="406"/>
      <c r="AL264" s="406"/>
      <c r="AM264" s="406"/>
      <c r="AN264" s="406"/>
      <c r="AO264" s="407"/>
      <c r="AP264" s="407"/>
    </row>
    <row r="265" spans="1:42">
      <c r="A265" s="402"/>
      <c r="B265" s="77"/>
      <c r="D265" s="131"/>
      <c r="E265" s="113">
        <f t="shared" si="3"/>
        <v>247</v>
      </c>
      <c r="F265" s="408">
        <f>skemA7!$E$21*COS(RADIANS(skemA7!$E$28*E265-skemA7!$E$22))</f>
        <v>22.121529811259396</v>
      </c>
      <c r="G265" s="408">
        <f>skemA7!$F$21*COS(RADIANS(skemA7!$F$28*E265-skemA7!$F$22))</f>
        <v>-7.1705119453439634</v>
      </c>
      <c r="H265" s="408">
        <f>skemA7!$G$21*COS(RADIANS(skemA7!$G$28*E265-skemA7!$G$22))</f>
        <v>17.492218987197173</v>
      </c>
      <c r="I265" s="408">
        <f>skemA7!$H$21*COS(RADIANS(skemA7!$H$28*E265-skemA7!$H$22))</f>
        <v>27.777217306060493</v>
      </c>
      <c r="J265" s="408">
        <f>skemA7!$I$21*COS(RADIANS(skemA7!$I$28*E265-skemA7!$I$22))</f>
        <v>4.4184502675336885</v>
      </c>
      <c r="K265" s="408">
        <f>skemA7!$J$21*COS(RADIANS(skemA7!$J$28*E265-skemA7!$J$22))</f>
        <v>1.7747163005950122</v>
      </c>
      <c r="L265" s="408">
        <f>skemA7!$K$21*COS(RADIANS(skemA7!$K$28*E265-skemA7!$K$22))</f>
        <v>-2.7385062885199316</v>
      </c>
      <c r="M265" s="408">
        <f>skemA7!$L$21*COS(RADIANS(skemA7!$L$28*E265-skemA7!$L$22))</f>
        <v>0.22531917297994827</v>
      </c>
      <c r="N265" s="408">
        <f>skemA7!$M$21*COS(RADIANS(skemA7!$M$28*E265-skemA7!$M$22))</f>
        <v>6.0274143705263157</v>
      </c>
      <c r="O265" s="409">
        <f>skemA7!$D$21+'Forcasting Pasut'!F265+'Forcasting Pasut'!G265+K265+L265+'Forcasting Pasut'!H265+'Forcasting Pasut'!I265+'Forcasting Pasut'!J265+'Forcasting Pasut'!M265+'Forcasting Pasut'!N265</f>
        <v>236.09616694780533</v>
      </c>
      <c r="P265" s="405"/>
      <c r="Q265" s="406">
        <f>X258</f>
        <v>209.60000000000002</v>
      </c>
      <c r="R265" s="406"/>
      <c r="S265" s="406"/>
      <c r="T265" s="406"/>
      <c r="U265" s="406"/>
      <c r="V265" s="406"/>
      <c r="W265" s="406"/>
      <c r="X265" s="406"/>
      <c r="Y265" s="406"/>
      <c r="Z265" s="406"/>
      <c r="AA265" s="406"/>
      <c r="AB265" s="406"/>
      <c r="AC265" s="406"/>
      <c r="AD265" s="406"/>
      <c r="AE265" s="406"/>
      <c r="AF265" s="406"/>
      <c r="AG265" s="406"/>
      <c r="AH265" s="406"/>
      <c r="AI265" s="406"/>
      <c r="AJ265" s="406"/>
      <c r="AK265" s="406"/>
      <c r="AL265" s="406"/>
      <c r="AM265" s="406"/>
      <c r="AN265" s="406"/>
      <c r="AO265" s="407"/>
      <c r="AP265" s="407"/>
    </row>
    <row r="266" spans="1:42">
      <c r="A266" s="402"/>
      <c r="B266" s="77"/>
      <c r="D266" s="131"/>
      <c r="E266" s="113">
        <f t="shared" si="3"/>
        <v>248</v>
      </c>
      <c r="F266" s="408">
        <f>skemA7!$E$21*COS(RADIANS(skemA7!$E$28*E266-skemA7!$E$22))</f>
        <v>20.10186519308396</v>
      </c>
      <c r="G266" s="408">
        <f>skemA7!$F$21*COS(RADIANS(skemA7!$F$28*E266-skemA7!$F$22))</f>
        <v>4.7116383509439821</v>
      </c>
      <c r="H266" s="408">
        <f>skemA7!$G$21*COS(RADIANS(skemA7!$G$28*E266-skemA7!$G$22))</f>
        <v>14.663398948045687</v>
      </c>
      <c r="I266" s="408">
        <f>skemA7!$H$21*COS(RADIANS(skemA7!$H$28*E266-skemA7!$H$22))</f>
        <v>32.668812551078943</v>
      </c>
      <c r="J266" s="408">
        <f>skemA7!$I$21*COS(RADIANS(skemA7!$I$28*E266-skemA7!$I$22))</f>
        <v>10.827303390276057</v>
      </c>
      <c r="K266" s="408">
        <f>skemA7!$J$21*COS(RADIANS(skemA7!$J$28*E266-skemA7!$J$22))</f>
        <v>1.0708875025065177</v>
      </c>
      <c r="L266" s="408">
        <f>skemA7!$K$21*COS(RADIANS(skemA7!$K$28*E266-skemA7!$K$22))</f>
        <v>0.17646415158924905</v>
      </c>
      <c r="M266" s="408">
        <f>skemA7!$L$21*COS(RADIANS(skemA7!$L$28*E266-skemA7!$L$22))</f>
        <v>3.3042351732367528</v>
      </c>
      <c r="N266" s="408">
        <f>skemA7!$M$21*COS(RADIANS(skemA7!$M$28*E266-skemA7!$M$22))</f>
        <v>8.4416605366378299</v>
      </c>
      <c r="O266" s="409">
        <f>skemA7!$D$21+'Forcasting Pasut'!F266+'Forcasting Pasut'!G266+K266+L266+'Forcasting Pasut'!H266+'Forcasting Pasut'!I266+'Forcasting Pasut'!J266+'Forcasting Pasut'!M266+'Forcasting Pasut'!N266</f>
        <v>262.13458476291623</v>
      </c>
      <c r="P266" s="405"/>
      <c r="Q266" s="406">
        <f>Y258</f>
        <v>224.10000000000002</v>
      </c>
      <c r="R266" s="406"/>
      <c r="S266" s="406"/>
      <c r="T266" s="406"/>
      <c r="U266" s="406"/>
      <c r="V266" s="406"/>
      <c r="W266" s="406"/>
      <c r="X266" s="406"/>
      <c r="Y266" s="406"/>
      <c r="Z266" s="406"/>
      <c r="AA266" s="406"/>
      <c r="AB266" s="406"/>
      <c r="AC266" s="406"/>
      <c r="AD266" s="406"/>
      <c r="AE266" s="406"/>
      <c r="AF266" s="406"/>
      <c r="AG266" s="406"/>
      <c r="AH266" s="406"/>
      <c r="AI266" s="406"/>
      <c r="AJ266" s="406"/>
      <c r="AK266" s="406"/>
      <c r="AL266" s="406"/>
      <c r="AM266" s="406"/>
      <c r="AN266" s="406"/>
      <c r="AO266" s="407"/>
      <c r="AP266" s="407"/>
    </row>
    <row r="267" spans="1:42">
      <c r="A267" s="402"/>
      <c r="B267" s="77"/>
      <c r="D267" s="131"/>
      <c r="E267" s="113">
        <f t="shared" si="3"/>
        <v>249</v>
      </c>
      <c r="F267" s="408">
        <f>skemA7!$E$21*COS(RADIANS(skemA7!$E$28*E267-skemA7!$E$22))</f>
        <v>13.04688667123977</v>
      </c>
      <c r="G267" s="408">
        <f>skemA7!$F$21*COS(RADIANS(skemA7!$F$28*E267-skemA7!$F$22))</f>
        <v>15.331308956068966</v>
      </c>
      <c r="H267" s="408">
        <f>skemA7!$G$21*COS(RADIANS(skemA7!$G$28*E267-skemA7!$G$22))</f>
        <v>8.2953127284979029</v>
      </c>
      <c r="I267" s="408">
        <f>skemA7!$H$21*COS(RADIANS(skemA7!$H$28*E267-skemA7!$H$22))</f>
        <v>35.321965063951069</v>
      </c>
      <c r="J267" s="408">
        <f>skemA7!$I$21*COS(RADIANS(skemA7!$I$28*E267-skemA7!$I$22))</f>
        <v>16.598123426985595</v>
      </c>
      <c r="K267" s="408">
        <f>skemA7!$J$21*COS(RADIANS(skemA7!$J$28*E267-skemA7!$J$22))</f>
        <v>-0.63873421380746309</v>
      </c>
      <c r="L267" s="408">
        <f>skemA7!$K$21*COS(RADIANS(skemA7!$K$28*E267-skemA7!$K$22))</f>
        <v>2.9203622744117799</v>
      </c>
      <c r="M267" s="408">
        <f>skemA7!$L$21*COS(RADIANS(skemA7!$L$28*E267-skemA7!$L$22))</f>
        <v>5.4930492454627888</v>
      </c>
      <c r="N267" s="408">
        <f>skemA7!$M$21*COS(RADIANS(skemA7!$M$28*E267-skemA7!$M$22))</f>
        <v>10.283744221714969</v>
      </c>
      <c r="O267" s="409">
        <f>skemA7!$D$21+'Forcasting Pasut'!F267+'Forcasting Pasut'!G267+K267+L267+'Forcasting Pasut'!H267+'Forcasting Pasut'!I267+'Forcasting Pasut'!J267+'Forcasting Pasut'!M267+'Forcasting Pasut'!N267</f>
        <v>272.82033734004261</v>
      </c>
      <c r="P267" s="405"/>
      <c r="Q267" s="406">
        <f>Z258</f>
        <v>230.29999999999998</v>
      </c>
      <c r="R267" s="406"/>
      <c r="S267" s="406"/>
      <c r="T267" s="406"/>
      <c r="U267" s="406"/>
      <c r="V267" s="406"/>
      <c r="W267" s="406"/>
      <c r="X267" s="406"/>
      <c r="Y267" s="406"/>
      <c r="Z267" s="406"/>
      <c r="AA267" s="406"/>
      <c r="AB267" s="406"/>
      <c r="AC267" s="406"/>
      <c r="AD267" s="406"/>
      <c r="AE267" s="406"/>
      <c r="AF267" s="406"/>
      <c r="AG267" s="406"/>
      <c r="AH267" s="406"/>
      <c r="AI267" s="406"/>
      <c r="AJ267" s="406"/>
      <c r="AK267" s="406"/>
      <c r="AL267" s="406"/>
      <c r="AM267" s="406"/>
      <c r="AN267" s="406"/>
      <c r="AO267" s="407"/>
      <c r="AP267" s="407"/>
    </row>
    <row r="268" spans="1:42">
      <c r="A268" s="402"/>
      <c r="B268" s="77"/>
      <c r="D268" s="131"/>
      <c r="E268" s="113">
        <f t="shared" si="3"/>
        <v>250</v>
      </c>
      <c r="F268" s="408">
        <f>skemA7!$E$21*COS(RADIANS(skemA7!$E$28*E268-skemA7!$E$22))</f>
        <v>2.7237950054530637</v>
      </c>
      <c r="G268" s="408">
        <f>skemA7!$F$21*COS(RADIANS(skemA7!$F$28*E268-skemA7!$F$22))</f>
        <v>21.842967707503085</v>
      </c>
      <c r="H268" s="408">
        <f>skemA7!$G$21*COS(RADIANS(skemA7!$G$28*E268-skemA7!$G$22))</f>
        <v>-7.4991387446687999E-2</v>
      </c>
      <c r="I268" s="408">
        <f>skemA7!$H$21*COS(RADIANS(skemA7!$H$28*E268-skemA7!$H$22))</f>
        <v>35.554882808298949</v>
      </c>
      <c r="J268" s="408">
        <f>skemA7!$I$21*COS(RADIANS(skemA7!$I$28*E268-skemA7!$I$22))</f>
        <v>21.390846560825409</v>
      </c>
      <c r="K268" s="408">
        <f>skemA7!$J$21*COS(RADIANS(skemA7!$J$28*E268-skemA7!$J$22))</f>
        <v>-1.7484475855267014</v>
      </c>
      <c r="L268" s="408">
        <f>skemA7!$K$21*COS(RADIANS(skemA7!$K$28*E268-skemA7!$K$22))</f>
        <v>2.8331293312332417</v>
      </c>
      <c r="M268" s="408">
        <f>skemA7!$L$21*COS(RADIANS(skemA7!$L$28*E268-skemA7!$L$22))</f>
        <v>6.2021339800931639</v>
      </c>
      <c r="N268" s="408">
        <f>skemA7!$M$21*COS(RADIANS(skemA7!$M$28*E268-skemA7!$M$22))</f>
        <v>11.428811889305818</v>
      </c>
      <c r="O268" s="409">
        <f>skemA7!$D$21+'Forcasting Pasut'!F268+'Forcasting Pasut'!G268+K268+L268+'Forcasting Pasut'!H268+'Forcasting Pasut'!I268+'Forcasting Pasut'!J268+'Forcasting Pasut'!M268+'Forcasting Pasut'!N268</f>
        <v>266.32144727525656</v>
      </c>
      <c r="P268" s="405"/>
      <c r="Q268" s="406">
        <f>AA258</f>
        <v>224.7</v>
      </c>
      <c r="R268" s="406"/>
      <c r="S268" s="406"/>
      <c r="T268" s="406"/>
      <c r="U268" s="406"/>
      <c r="V268" s="406"/>
      <c r="W268" s="406"/>
      <c r="X268" s="406"/>
      <c r="Y268" s="406"/>
      <c r="Z268" s="406"/>
      <c r="AA268" s="406"/>
      <c r="AB268" s="406"/>
      <c r="AC268" s="406"/>
      <c r="AD268" s="406"/>
      <c r="AE268" s="406"/>
      <c r="AF268" s="406"/>
      <c r="AG268" s="406"/>
      <c r="AH268" s="406"/>
      <c r="AI268" s="406"/>
      <c r="AJ268" s="406"/>
      <c r="AK268" s="406"/>
      <c r="AL268" s="406"/>
      <c r="AM268" s="406"/>
      <c r="AN268" s="406"/>
      <c r="AO268" s="407"/>
      <c r="AP268" s="407"/>
    </row>
    <row r="269" spans="1:42">
      <c r="A269" s="402"/>
      <c r="B269" s="77"/>
      <c r="D269" s="131"/>
      <c r="E269" s="113">
        <f t="shared" si="3"/>
        <v>251</v>
      </c>
      <c r="F269" s="408">
        <f>skemA7!$E$21*COS(RADIANS(skemA7!$E$28*E269-skemA7!$E$22))</f>
        <v>-8.2815797584426285</v>
      </c>
      <c r="G269" s="408">
        <f>skemA7!$F$21*COS(RADIANS(skemA7!$F$28*E269-skemA7!$F$22))</f>
        <v>22.501820901412838</v>
      </c>
      <c r="H269" s="408">
        <f>skemA7!$G$21*COS(RADIANS(skemA7!$G$28*E269-skemA7!$G$22))</f>
        <v>-8.4271950287092867</v>
      </c>
      <c r="I269" s="408">
        <f>skemA7!$H$21*COS(RADIANS(skemA7!$H$28*E269-skemA7!$H$22))</f>
        <v>33.351606433558253</v>
      </c>
      <c r="J269" s="408">
        <f>skemA7!$I$21*COS(RADIANS(skemA7!$I$28*E269-skemA7!$I$22))</f>
        <v>24.923046427504776</v>
      </c>
      <c r="K269" s="408">
        <f>skemA7!$J$21*COS(RADIANS(skemA7!$J$28*E269-skemA7!$J$22))</f>
        <v>-1.2159938805968591</v>
      </c>
      <c r="L269" s="408">
        <f>skemA7!$K$21*COS(RADIANS(skemA7!$K$28*E269-skemA7!$K$22))</f>
        <v>-6.6712357986037992E-4</v>
      </c>
      <c r="M269" s="408">
        <f>skemA7!$L$21*COS(RADIANS(skemA7!$L$28*E269-skemA7!$L$22))</f>
        <v>5.2404746168760061</v>
      </c>
      <c r="N269" s="408">
        <f>skemA7!$M$21*COS(RADIANS(skemA7!$M$28*E269-skemA7!$M$22))</f>
        <v>11.799252652926851</v>
      </c>
      <c r="O269" s="409">
        <f>skemA7!$D$21+'Forcasting Pasut'!F269+'Forcasting Pasut'!G269+K269+L269+'Forcasting Pasut'!H269+'Forcasting Pasut'!I269+'Forcasting Pasut'!J269+'Forcasting Pasut'!M269+'Forcasting Pasut'!N269</f>
        <v>246.0590842064673</v>
      </c>
      <c r="P269" s="405"/>
      <c r="Q269" s="406">
        <f>AB258</f>
        <v>212.4</v>
      </c>
      <c r="R269" s="406"/>
      <c r="S269" s="406"/>
      <c r="T269" s="406"/>
      <c r="U269" s="406"/>
      <c r="V269" s="406"/>
      <c r="W269" s="406"/>
      <c r="X269" s="406"/>
      <c r="Y269" s="406"/>
      <c r="Z269" s="406"/>
      <c r="AA269" s="406"/>
      <c r="AB269" s="406"/>
      <c r="AC269" s="406"/>
      <c r="AD269" s="406"/>
      <c r="AE269" s="406"/>
      <c r="AF269" s="406"/>
      <c r="AG269" s="406"/>
      <c r="AH269" s="406"/>
      <c r="AI269" s="406"/>
      <c r="AJ269" s="406"/>
      <c r="AK269" s="406"/>
      <c r="AL269" s="406"/>
      <c r="AM269" s="406"/>
      <c r="AN269" s="406"/>
      <c r="AO269" s="407"/>
      <c r="AP269" s="407"/>
    </row>
    <row r="270" spans="1:42">
      <c r="A270" s="402"/>
      <c r="B270" s="77"/>
      <c r="D270" s="131"/>
      <c r="E270" s="113">
        <f t="shared" si="3"/>
        <v>252</v>
      </c>
      <c r="F270" s="408">
        <f>skemA7!$E$21*COS(RADIANS(skemA7!$E$28*E270-skemA7!$E$22))</f>
        <v>-17.212502559722676</v>
      </c>
      <c r="G270" s="408">
        <f>skemA7!$F$21*COS(RADIANS(skemA7!$F$28*E270-skemA7!$F$22))</f>
        <v>17.131329356559199</v>
      </c>
      <c r="H270" s="408">
        <f>skemA7!$G$21*COS(RADIANS(skemA7!$G$28*E270-skemA7!$G$22))</f>
        <v>-14.745348688354671</v>
      </c>
      <c r="I270" s="408">
        <f>skemA7!$H$21*COS(RADIANS(skemA7!$H$28*E270-skemA7!$H$22))</f>
        <v>28.863102797806118</v>
      </c>
      <c r="J270" s="408">
        <f>skemA7!$I$21*COS(RADIANS(skemA7!$I$28*E270-skemA7!$I$22))</f>
        <v>26.98657698177248</v>
      </c>
      <c r="K270" s="408">
        <f>skemA7!$J$21*COS(RADIANS(skemA7!$J$28*E270-skemA7!$J$22))</f>
        <v>0.45853873630764469</v>
      </c>
      <c r="L270" s="408">
        <f>skemA7!$K$21*COS(RADIANS(skemA7!$K$28*E270-skemA7!$K$22))</f>
        <v>-2.8338168386688496</v>
      </c>
      <c r="M270" s="408">
        <f>skemA7!$L$21*COS(RADIANS(skemA7!$L$28*E270-skemA7!$L$22))</f>
        <v>2.8671250089515139</v>
      </c>
      <c r="N270" s="408">
        <f>skemA7!$M$21*COS(RADIANS(skemA7!$M$28*E270-skemA7!$M$22))</f>
        <v>11.369958619946093</v>
      </c>
      <c r="O270" s="409">
        <f>skemA7!$D$21+'Forcasting Pasut'!F270+'Forcasting Pasut'!G270+K270+L270+'Forcasting Pasut'!H270+'Forcasting Pasut'!I270+'Forcasting Pasut'!J270+'Forcasting Pasut'!M270+'Forcasting Pasut'!N270</f>
        <v>219.0532823801141</v>
      </c>
      <c r="P270" s="405"/>
      <c r="Q270" s="406">
        <f>AC258</f>
        <v>198.6</v>
      </c>
      <c r="R270" s="406"/>
      <c r="S270" s="406"/>
      <c r="T270" s="406"/>
      <c r="U270" s="406"/>
      <c r="V270" s="406"/>
      <c r="W270" s="406"/>
      <c r="X270" s="406"/>
      <c r="Y270" s="406"/>
      <c r="Z270" s="406"/>
      <c r="AA270" s="406"/>
      <c r="AB270" s="406"/>
      <c r="AC270" s="406"/>
      <c r="AD270" s="406"/>
      <c r="AE270" s="406"/>
      <c r="AF270" s="406"/>
      <c r="AG270" s="406"/>
      <c r="AH270" s="406"/>
      <c r="AI270" s="406"/>
      <c r="AJ270" s="406"/>
      <c r="AK270" s="406"/>
      <c r="AL270" s="406"/>
      <c r="AM270" s="406"/>
      <c r="AN270" s="406"/>
      <c r="AO270" s="407"/>
      <c r="AP270" s="407"/>
    </row>
    <row r="271" spans="1:42">
      <c r="A271" s="402"/>
      <c r="B271" s="77"/>
      <c r="D271" s="131"/>
      <c r="E271" s="113">
        <f t="shared" si="3"/>
        <v>253</v>
      </c>
      <c r="F271" s="408">
        <f>skemA7!$E$21*COS(RADIANS(skemA7!$E$28*E271-skemA7!$E$22))</f>
        <v>-21.831867571543164</v>
      </c>
      <c r="G271" s="408">
        <f>skemA7!$F$21*COS(RADIANS(skemA7!$F$28*E271-skemA7!$F$22))</f>
        <v>7.1705119453438879</v>
      </c>
      <c r="H271" s="408">
        <f>skemA7!$G$21*COS(RADIANS(skemA7!$G$28*E271-skemA7!$G$22))</f>
        <v>-17.504456173525416</v>
      </c>
      <c r="I271" s="408">
        <f>skemA7!$H$21*COS(RADIANS(skemA7!$H$28*E271-skemA7!$H$22))</f>
        <v>22.396920830957033</v>
      </c>
      <c r="J271" s="408">
        <f>skemA7!$I$21*COS(RADIANS(skemA7!$I$28*E271-skemA7!$I$22))</f>
        <v>27.459838161248967</v>
      </c>
      <c r="K271" s="408">
        <f>skemA7!$J$21*COS(RADIANS(skemA7!$J$28*E271-skemA7!$J$22))</f>
        <v>1.7024051883434035</v>
      </c>
      <c r="L271" s="408">
        <f>skemA7!$K$21*COS(RADIANS(skemA7!$K$28*E271-skemA7!$K$22))</f>
        <v>-2.919736541368767</v>
      </c>
      <c r="M271" s="408">
        <f>skemA7!$L$21*COS(RADIANS(skemA7!$L$28*E271-skemA7!$L$22))</f>
        <v>-0.27857685738466126</v>
      </c>
      <c r="N271" s="408">
        <f>skemA7!$M$21*COS(RADIANS(skemA7!$M$28*E271-skemA7!$M$22))</f>
        <v>10.170026665076481</v>
      </c>
      <c r="O271" s="409">
        <f>skemA7!$D$21+'Forcasting Pasut'!F271+'Forcasting Pasut'!G271+K271+L271+'Forcasting Pasut'!H271+'Forcasting Pasut'!I271+'Forcasting Pasut'!J271+'Forcasting Pasut'!M271+'Forcasting Pasut'!N271</f>
        <v>192.533384612665</v>
      </c>
      <c r="P271" s="405"/>
      <c r="Q271" s="406">
        <f>AD258</f>
        <v>180.8</v>
      </c>
      <c r="R271" s="406"/>
      <c r="S271" s="406"/>
      <c r="T271" s="406"/>
      <c r="U271" s="406"/>
      <c r="V271" s="406"/>
      <c r="W271" s="406"/>
      <c r="X271" s="406"/>
      <c r="Y271" s="406"/>
      <c r="Z271" s="406"/>
      <c r="AA271" s="406"/>
      <c r="AB271" s="406"/>
      <c r="AC271" s="406"/>
      <c r="AD271" s="406"/>
      <c r="AE271" s="406"/>
      <c r="AF271" s="406"/>
      <c r="AG271" s="406"/>
      <c r="AH271" s="406"/>
      <c r="AI271" s="406"/>
      <c r="AJ271" s="406"/>
      <c r="AK271" s="406"/>
      <c r="AL271" s="406"/>
      <c r="AM271" s="406"/>
      <c r="AN271" s="406"/>
      <c r="AO271" s="407"/>
      <c r="AP271" s="407"/>
    </row>
    <row r="272" spans="1:42">
      <c r="A272" s="402"/>
      <c r="B272" s="77"/>
      <c r="D272" s="131"/>
      <c r="E272" s="113">
        <f t="shared" si="3"/>
        <v>254</v>
      </c>
      <c r="F272" s="408">
        <f>skemA7!$E$21*COS(RADIANS(skemA7!$E$28*E272-skemA7!$E$22))</f>
        <v>-20.98257058259248</v>
      </c>
      <c r="G272" s="408">
        <f>skemA7!$F$21*COS(RADIANS(skemA7!$F$28*E272-skemA7!$F$22))</f>
        <v>-4.7116383509440594</v>
      </c>
      <c r="H272" s="408">
        <f>skemA7!$G$21*COS(RADIANS(skemA7!$G$28*E272-skemA7!$G$22))</f>
        <v>-16.038558940438531</v>
      </c>
      <c r="I272" s="408">
        <f>skemA7!$H$21*COS(RADIANS(skemA7!$H$28*E272-skemA7!$H$22))</f>
        <v>14.396118510884831</v>
      </c>
      <c r="J272" s="408">
        <f>skemA7!$I$21*COS(RADIANS(skemA7!$I$28*E272-skemA7!$I$22))</f>
        <v>26.314941554576691</v>
      </c>
      <c r="K272" s="408">
        <f>skemA7!$J$21*COS(RADIANS(skemA7!$J$28*E272-skemA7!$J$22))</f>
        <v>1.3473482442443252</v>
      </c>
      <c r="L272" s="408">
        <f>skemA7!$K$21*COS(RADIANS(skemA7!$K$28*E272-skemA7!$K$22))</f>
        <v>-0.17513179193606332</v>
      </c>
      <c r="M272" s="408">
        <f>skemA7!$L$21*COS(RADIANS(skemA7!$L$28*E272-skemA7!$L$22))</f>
        <v>-3.3492350949044067</v>
      </c>
      <c r="N272" s="408">
        <f>skemA7!$M$21*COS(RADIANS(skemA7!$M$28*E272-skemA7!$M$22))</f>
        <v>8.2807862899475566</v>
      </c>
      <c r="O272" s="409">
        <f>skemA7!$D$21+'Forcasting Pasut'!F272+'Forcasting Pasut'!G272+K272+L272+'Forcasting Pasut'!H272+'Forcasting Pasut'!I272+'Forcasting Pasut'!J272+'Forcasting Pasut'!M272+'Forcasting Pasut'!N272</f>
        <v>171.25037880435508</v>
      </c>
      <c r="P272" s="405"/>
      <c r="Q272" s="406">
        <f>AE258</f>
        <v>162.9</v>
      </c>
      <c r="R272" s="406"/>
      <c r="S272" s="406"/>
      <c r="T272" s="406"/>
      <c r="U272" s="406"/>
      <c r="V272" s="406"/>
      <c r="W272" s="406"/>
      <c r="X272" s="406"/>
      <c r="Y272" s="406"/>
      <c r="Z272" s="406"/>
      <c r="AA272" s="406"/>
      <c r="AB272" s="406"/>
      <c r="AC272" s="406"/>
      <c r="AD272" s="406"/>
      <c r="AE272" s="406"/>
      <c r="AF272" s="406"/>
      <c r="AG272" s="406"/>
      <c r="AH272" s="406"/>
      <c r="AI272" s="406"/>
      <c r="AJ272" s="406"/>
      <c r="AK272" s="406"/>
      <c r="AL272" s="406"/>
      <c r="AM272" s="406"/>
      <c r="AN272" s="406"/>
      <c r="AO272" s="407"/>
      <c r="AP272" s="407"/>
    </row>
    <row r="273" spans="1:42">
      <c r="A273" s="402"/>
      <c r="B273" s="77"/>
      <c r="D273" s="131"/>
      <c r="E273" s="113">
        <f t="shared" si="3"/>
        <v>255</v>
      </c>
      <c r="F273" s="408">
        <f>skemA7!$E$21*COS(RADIANS(skemA7!$E$28*E273-skemA7!$E$22))</f>
        <v>-14.877351898097599</v>
      </c>
      <c r="G273" s="408">
        <f>skemA7!$F$21*COS(RADIANS(skemA7!$F$28*E273-skemA7!$F$22))</f>
        <v>-15.331308956068781</v>
      </c>
      <c r="H273" s="408">
        <f>skemA7!$G$21*COS(RADIANS(skemA7!$G$28*E273-skemA7!$G$22))</f>
        <v>-10.701476763034796</v>
      </c>
      <c r="I273" s="408">
        <f>skemA7!$H$21*COS(RADIANS(skemA7!$H$28*E273-skemA7!$H$22))</f>
        <v>5.4089048603914316</v>
      </c>
      <c r="J273" s="408">
        <f>skemA7!$I$21*COS(RADIANS(skemA7!$I$28*E273-skemA7!$I$22))</f>
        <v>23.619353814237133</v>
      </c>
      <c r="K273" s="408">
        <f>skemA7!$J$21*COS(RADIANS(skemA7!$J$28*E273-skemA7!$J$22))</f>
        <v>-0.27315751616138439</v>
      </c>
      <c r="L273" s="408">
        <f>skemA7!$K$21*COS(RADIANS(skemA7!$K$28*E273-skemA7!$K$22))</f>
        <v>2.7392536251690029</v>
      </c>
      <c r="M273" s="408">
        <f>skemA7!$L$21*COS(RADIANS(skemA7!$L$28*E273-skemA7!$L$22))</f>
        <v>-5.5176692293853717</v>
      </c>
      <c r="N273" s="408">
        <f>skemA7!$M$21*COS(RADIANS(skemA7!$M$28*E273-skemA7!$M$22))</f>
        <v>5.8302872373334154</v>
      </c>
      <c r="O273" s="409">
        <f>skemA7!$D$21+'Forcasting Pasut'!F273+'Forcasting Pasut'!G273+K273+L273+'Forcasting Pasut'!H273+'Forcasting Pasut'!I273+'Forcasting Pasut'!J273+'Forcasting Pasut'!M273+'Forcasting Pasut'!N273</f>
        <v>157.0651541399003</v>
      </c>
      <c r="P273" s="405"/>
      <c r="Q273" s="406">
        <f>AF258</f>
        <v>153.5</v>
      </c>
      <c r="R273" s="406"/>
      <c r="S273" s="406"/>
      <c r="T273" s="406"/>
      <c r="U273" s="406"/>
      <c r="V273" s="406"/>
      <c r="W273" s="406"/>
      <c r="X273" s="406"/>
      <c r="Y273" s="406"/>
      <c r="Z273" s="406"/>
      <c r="AA273" s="406"/>
      <c r="AB273" s="406"/>
      <c r="AC273" s="406"/>
      <c r="AD273" s="406"/>
      <c r="AE273" s="406"/>
      <c r="AF273" s="406"/>
      <c r="AG273" s="406"/>
      <c r="AH273" s="406"/>
      <c r="AI273" s="406"/>
      <c r="AJ273" s="406"/>
      <c r="AK273" s="406"/>
      <c r="AL273" s="406"/>
      <c r="AM273" s="406"/>
      <c r="AN273" s="406"/>
      <c r="AO273" s="407"/>
      <c r="AP273" s="407"/>
    </row>
    <row r="274" spans="1:42">
      <c r="A274" s="402"/>
      <c r="B274" s="77"/>
      <c r="D274" s="131"/>
      <c r="E274" s="113">
        <f t="shared" si="3"/>
        <v>256</v>
      </c>
      <c r="F274" s="408">
        <f>skemA7!$E$21*COS(RADIANS(skemA7!$E$28*E274-skemA7!$E$22))</f>
        <v>-5.0455070451992254</v>
      </c>
      <c r="G274" s="408">
        <f>skemA7!$F$21*COS(RADIANS(skemA7!$F$28*E274-skemA7!$F$22))</f>
        <v>-21.84296770750321</v>
      </c>
      <c r="H274" s="408">
        <f>skemA7!$G$21*COS(RADIANS(skemA7!$G$28*E274-skemA7!$G$22))</f>
        <v>-2.7814071812853456</v>
      </c>
      <c r="I274" s="408">
        <f>skemA7!$H$21*COS(RADIANS(skemA7!$H$28*E274-skemA7!$H$22))</f>
        <v>-3.9489229271998063</v>
      </c>
      <c r="J274" s="408">
        <f>skemA7!$I$21*COS(RADIANS(skemA7!$I$28*E274-skemA7!$I$22))</f>
        <v>19.531920970737097</v>
      </c>
      <c r="K274" s="408">
        <f>skemA7!$J$21*COS(RADIANS(skemA7!$J$28*E274-skemA7!$J$22))</f>
        <v>-1.6371098153752375</v>
      </c>
      <c r="L274" s="408">
        <f>skemA7!$K$21*COS(RADIANS(skemA7!$K$28*E274-skemA7!$K$22))</f>
        <v>2.9980828793200276</v>
      </c>
      <c r="M274" s="408">
        <f>skemA7!$L$21*COS(RADIANS(skemA7!$L$28*E274-skemA7!$L$22))</f>
        <v>-6.1997418424191562</v>
      </c>
      <c r="N274" s="408">
        <f>skemA7!$M$21*COS(RADIANS(skemA7!$M$28*E274-skemA7!$M$22))</f>
        <v>2.9846204808800172</v>
      </c>
      <c r="O274" s="409">
        <f>skemA7!$D$21+'Forcasting Pasut'!F274+'Forcasting Pasut'!G274+K274+L274+'Forcasting Pasut'!H274+'Forcasting Pasut'!I274+'Forcasting Pasut'!J274+'Forcasting Pasut'!M274+'Forcasting Pasut'!N274</f>
        <v>150.22728677747241</v>
      </c>
      <c r="P274" s="405"/>
      <c r="Q274" s="406">
        <f>AG258</f>
        <v>150.19999999999999</v>
      </c>
      <c r="R274" s="406"/>
      <c r="S274" s="406"/>
      <c r="T274" s="406"/>
      <c r="U274" s="406"/>
      <c r="V274" s="406"/>
      <c r="W274" s="406"/>
      <c r="X274" s="406"/>
      <c r="Y274" s="406"/>
      <c r="Z274" s="406"/>
      <c r="AA274" s="406"/>
      <c r="AB274" s="406"/>
      <c r="AC274" s="406"/>
      <c r="AD274" s="406"/>
      <c r="AE274" s="406"/>
      <c r="AF274" s="406"/>
      <c r="AG274" s="406"/>
      <c r="AH274" s="406"/>
      <c r="AI274" s="406"/>
      <c r="AJ274" s="406"/>
      <c r="AK274" s="406"/>
      <c r="AL274" s="406"/>
      <c r="AM274" s="406"/>
      <c r="AN274" s="406"/>
      <c r="AO274" s="407"/>
      <c r="AP274" s="407"/>
    </row>
    <row r="275" spans="1:42">
      <c r="A275" s="402"/>
      <c r="B275" s="77"/>
      <c r="D275" s="131"/>
      <c r="E275" s="113">
        <f t="shared" si="3"/>
        <v>257</v>
      </c>
      <c r="F275" s="408">
        <f>skemA7!$E$21*COS(RADIANS(skemA7!$E$28*E275-skemA7!$E$22))</f>
        <v>6.0501862880128705</v>
      </c>
      <c r="G275" s="408">
        <f>skemA7!$F$21*COS(RADIANS(skemA7!$F$28*E275-skemA7!$F$22))</f>
        <v>-22.501820901412824</v>
      </c>
      <c r="H275" s="408">
        <f>skemA7!$G$21*COS(RADIANS(skemA7!$G$28*E275-skemA7!$G$22))</f>
        <v>5.8100033634645216</v>
      </c>
      <c r="I275" s="408">
        <f>skemA7!$H$21*COS(RADIANS(skemA7!$H$28*E275-skemA7!$H$22))</f>
        <v>-13.036173453607294</v>
      </c>
      <c r="J275" s="408">
        <f>skemA7!$I$21*COS(RADIANS(skemA7!$I$28*E275-skemA7!$I$22))</f>
        <v>14.293507928022201</v>
      </c>
      <c r="K275" s="408">
        <f>skemA7!$J$21*COS(RADIANS(skemA7!$J$28*E275-skemA7!$J$22))</f>
        <v>-1.4634650702610541</v>
      </c>
      <c r="L275" s="408">
        <f>skemA7!$K$21*COS(RADIANS(skemA7!$K$28*E275-skemA7!$K$22))</f>
        <v>0.35043520337881084</v>
      </c>
      <c r="M275" s="408">
        <f>skemA7!$L$21*COS(RADIANS(skemA7!$L$28*E275-skemA7!$L$22))</f>
        <v>-5.2117147567610642</v>
      </c>
      <c r="N275" s="408">
        <f>skemA7!$M$21*COS(RADIANS(skemA7!$M$28*E275-skemA7!$M$22))</f>
        <v>-6.3339159997618175E-2</v>
      </c>
      <c r="O275" s="409">
        <f>skemA7!$D$21+'Forcasting Pasut'!F275+'Forcasting Pasut'!G275+K275+L275+'Forcasting Pasut'!H275+'Forcasting Pasut'!I275+'Forcasting Pasut'!J275+'Forcasting Pasut'!M275+'Forcasting Pasut'!N275</f>
        <v>150.39593840635578</v>
      </c>
      <c r="P275" s="405"/>
      <c r="Q275" s="406">
        <f>AH258</f>
        <v>151.10000000000002</v>
      </c>
      <c r="R275" s="406"/>
      <c r="S275" s="406"/>
      <c r="T275" s="406"/>
      <c r="U275" s="406"/>
      <c r="V275" s="406"/>
      <c r="W275" s="406"/>
      <c r="X275" s="406"/>
      <c r="Y275" s="406"/>
      <c r="Z275" s="406"/>
      <c r="AA275" s="406"/>
      <c r="AB275" s="406"/>
      <c r="AC275" s="406"/>
      <c r="AD275" s="406"/>
      <c r="AE275" s="406"/>
      <c r="AF275" s="406"/>
      <c r="AG275" s="406"/>
      <c r="AH275" s="406"/>
      <c r="AI275" s="406"/>
      <c r="AJ275" s="406"/>
      <c r="AK275" s="406"/>
      <c r="AL275" s="406"/>
      <c r="AM275" s="406"/>
      <c r="AN275" s="406"/>
      <c r="AO275" s="407"/>
      <c r="AP275" s="407"/>
    </row>
    <row r="276" spans="1:42">
      <c r="A276" s="402"/>
      <c r="B276" s="77"/>
      <c r="D276" s="131"/>
      <c r="E276" s="113">
        <f t="shared" ref="E276:E339" si="4">E275+1</f>
        <v>258</v>
      </c>
      <c r="F276" s="408">
        <f>skemA7!$E$21*COS(RADIANS(skemA7!$E$28*E276-skemA7!$E$22))</f>
        <v>15.630369152758425</v>
      </c>
      <c r="G276" s="408">
        <f>skemA7!$F$21*COS(RADIANS(skemA7!$F$28*E276-skemA7!$F$22))</f>
        <v>-17.131329356559366</v>
      </c>
      <c r="H276" s="408">
        <f>skemA7!$G$21*COS(RADIANS(skemA7!$G$28*E276-skemA7!$G$22))</f>
        <v>12.999068620797987</v>
      </c>
      <c r="I276" s="408">
        <f>skemA7!$H$21*COS(RADIANS(skemA7!$H$28*E276-skemA7!$H$22))</f>
        <v>-21.230195073190764</v>
      </c>
      <c r="J276" s="408">
        <f>skemA7!$I$21*COS(RADIANS(skemA7!$I$28*E276-skemA7!$I$22))</f>
        <v>8.2128047374457047</v>
      </c>
      <c r="K276" s="408">
        <f>skemA7!$J$21*COS(RADIANS(skemA7!$J$28*E276-skemA7!$J$22))</f>
        <v>8.4687081367448083E-2</v>
      </c>
      <c r="L276" s="408">
        <f>skemA7!$K$21*COS(RADIANS(skemA7!$K$28*E276-skemA7!$K$22))</f>
        <v>-2.6369401836066713</v>
      </c>
      <c r="M276" s="408">
        <f>skemA7!$L$21*COS(RADIANS(skemA7!$L$28*E276-skemA7!$L$22))</f>
        <v>-2.8197448189377377</v>
      </c>
      <c r="N276" s="408">
        <f>skemA7!$M$21*COS(RADIANS(skemA7!$M$28*E276-skemA7!$M$22))</f>
        <v>-3.1070057721788009</v>
      </c>
      <c r="O276" s="409">
        <f>skemA7!$D$21+'Forcasting Pasut'!F276+'Forcasting Pasut'!G276+K276+L276+'Forcasting Pasut'!H276+'Forcasting Pasut'!I276+'Forcasting Pasut'!J276+'Forcasting Pasut'!M276+'Forcasting Pasut'!N276</f>
        <v>156.17003335341343</v>
      </c>
      <c r="P276" s="405"/>
      <c r="Q276" s="406">
        <f>AI258</f>
        <v>159.5</v>
      </c>
      <c r="R276" s="406"/>
      <c r="S276" s="406"/>
      <c r="T276" s="406"/>
      <c r="U276" s="406"/>
      <c r="V276" s="406"/>
      <c r="W276" s="406"/>
      <c r="X276" s="406"/>
      <c r="Y276" s="406"/>
      <c r="Z276" s="406"/>
      <c r="AA276" s="406"/>
      <c r="AB276" s="406"/>
      <c r="AC276" s="406"/>
      <c r="AD276" s="406"/>
      <c r="AE276" s="406"/>
      <c r="AF276" s="406"/>
      <c r="AG276" s="406"/>
      <c r="AH276" s="406"/>
      <c r="AI276" s="406"/>
      <c r="AJ276" s="406"/>
      <c r="AK276" s="406"/>
      <c r="AL276" s="406"/>
      <c r="AM276" s="406"/>
      <c r="AN276" s="406"/>
      <c r="AO276" s="407"/>
      <c r="AP276" s="407"/>
    </row>
    <row r="277" spans="1:42">
      <c r="A277" s="402"/>
      <c r="B277" s="77"/>
      <c r="D277" s="131"/>
      <c r="E277" s="113">
        <f t="shared" si="4"/>
        <v>259</v>
      </c>
      <c r="F277" s="408">
        <f>skemA7!$E$21*COS(RADIANS(skemA7!$E$28*E277-skemA7!$E$22))</f>
        <v>21.295302643459312</v>
      </c>
      <c r="G277" s="408">
        <f>skemA7!$F$21*COS(RADIANS(skemA7!$F$28*E277-skemA7!$F$22))</f>
        <v>-7.1705119453438124</v>
      </c>
      <c r="H277" s="408">
        <f>skemA7!$G$21*COS(RADIANS(skemA7!$G$28*E277-skemA7!$G$22))</f>
        <v>17.050582747643119</v>
      </c>
      <c r="I277" s="408">
        <f>skemA7!$H$21*COS(RADIANS(skemA7!$H$28*E277-skemA7!$H$22))</f>
        <v>-27.969539520491846</v>
      </c>
      <c r="J277" s="408">
        <f>skemA7!$I$21*COS(RADIANS(skemA7!$I$28*E277-skemA7!$I$22))</f>
        <v>1.6481360604744035</v>
      </c>
      <c r="K277" s="408">
        <f>skemA7!$J$21*COS(RADIANS(skemA7!$J$28*E277-skemA7!$J$22))</f>
        <v>1.5532999102331859</v>
      </c>
      <c r="L277" s="408">
        <f>skemA7!$K$21*COS(RADIANS(skemA7!$K$28*E277-skemA7!$K$22))</f>
        <v>-3.0679466781406055</v>
      </c>
      <c r="M277" s="408">
        <f>skemA7!$L$21*COS(RADIANS(skemA7!$L$28*E277-skemA7!$L$22))</f>
        <v>0.33181400051862703</v>
      </c>
      <c r="N277" s="408">
        <f>skemA7!$M$21*COS(RADIANS(skemA7!$M$28*E277-skemA7!$M$22))</f>
        <v>-5.9400844172789036</v>
      </c>
      <c r="O277" s="409">
        <f>skemA7!$D$21+'Forcasting Pasut'!F277+'Forcasting Pasut'!G277+K277+L277+'Forcasting Pasut'!H277+'Forcasting Pasut'!I277+'Forcasting Pasut'!J277+'Forcasting Pasut'!M277+'Forcasting Pasut'!N277</f>
        <v>163.89937176659072</v>
      </c>
      <c r="P277" s="405"/>
      <c r="Q277" s="406">
        <f>AJ258</f>
        <v>172.4</v>
      </c>
      <c r="R277" s="406"/>
      <c r="S277" s="406"/>
      <c r="T277" s="406"/>
      <c r="U277" s="406"/>
      <c r="V277" s="406"/>
      <c r="W277" s="406"/>
      <c r="X277" s="406"/>
      <c r="Y277" s="406"/>
      <c r="Z277" s="406"/>
      <c r="AA277" s="406"/>
      <c r="AB277" s="406"/>
      <c r="AC277" s="406"/>
      <c r="AD277" s="406"/>
      <c r="AE277" s="406"/>
      <c r="AF277" s="406"/>
      <c r="AG277" s="406"/>
      <c r="AH277" s="406"/>
      <c r="AI277" s="406"/>
      <c r="AJ277" s="406"/>
      <c r="AK277" s="406"/>
      <c r="AL277" s="406"/>
      <c r="AM277" s="406"/>
      <c r="AN277" s="406"/>
      <c r="AO277" s="407"/>
      <c r="AP277" s="407"/>
    </row>
    <row r="278" spans="1:42">
      <c r="A278" s="402"/>
      <c r="B278" s="77"/>
      <c r="D278" s="131"/>
      <c r="E278" s="113">
        <f t="shared" si="4"/>
        <v>260</v>
      </c>
      <c r="F278" s="408">
        <f>skemA7!$E$21*COS(RADIANS(skemA7!$E$28*E278-skemA7!$E$22))</f>
        <v>21.62597822060399</v>
      </c>
      <c r="G278" s="408">
        <f>skemA7!$F$21*COS(RADIANS(skemA7!$F$28*E278-skemA7!$F$22))</f>
        <v>4.7116383509438169</v>
      </c>
      <c r="H278" s="408">
        <f>skemA7!$G$21*COS(RADIANS(skemA7!$G$28*E278-skemA7!$G$22))</f>
        <v>16.986642395714821</v>
      </c>
      <c r="I278" s="408">
        <f>skemA7!$H$21*COS(RADIANS(skemA7!$H$28*E278-skemA7!$H$22))</f>
        <v>-32.792431927694444</v>
      </c>
      <c r="J278" s="408">
        <f>skemA7!$I$21*COS(RADIANS(skemA7!$I$28*E278-skemA7!$I$22))</f>
        <v>-5.0136542449358057</v>
      </c>
      <c r="K278" s="408">
        <f>skemA7!$J$21*COS(RADIANS(skemA7!$J$28*E278-skemA7!$J$22))</f>
        <v>1.5630311610282634</v>
      </c>
      <c r="L278" s="408">
        <f>skemA7!$K$21*COS(RADIANS(skemA7!$K$28*E278-skemA7!$K$22))</f>
        <v>-0.52474712110907473</v>
      </c>
      <c r="M278" s="408">
        <f>skemA7!$L$21*COS(RADIANS(skemA7!$L$28*E278-skemA7!$L$22))</f>
        <v>3.3939880558391202</v>
      </c>
      <c r="N278" s="408">
        <f>skemA7!$M$21*COS(RADIANS(skemA7!$M$28*E278-skemA7!$M$22))</f>
        <v>-8.3705534782820408</v>
      </c>
      <c r="O278" s="409">
        <f>skemA7!$D$21+'Forcasting Pasut'!F278+'Forcasting Pasut'!G278+K278+L278+'Forcasting Pasut'!H278+'Forcasting Pasut'!I278+'Forcasting Pasut'!J278+'Forcasting Pasut'!M278+'Forcasting Pasut'!N278</f>
        <v>167.74821037762592</v>
      </c>
      <c r="P278" s="405"/>
      <c r="Q278" s="406">
        <f>AK258</f>
        <v>179.6</v>
      </c>
      <c r="R278" s="406"/>
      <c r="S278" s="406"/>
      <c r="T278" s="406"/>
      <c r="U278" s="406"/>
      <c r="V278" s="406"/>
      <c r="W278" s="406"/>
      <c r="X278" s="406"/>
      <c r="Y278" s="406"/>
      <c r="Z278" s="406"/>
      <c r="AA278" s="406"/>
      <c r="AB278" s="406"/>
      <c r="AC278" s="406"/>
      <c r="AD278" s="406"/>
      <c r="AE278" s="406"/>
      <c r="AF278" s="406"/>
      <c r="AG278" s="406"/>
      <c r="AH278" s="406"/>
      <c r="AI278" s="406"/>
      <c r="AJ278" s="406"/>
      <c r="AK278" s="406"/>
      <c r="AL278" s="406"/>
      <c r="AM278" s="406"/>
      <c r="AN278" s="406"/>
      <c r="AO278" s="407"/>
      <c r="AP278" s="407"/>
    </row>
    <row r="279" spans="1:42">
      <c r="A279" s="402"/>
      <c r="B279" s="77"/>
      <c r="D279" s="131"/>
      <c r="E279" s="113">
        <f t="shared" si="4"/>
        <v>261</v>
      </c>
      <c r="F279" s="408">
        <f>skemA7!$E$21*COS(RADIANS(skemA7!$E$28*E279-skemA7!$E$22))</f>
        <v>16.539564996849307</v>
      </c>
      <c r="G279" s="408">
        <f>skemA7!$F$21*COS(RADIANS(skemA7!$F$28*E279-skemA7!$F$22))</f>
        <v>15.331308956069085</v>
      </c>
      <c r="H279" s="408">
        <f>skemA7!$G$21*COS(RADIANS(skemA7!$G$28*E279-skemA7!$G$22))</f>
        <v>12.822680680209604</v>
      </c>
      <c r="I279" s="408">
        <f>skemA7!$H$21*COS(RADIANS(skemA7!$H$28*E279-skemA7!$H$22))</f>
        <v>-35.368411295031208</v>
      </c>
      <c r="J279" s="408">
        <f>skemA7!$I$21*COS(RADIANS(skemA7!$I$28*E279-skemA7!$I$22))</f>
        <v>-11.379999121794661</v>
      </c>
      <c r="K279" s="408">
        <f>skemA7!$J$21*COS(RADIANS(skemA7!$J$28*E279-skemA7!$J$22))</f>
        <v>0.10474110328402193</v>
      </c>
      <c r="L279" s="408">
        <f>skemA7!$K$21*COS(RADIANS(skemA7!$K$28*E279-skemA7!$K$22))</f>
        <v>2.5271659915602003</v>
      </c>
      <c r="M279" s="408">
        <f>skemA7!$L$21*COS(RADIANS(skemA7!$L$28*E279-skemA7!$L$22))</f>
        <v>5.541882359922468</v>
      </c>
      <c r="N279" s="408">
        <f>skemA7!$M$21*COS(RADIANS(skemA7!$M$28*E279-skemA7!$M$22))</f>
        <v>-10.233679582887291</v>
      </c>
      <c r="O279" s="409">
        <f>skemA7!$D$21+'Forcasting Pasut'!F279+'Forcasting Pasut'!G279+K279+L279+'Forcasting Pasut'!H279+'Forcasting Pasut'!I279+'Forcasting Pasut'!J279+'Forcasting Pasut'!M279+'Forcasting Pasut'!N279</f>
        <v>162.05357305369876</v>
      </c>
      <c r="P279" s="405"/>
      <c r="Q279" s="406">
        <f>AL258</f>
        <v>176.6</v>
      </c>
      <c r="R279" s="406"/>
      <c r="S279" s="406"/>
      <c r="T279" s="406"/>
      <c r="U279" s="406"/>
      <c r="V279" s="406"/>
      <c r="W279" s="406"/>
      <c r="X279" s="406"/>
      <c r="Y279" s="406"/>
      <c r="Z279" s="406"/>
      <c r="AA279" s="406"/>
      <c r="AB279" s="406"/>
      <c r="AC279" s="406"/>
      <c r="AD279" s="406"/>
      <c r="AE279" s="406"/>
      <c r="AF279" s="406"/>
      <c r="AG279" s="406"/>
      <c r="AH279" s="406"/>
      <c r="AI279" s="406"/>
      <c r="AJ279" s="406"/>
      <c r="AK279" s="406"/>
      <c r="AL279" s="406"/>
      <c r="AM279" s="406"/>
      <c r="AN279" s="406"/>
      <c r="AO279" s="407"/>
      <c r="AP279" s="407"/>
    </row>
    <row r="280" spans="1:42">
      <c r="A280" s="402"/>
      <c r="B280" s="77"/>
      <c r="D280" s="131"/>
      <c r="E280" s="113">
        <f t="shared" si="4"/>
        <v>262</v>
      </c>
      <c r="F280" s="408">
        <f>skemA7!$E$21*COS(RADIANS(skemA7!$E$28*E280-skemA7!$E$22))</f>
        <v>7.3101580364774916</v>
      </c>
      <c r="G280" s="408">
        <f>skemA7!$F$21*COS(RADIANS(skemA7!$F$28*E280-skemA7!$F$22))</f>
        <v>21.842967707503135</v>
      </c>
      <c r="H280" s="408">
        <f>skemA7!$G$21*COS(RADIANS(skemA7!$G$28*E280-skemA7!$G$22))</f>
        <v>5.5637421292323603</v>
      </c>
      <c r="I280" s="408">
        <f>skemA7!$H$21*COS(RADIANS(skemA7!$H$28*E280-skemA7!$H$22))</f>
        <v>-35.5209734326437</v>
      </c>
      <c r="J280" s="408">
        <f>skemA7!$I$21*COS(RADIANS(skemA7!$I$28*E280-skemA7!$I$22))</f>
        <v>-17.075741569127977</v>
      </c>
      <c r="K280" s="408">
        <f>skemA7!$J$21*COS(RADIANS(skemA7!$J$28*E280-skemA7!$J$22))</f>
        <v>-1.4519233025439906</v>
      </c>
      <c r="L280" s="408">
        <f>skemA7!$K$21*COS(RADIANS(skemA7!$K$28*E280-skemA7!$K$22))</f>
        <v>3.1291302707105655</v>
      </c>
      <c r="M280" s="408">
        <f>skemA7!$L$21*COS(RADIANS(skemA7!$L$28*E280-skemA7!$L$22))</f>
        <v>6.1968925577411023</v>
      </c>
      <c r="N280" s="408">
        <f>skemA7!$M$21*COS(RADIANS(skemA7!$M$28*E280-skemA7!$M$22))</f>
        <v>-11.403182972525141</v>
      </c>
      <c r="O280" s="409">
        <f>skemA7!$D$21+'Forcasting Pasut'!F280+'Forcasting Pasut'!G280+K280+L280+'Forcasting Pasut'!H280+'Forcasting Pasut'!I280+'Forcasting Pasut'!J280+'Forcasting Pasut'!M280+'Forcasting Pasut'!N280</f>
        <v>144.75938839034109</v>
      </c>
      <c r="P280" s="405"/>
      <c r="Q280" s="406">
        <f>AM258</f>
        <v>164</v>
      </c>
      <c r="R280" s="406"/>
      <c r="S280" s="406"/>
      <c r="T280" s="406"/>
      <c r="U280" s="406"/>
      <c r="V280" s="406"/>
      <c r="W280" s="406"/>
      <c r="X280" s="406"/>
      <c r="Y280" s="406"/>
      <c r="Z280" s="406"/>
      <c r="AA280" s="406"/>
      <c r="AB280" s="406"/>
      <c r="AC280" s="406"/>
      <c r="AD280" s="406"/>
      <c r="AE280" s="406"/>
      <c r="AF280" s="406"/>
      <c r="AG280" s="406"/>
      <c r="AH280" s="406"/>
      <c r="AI280" s="406"/>
      <c r="AJ280" s="406"/>
      <c r="AK280" s="406"/>
      <c r="AL280" s="406"/>
      <c r="AM280" s="406"/>
      <c r="AN280" s="406"/>
      <c r="AO280" s="407"/>
      <c r="AP280" s="407"/>
    </row>
    <row r="281" spans="1:42">
      <c r="A281" s="402"/>
      <c r="B281" s="77"/>
      <c r="D281" s="131"/>
      <c r="E281" s="113">
        <f t="shared" si="4"/>
        <v>263</v>
      </c>
      <c r="F281" s="408">
        <f>skemA7!$E$21*COS(RADIANS(skemA7!$E$28*E281-skemA7!$E$22))</f>
        <v>-3.75036957093503</v>
      </c>
      <c r="G281" s="408">
        <f>skemA7!$F$21*COS(RADIANS(skemA7!$F$28*E281-skemA7!$F$22))</f>
        <v>22.501820901412874</v>
      </c>
      <c r="H281" s="408">
        <f>skemA7!$G$21*COS(RADIANS(skemA7!$G$28*E281-skemA7!$G$22))</f>
        <v>-3.0381022803524598</v>
      </c>
      <c r="I281" s="408">
        <f>skemA7!$H$21*COS(RADIANS(skemA7!$H$28*E281-skemA7!$H$22))</f>
        <v>-33.239664896360807</v>
      </c>
      <c r="J281" s="408">
        <f>skemA7!$I$21*COS(RADIANS(skemA7!$I$28*E281-skemA7!$I$22))</f>
        <v>-21.765241954433115</v>
      </c>
      <c r="K281" s="408">
        <f>skemA7!$J$21*COS(RADIANS(skemA7!$J$28*E281-skemA7!$J$22))</f>
        <v>-1.6449204958149592</v>
      </c>
      <c r="L281" s="408">
        <f>skemA7!$K$21*COS(RADIANS(skemA7!$K$28*E281-skemA7!$K$22))</f>
        <v>0.69757436074059642</v>
      </c>
      <c r="M281" s="408">
        <f>skemA7!$L$21*COS(RADIANS(skemA7!$L$28*E281-skemA7!$L$22))</f>
        <v>5.1825706032598493</v>
      </c>
      <c r="N281" s="408">
        <f>skemA7!$M$21*COS(RADIANS(skemA7!$M$28*E281-skemA7!$M$22))</f>
        <v>-11.799796545884412</v>
      </c>
      <c r="O281" s="409">
        <f>skemA7!$D$21+'Forcasting Pasut'!F281+'Forcasting Pasut'!G281+K281+L281+'Forcasting Pasut'!H281+'Forcasting Pasut'!I281+'Forcasting Pasut'!J281+'Forcasting Pasut'!M281+'Forcasting Pasut'!N281</f>
        <v>119.31218908714976</v>
      </c>
      <c r="P281" s="405"/>
      <c r="Q281" s="406">
        <f>AN258</f>
        <v>149.5</v>
      </c>
      <c r="R281" s="406"/>
      <c r="S281" s="406"/>
      <c r="T281" s="406"/>
      <c r="U281" s="406"/>
      <c r="V281" s="406"/>
      <c r="W281" s="406"/>
      <c r="X281" s="406"/>
      <c r="Y281" s="406"/>
      <c r="Z281" s="406"/>
      <c r="AA281" s="406"/>
      <c r="AB281" s="406"/>
      <c r="AC281" s="406"/>
      <c r="AD281" s="406"/>
      <c r="AE281" s="406"/>
      <c r="AF281" s="406"/>
      <c r="AG281" s="406"/>
      <c r="AH281" s="406"/>
      <c r="AI281" s="406"/>
      <c r="AJ281" s="406"/>
      <c r="AK281" s="406"/>
      <c r="AL281" s="406"/>
      <c r="AM281" s="406"/>
      <c r="AN281" s="406"/>
      <c r="AO281" s="407"/>
      <c r="AP281" s="407"/>
    </row>
    <row r="282" spans="1:42">
      <c r="A282" s="402">
        <v>12</v>
      </c>
      <c r="B282" s="77">
        <f>skemA1!B16</f>
        <v>44720</v>
      </c>
      <c r="C282" s="43" t="e">
        <f>skemA1!#REF!</f>
        <v>#REF!</v>
      </c>
      <c r="D282" s="139" t="e">
        <f>skemA1!#REF!</f>
        <v>#REF!</v>
      </c>
      <c r="E282" s="113">
        <f t="shared" si="4"/>
        <v>264</v>
      </c>
      <c r="F282" s="408">
        <f>skemA7!$E$21*COS(RADIANS(skemA7!$E$28*E282-skemA7!$E$22))</f>
        <v>-13.871467535225845</v>
      </c>
      <c r="G282" s="408">
        <f>skemA7!$F$21*COS(RADIANS(skemA7!$F$28*E282-skemA7!$F$22))</f>
        <v>17.131329356559096</v>
      </c>
      <c r="H282" s="408">
        <f>skemA7!$G$21*COS(RADIANS(skemA7!$G$28*E282-skemA7!$G$22))</f>
        <v>-10.906647903514891</v>
      </c>
      <c r="I282" s="408">
        <f>skemA7!$H$21*COS(RADIANS(skemA7!$H$28*E282-skemA7!$H$22))</f>
        <v>-28.680799249916536</v>
      </c>
      <c r="J282" s="408">
        <f>skemA7!$I$21*COS(RADIANS(skemA7!$I$28*E282-skemA7!$I$22))</f>
        <v>-25.172156640246374</v>
      </c>
      <c r="K282" s="408">
        <f>skemA7!$J$21*COS(RADIANS(skemA7!$J$28*E282-skemA7!$J$22))</f>
        <v>-0.29298474154263426</v>
      </c>
      <c r="L282" s="408">
        <f>skemA7!$K$21*COS(RADIANS(skemA7!$K$28*E282-skemA7!$K$22))</f>
        <v>-2.4102416354670422</v>
      </c>
      <c r="M282" s="408">
        <f>skemA7!$L$21*COS(RADIANS(skemA7!$L$28*E282-skemA7!$L$22))</f>
        <v>2.7721567109283636</v>
      </c>
      <c r="N282" s="408">
        <f>skemA7!$M$21*COS(RADIANS(skemA7!$M$28*E282-skemA7!$M$22))</f>
        <v>-11.396638458432239</v>
      </c>
      <c r="O282" s="409">
        <f>skemA7!$D$21+'Forcasting Pasut'!F282+'Forcasting Pasut'!G282+K282+L282+'Forcasting Pasut'!H282+'Forcasting Pasut'!I282+'Forcasting Pasut'!J282+'Forcasting Pasut'!M282+'Forcasting Pasut'!N282</f>
        <v>93.340868868659186</v>
      </c>
      <c r="P282" s="405"/>
      <c r="Q282" s="406">
        <f>skemA1!C16</f>
        <v>137.30000000000001</v>
      </c>
      <c r="R282" s="406">
        <f>skemA1!D16</f>
        <v>127.1</v>
      </c>
      <c r="S282" s="406">
        <f>skemA1!E16</f>
        <v>123.4</v>
      </c>
      <c r="T282" s="406">
        <f>skemA1!F16</f>
        <v>127.3</v>
      </c>
      <c r="U282" s="406">
        <f>skemA1!G16</f>
        <v>135.20000000000002</v>
      </c>
      <c r="V282" s="406">
        <f>skemA1!H16</f>
        <v>152.6</v>
      </c>
      <c r="W282" s="406">
        <f>skemA1!I16</f>
        <v>173.9</v>
      </c>
      <c r="X282" s="406">
        <f>skemA1!J16</f>
        <v>190.5</v>
      </c>
      <c r="Y282" s="406">
        <f>skemA1!K16</f>
        <v>203.9</v>
      </c>
      <c r="Z282" s="406">
        <f>skemA1!L16</f>
        <v>208.70000000000002</v>
      </c>
      <c r="AA282" s="406">
        <f>skemA1!M16</f>
        <v>207.7</v>
      </c>
      <c r="AB282" s="406">
        <f>skemA1!N16</f>
        <v>203.6</v>
      </c>
      <c r="AC282" s="406">
        <f>skemA1!O16</f>
        <v>197.6</v>
      </c>
      <c r="AD282" s="406">
        <f>skemA1!P16</f>
        <v>187.3</v>
      </c>
      <c r="AE282" s="406">
        <f>skemA1!Q16</f>
        <v>176.5</v>
      </c>
      <c r="AF282" s="406">
        <f>skemA1!R16</f>
        <v>163.19999999999999</v>
      </c>
      <c r="AG282" s="406">
        <f>skemA1!S16</f>
        <v>157.80000000000001</v>
      </c>
      <c r="AH282" s="406">
        <f>skemA1!T16</f>
        <v>153.80000000000001</v>
      </c>
      <c r="AI282" s="406">
        <f>skemA1!U16</f>
        <v>154.4</v>
      </c>
      <c r="AJ282" s="406">
        <f>skemA1!V16</f>
        <v>162.1</v>
      </c>
      <c r="AK282" s="406">
        <f>skemA1!W16</f>
        <v>170.4</v>
      </c>
      <c r="AL282" s="406">
        <f>skemA1!X16</f>
        <v>172.10000000000002</v>
      </c>
      <c r="AM282" s="406">
        <f>skemA1!Y16</f>
        <v>169.3</v>
      </c>
      <c r="AN282" s="406">
        <f>skemA1!Z16</f>
        <v>161</v>
      </c>
      <c r="AO282" s="407">
        <f>SUM(Q282:AN282)</f>
        <v>4016.7000000000007</v>
      </c>
      <c r="AP282" s="407">
        <f>AVERAGE(Q282:AN282)</f>
        <v>167.36250000000004</v>
      </c>
    </row>
    <row r="283" spans="1:42">
      <c r="A283" s="402"/>
      <c r="B283" s="77"/>
      <c r="D283" s="131"/>
      <c r="E283" s="113">
        <f t="shared" si="4"/>
        <v>265</v>
      </c>
      <c r="F283" s="408">
        <f>skemA7!$E$21*COS(RADIANS(skemA7!$E$28*E283-skemA7!$E$22))</f>
        <v>-20.517903189650706</v>
      </c>
      <c r="G283" s="408">
        <f>skemA7!$F$21*COS(RADIANS(skemA7!$F$28*E283-skemA7!$F$22))</f>
        <v>7.1705119453440487</v>
      </c>
      <c r="H283" s="408">
        <f>skemA7!$G$21*COS(RADIANS(skemA7!$G$28*E283-skemA7!$G$22))</f>
        <v>-16.142684501779915</v>
      </c>
      <c r="I283" s="408">
        <f>skemA7!$H$21*COS(RADIANS(skemA7!$H$28*E283-skemA7!$H$22))</f>
        <v>-22.156746575852484</v>
      </c>
      <c r="J283" s="408">
        <f>skemA7!$I$21*COS(RADIANS(skemA7!$I$28*E283-skemA7!$I$22))</f>
        <v>-27.095722406725717</v>
      </c>
      <c r="K283" s="408">
        <f>skemA7!$J$21*COS(RADIANS(skemA7!$J$28*E283-skemA7!$J$22))</f>
        <v>1.3341264886801696</v>
      </c>
      <c r="L283" s="408">
        <f>skemA7!$K$21*COS(RADIANS(skemA7!$K$28*E283-skemA7!$K$22))</f>
        <v>-3.1814605490010774</v>
      </c>
      <c r="M283" s="408">
        <f>skemA7!$L$21*COS(RADIANS(skemA7!$L$28*E283-skemA7!$L$22))</f>
        <v>-0.38502667686338837</v>
      </c>
      <c r="N283" s="408">
        <f>skemA7!$M$21*COS(RADIANS(skemA7!$M$28*E283-skemA7!$M$22))</f>
        <v>-10.22103413157885</v>
      </c>
      <c r="O283" s="409">
        <f>skemA7!$D$21+'Forcasting Pasut'!F283+'Forcasting Pasut'!G283+K283+L283+'Forcasting Pasut'!H283+'Forcasting Pasut'!I283+'Forcasting Pasut'!J283+'Forcasting Pasut'!M283+'Forcasting Pasut'!N283</f>
        <v>74.972379368089349</v>
      </c>
      <c r="P283" s="405"/>
      <c r="Q283" s="406">
        <f>R282</f>
        <v>127.1</v>
      </c>
      <c r="R283" s="406"/>
      <c r="S283" s="406"/>
      <c r="T283" s="406"/>
      <c r="U283" s="406"/>
      <c r="V283" s="406"/>
      <c r="W283" s="406"/>
      <c r="X283" s="406"/>
      <c r="Y283" s="406"/>
      <c r="Z283" s="406"/>
      <c r="AA283" s="406"/>
      <c r="AB283" s="406"/>
      <c r="AC283" s="406"/>
      <c r="AD283" s="406"/>
      <c r="AE283" s="406"/>
      <c r="AF283" s="406"/>
      <c r="AG283" s="406"/>
      <c r="AH283" s="406"/>
      <c r="AI283" s="406"/>
      <c r="AJ283" s="406"/>
      <c r="AK283" s="406"/>
      <c r="AL283" s="406"/>
      <c r="AM283" s="406"/>
      <c r="AN283" s="406"/>
      <c r="AO283" s="407"/>
      <c r="AP283" s="407"/>
    </row>
    <row r="284" spans="1:42">
      <c r="A284" s="402"/>
      <c r="B284" s="77"/>
      <c r="D284" s="131"/>
      <c r="E284" s="113">
        <f t="shared" si="4"/>
        <v>266</v>
      </c>
      <c r="F284" s="408">
        <f>skemA7!$E$21*COS(RADIANS(skemA7!$E$28*E284-skemA7!$E$22))</f>
        <v>-22.024811630425798</v>
      </c>
      <c r="G284" s="408">
        <f>skemA7!$F$21*COS(RADIANS(skemA7!$F$28*E284-skemA7!$F$22))</f>
        <v>-4.711638350944213</v>
      </c>
      <c r="H284" s="408">
        <f>skemA7!$G$21*COS(RADIANS(skemA7!$G$28*E284-skemA7!$G$22))</f>
        <v>-17.482403641835987</v>
      </c>
      <c r="I284" s="408">
        <f>skemA7!$H$21*COS(RADIANS(skemA7!$H$28*E284-skemA7!$H$22))</f>
        <v>-14.114530109848863</v>
      </c>
      <c r="J284" s="408">
        <f>skemA7!$I$21*COS(RADIANS(skemA7!$I$28*E284-skemA7!$I$22))</f>
        <v>-27.42258705915248</v>
      </c>
      <c r="K284" s="408">
        <f>skemA7!$J$21*COS(RADIANS(skemA7!$J$28*E284-skemA7!$J$22))</f>
        <v>1.708206965261025</v>
      </c>
      <c r="L284" s="408">
        <f>skemA7!$K$21*COS(RADIANS(skemA7!$K$28*E284-skemA7!$K$22))</f>
        <v>-0.86842793851874456</v>
      </c>
      <c r="M284" s="408">
        <f>skemA7!$L$21*COS(RADIANS(skemA7!$L$28*E284-skemA7!$L$22))</f>
        <v>-3.4384907561159928</v>
      </c>
      <c r="N284" s="408">
        <f>skemA7!$M$21*COS(RADIANS(skemA7!$M$28*E284-skemA7!$M$22))</f>
        <v>-8.3526641785693201</v>
      </c>
      <c r="O284" s="409">
        <f>skemA7!$D$21+'Forcasting Pasut'!F284+'Forcasting Pasut'!G284+K284+L284+'Forcasting Pasut'!H284+'Forcasting Pasut'!I284+'Forcasting Pasut'!J284+'Forcasting Pasut'!M284+'Forcasting Pasut'!N284</f>
        <v>69.460972265366848</v>
      </c>
      <c r="P284" s="405"/>
      <c r="Q284" s="406">
        <f>S282</f>
        <v>123.4</v>
      </c>
      <c r="R284" s="406"/>
      <c r="S284" s="406"/>
      <c r="T284" s="406"/>
      <c r="U284" s="406"/>
      <c r="V284" s="406"/>
      <c r="W284" s="406"/>
      <c r="X284" s="406"/>
      <c r="Y284" s="406"/>
      <c r="Z284" s="406"/>
      <c r="AA284" s="406"/>
      <c r="AB284" s="406"/>
      <c r="AC284" s="406"/>
      <c r="AD284" s="406"/>
      <c r="AE284" s="406"/>
      <c r="AF284" s="406"/>
      <c r="AG284" s="406"/>
      <c r="AH284" s="406"/>
      <c r="AI284" s="406"/>
      <c r="AJ284" s="406"/>
      <c r="AK284" s="406"/>
      <c r="AL284" s="406"/>
      <c r="AM284" s="406"/>
      <c r="AN284" s="406"/>
      <c r="AO284" s="407"/>
      <c r="AP284" s="407"/>
    </row>
    <row r="285" spans="1:42">
      <c r="A285" s="402"/>
      <c r="B285" s="77"/>
      <c r="D285" s="131"/>
      <c r="E285" s="113">
        <f t="shared" si="4"/>
        <v>267</v>
      </c>
      <c r="F285" s="408">
        <f>skemA7!$E$21*COS(RADIANS(skemA7!$E$28*E285-skemA7!$E$22))</f>
        <v>-18.014727535278237</v>
      </c>
      <c r="G285" s="408">
        <f>skemA7!$F$21*COS(RADIANS(skemA7!$F$28*E285-skemA7!$F$22))</f>
        <v>-15.331308956068899</v>
      </c>
      <c r="H285" s="408">
        <f>skemA7!$G$21*COS(RADIANS(skemA7!$G$28*E285-skemA7!$G$22))</f>
        <v>-14.602440825422514</v>
      </c>
      <c r="I285" s="408">
        <f>skemA7!$H$21*COS(RADIANS(skemA7!$H$28*E285-skemA7!$H$22))</f>
        <v>-5.1051965411753795</v>
      </c>
      <c r="J285" s="408">
        <f>skemA7!$I$21*COS(RADIANS(skemA7!$I$28*E285-skemA7!$I$22))</f>
        <v>-26.133489064402049</v>
      </c>
      <c r="K285" s="408">
        <f>skemA7!$J$21*COS(RADIANS(skemA7!$J$28*E285-skemA7!$J$22))</f>
        <v>0.47791493352376169</v>
      </c>
      <c r="L285" s="408">
        <f>skemA7!$K$21*COS(RADIANS(skemA7!$K$28*E285-skemA7!$K$22))</f>
        <v>2.2864979318738827</v>
      </c>
      <c r="M285" s="408">
        <f>skemA7!$L$21*COS(RADIANS(skemA7!$L$28*E285-skemA7!$L$22))</f>
        <v>-5.565686851683636</v>
      </c>
      <c r="N285" s="408">
        <f>skemA7!$M$21*COS(RADIANS(skemA7!$M$28*E285-skemA7!$M$22))</f>
        <v>-5.9181637777747733</v>
      </c>
      <c r="O285" s="409">
        <f>skemA7!$D$21+'Forcasting Pasut'!F285+'Forcasting Pasut'!G285+K285+L285+'Forcasting Pasut'!H285+'Forcasting Pasut'!I285+'Forcasting Pasut'!J285+'Forcasting Pasut'!M285+'Forcasting Pasut'!N285</f>
        <v>78.261718279109388</v>
      </c>
      <c r="P285" s="405"/>
      <c r="Q285" s="406">
        <f>T282</f>
        <v>127.3</v>
      </c>
      <c r="R285" s="406"/>
      <c r="S285" s="406"/>
      <c r="T285" s="406"/>
      <c r="U285" s="406"/>
      <c r="V285" s="406"/>
      <c r="W285" s="406"/>
      <c r="X285" s="406"/>
      <c r="Y285" s="406"/>
      <c r="Z285" s="406"/>
      <c r="AA285" s="406"/>
      <c r="AB285" s="406"/>
      <c r="AC285" s="406"/>
      <c r="AD285" s="406"/>
      <c r="AE285" s="406"/>
      <c r="AF285" s="406"/>
      <c r="AG285" s="406"/>
      <c r="AH285" s="406"/>
      <c r="AI285" s="406"/>
      <c r="AJ285" s="406"/>
      <c r="AK285" s="406"/>
      <c r="AL285" s="406"/>
      <c r="AM285" s="406"/>
      <c r="AN285" s="406"/>
      <c r="AO285" s="407"/>
      <c r="AP285" s="407"/>
    </row>
    <row r="286" spans="1:42">
      <c r="A286" s="402"/>
      <c r="B286" s="77"/>
      <c r="D286" s="131"/>
      <c r="E286" s="113">
        <f t="shared" si="4"/>
        <v>268</v>
      </c>
      <c r="F286" s="408">
        <f>skemA7!$E$21*COS(RADIANS(skemA7!$E$28*E286-skemA7!$E$22))</f>
        <v>-9.4921364086739644</v>
      </c>
      <c r="G286" s="408">
        <f>skemA7!$F$21*COS(RADIANS(skemA7!$F$28*E286-skemA7!$F$22))</f>
        <v>-21.842967707503057</v>
      </c>
      <c r="H286" s="408">
        <f>skemA7!$G$21*COS(RADIANS(skemA7!$G$28*E286-skemA7!$G$22))</f>
        <v>-8.1979251309365839</v>
      </c>
      <c r="I286" s="408">
        <f>skemA7!$H$21*COS(RADIANS(skemA7!$H$28*E286-skemA7!$H$22))</f>
        <v>4.2539412965055776</v>
      </c>
      <c r="J286" s="408">
        <f>skemA7!$I$21*COS(RADIANS(skemA7!$I$28*E286-skemA7!$I$22))</f>
        <v>-23.304392597684135</v>
      </c>
      <c r="K286" s="408">
        <f>skemA7!$J$21*COS(RADIANS(skemA7!$J$28*E286-skemA7!$J$22))</f>
        <v>-1.2012416657123042</v>
      </c>
      <c r="L286" s="408">
        <f>skemA7!$K$21*COS(RADIANS(skemA7!$K$28*E286-skemA7!$K$22))</f>
        <v>3.2247894538518294</v>
      </c>
      <c r="M286" s="408">
        <f>skemA7!$L$21*COS(RADIANS(skemA7!$L$28*E286-skemA7!$L$22))</f>
        <v>-6.1935863361551808</v>
      </c>
      <c r="N286" s="408">
        <f>skemA7!$M$21*COS(RADIANS(skemA7!$M$28*E286-skemA7!$M$22))</f>
        <v>-3.0825395393700008</v>
      </c>
      <c r="O286" s="409">
        <f>skemA7!$D$21+'Forcasting Pasut'!F286+'Forcasting Pasut'!G286+K286+L286+'Forcasting Pasut'!H286+'Forcasting Pasut'!I286+'Forcasting Pasut'!J286+'Forcasting Pasut'!M286+'Forcasting Pasut'!N286</f>
        <v>100.33226032983943</v>
      </c>
      <c r="P286" s="405"/>
      <c r="Q286" s="406">
        <f>U282</f>
        <v>135.20000000000002</v>
      </c>
      <c r="R286" s="406"/>
      <c r="S286" s="406"/>
      <c r="T286" s="406"/>
      <c r="U286" s="406"/>
      <c r="V286" s="406"/>
      <c r="W286" s="406"/>
      <c r="X286" s="406"/>
      <c r="Y286" s="406"/>
      <c r="Z286" s="406"/>
      <c r="AA286" s="406"/>
      <c r="AB286" s="406"/>
      <c r="AC286" s="406"/>
      <c r="AD286" s="406"/>
      <c r="AE286" s="406"/>
      <c r="AF286" s="406"/>
      <c r="AG286" s="406"/>
      <c r="AH286" s="406"/>
      <c r="AI286" s="406"/>
      <c r="AJ286" s="406"/>
      <c r="AK286" s="406"/>
      <c r="AL286" s="406"/>
      <c r="AM286" s="406"/>
      <c r="AN286" s="406"/>
      <c r="AO286" s="407"/>
      <c r="AP286" s="407"/>
    </row>
    <row r="287" spans="1:42">
      <c r="A287" s="402"/>
      <c r="B287" s="77"/>
      <c r="D287" s="131"/>
      <c r="E287" s="113">
        <f t="shared" si="4"/>
        <v>269</v>
      </c>
      <c r="F287" s="408">
        <f>skemA7!$E$21*COS(RADIANS(skemA7!$E$28*E287-skemA7!$E$22))</f>
        <v>1.4081388768396446</v>
      </c>
      <c r="G287" s="408">
        <f>skemA7!$F$21*COS(RADIANS(skemA7!$F$28*E287-skemA7!$F$22))</f>
        <v>-22.501820901412788</v>
      </c>
      <c r="H287" s="408">
        <f>skemA7!$G$21*COS(RADIANS(skemA7!$G$28*E287-skemA7!$G$22))</f>
        <v>0.1853022707150089</v>
      </c>
      <c r="I287" s="408">
        <f>skemA7!$H$21*COS(RADIANS(skemA7!$H$28*E287-skemA7!$H$22))</f>
        <v>13.321602241254876</v>
      </c>
      <c r="J287" s="408">
        <f>skemA7!$I$21*COS(RADIANS(skemA7!$I$28*E287-skemA7!$I$22))</f>
        <v>-19.102011113335482</v>
      </c>
      <c r="K287" s="408">
        <f>skemA7!$J$21*COS(RADIANS(skemA7!$J$28*E287-skemA7!$J$22))</f>
        <v>-1.7521748450065386</v>
      </c>
      <c r="L287" s="408">
        <f>skemA7!$K$21*COS(RADIANS(skemA7!$K$28*E287-skemA7!$K$22))</f>
        <v>1.0368244548125394</v>
      </c>
      <c r="M287" s="408">
        <f>skemA7!$L$21*COS(RADIANS(skemA7!$L$28*E287-skemA7!$L$22))</f>
        <v>-5.1530443053589625</v>
      </c>
      <c r="N287" s="408">
        <f>skemA7!$M$21*COS(RADIANS(skemA7!$M$28*E287-skemA7!$M$22))</f>
        <v>-3.7985616683447979E-2</v>
      </c>
      <c r="O287" s="409">
        <f>skemA7!$D$21+'Forcasting Pasut'!F287+'Forcasting Pasut'!G287+K287+L287+'Forcasting Pasut'!H287+'Forcasting Pasut'!I287+'Forcasting Pasut'!J287+'Forcasting Pasut'!M287+'Forcasting Pasut'!N287</f>
        <v>133.57315002734205</v>
      </c>
      <c r="P287" s="405"/>
      <c r="Q287" s="406">
        <f>V282</f>
        <v>152.6</v>
      </c>
      <c r="R287" s="406"/>
      <c r="S287" s="406"/>
      <c r="T287" s="406"/>
      <c r="U287" s="406"/>
      <c r="V287" s="406"/>
      <c r="W287" s="406"/>
      <c r="X287" s="406"/>
      <c r="Y287" s="406"/>
      <c r="Z287" s="406"/>
      <c r="AA287" s="406"/>
      <c r="AB287" s="406"/>
      <c r="AC287" s="406"/>
      <c r="AD287" s="406"/>
      <c r="AE287" s="406"/>
      <c r="AF287" s="406"/>
      <c r="AG287" s="406"/>
      <c r="AH287" s="406"/>
      <c r="AI287" s="406"/>
      <c r="AJ287" s="406"/>
      <c r="AK287" s="406"/>
      <c r="AL287" s="406"/>
      <c r="AM287" s="406"/>
      <c r="AN287" s="406"/>
      <c r="AO287" s="407"/>
      <c r="AP287" s="407"/>
    </row>
    <row r="288" spans="1:42">
      <c r="A288" s="402"/>
      <c r="B288" s="77"/>
      <c r="D288" s="131"/>
      <c r="E288" s="113">
        <f t="shared" si="4"/>
        <v>270</v>
      </c>
      <c r="F288" s="408">
        <f>skemA7!$E$21*COS(RADIANS(skemA7!$E$28*E288-skemA7!$E$22))</f>
        <v>11.955689616807215</v>
      </c>
      <c r="G288" s="408">
        <f>skemA7!$F$21*COS(RADIANS(skemA7!$F$28*E288-skemA7!$F$22))</f>
        <v>-17.131329356559263</v>
      </c>
      <c r="H288" s="408">
        <f>skemA7!$G$21*COS(RADIANS(skemA7!$G$28*E288-skemA7!$G$22))</f>
        <v>8.5238037488466922</v>
      </c>
      <c r="I288" s="408">
        <f>skemA7!$H$21*COS(RADIANS(skemA7!$H$28*E288-skemA7!$H$22))</f>
        <v>21.47647691099484</v>
      </c>
      <c r="J288" s="408">
        <f>skemA7!$I$21*COS(RADIANS(skemA7!$I$28*E288-skemA7!$I$22))</f>
        <v>-13.773983227408282</v>
      </c>
      <c r="K288" s="408">
        <f>skemA7!$J$21*COS(RADIANS(skemA7!$J$28*E288-skemA7!$J$22))</f>
        <v>-0.65744025203203571</v>
      </c>
      <c r="L288" s="408">
        <f>skemA7!$K$21*COS(RADIANS(skemA7!$K$28*E288-skemA7!$K$22))</f>
        <v>-2.1562849914516184</v>
      </c>
      <c r="M288" s="408">
        <f>skemA7!$L$21*COS(RADIANS(skemA7!$L$28*E288-skemA7!$L$22))</f>
        <v>-2.7243641939022334</v>
      </c>
      <c r="N288" s="408">
        <f>skemA7!$M$21*COS(RADIANS(skemA7!$M$28*E288-skemA7!$M$22))</f>
        <v>3.0091429113890382</v>
      </c>
      <c r="O288" s="409">
        <f>skemA7!$D$21+'Forcasting Pasut'!F288+'Forcasting Pasut'!G288+K288+L288+'Forcasting Pasut'!H288+'Forcasting Pasut'!I288+'Forcasting Pasut'!J288+'Forcasting Pasut'!M288+'Forcasting Pasut'!N288</f>
        <v>174.69003013220157</v>
      </c>
      <c r="P288" s="405"/>
      <c r="Q288" s="406">
        <f>W282</f>
        <v>173.9</v>
      </c>
      <c r="R288" s="406"/>
      <c r="S288" s="406"/>
      <c r="T288" s="406"/>
      <c r="U288" s="406"/>
      <c r="V288" s="406"/>
      <c r="W288" s="406"/>
      <c r="X288" s="406"/>
      <c r="Y288" s="406"/>
      <c r="Z288" s="406"/>
      <c r="AA288" s="406"/>
      <c r="AB288" s="406"/>
      <c r="AC288" s="406"/>
      <c r="AD288" s="406"/>
      <c r="AE288" s="406"/>
      <c r="AF288" s="406"/>
      <c r="AG288" s="406"/>
      <c r="AH288" s="406"/>
      <c r="AI288" s="406"/>
      <c r="AJ288" s="406"/>
      <c r="AK288" s="406"/>
      <c r="AL288" s="406"/>
      <c r="AM288" s="406"/>
      <c r="AN288" s="406"/>
      <c r="AO288" s="407"/>
      <c r="AP288" s="407"/>
    </row>
    <row r="289" spans="1:42">
      <c r="A289" s="402"/>
      <c r="B289" s="77"/>
      <c r="D289" s="131"/>
      <c r="E289" s="113">
        <f t="shared" si="4"/>
        <v>271</v>
      </c>
      <c r="F289" s="408">
        <f>skemA7!$E$21*COS(RADIANS(skemA7!$E$28*E289-skemA7!$E$22))</f>
        <v>19.508461037681226</v>
      </c>
      <c r="G289" s="408">
        <f>skemA7!$F$21*COS(RADIANS(skemA7!$F$28*E289-skemA7!$F$22))</f>
        <v>-7.1705119453436632</v>
      </c>
      <c r="H289" s="408">
        <f>skemA7!$G$21*COS(RADIANS(skemA7!$G$28*E289-skemA7!$G$22))</f>
        <v>14.804937051733647</v>
      </c>
      <c r="I289" s="408">
        <f>skemA7!$H$21*COS(RADIANS(skemA7!$H$28*E289-skemA7!$H$22))</f>
        <v>28.159799360146945</v>
      </c>
      <c r="J289" s="408">
        <f>skemA7!$I$21*COS(RADIANS(skemA7!$I$28*E289-skemA7!$I$22))</f>
        <v>-7.6342798292351572</v>
      </c>
      <c r="K289" s="408">
        <f>skemA7!$J$21*COS(RADIANS(skemA7!$J$28*E289-skemA7!$J$22))</f>
        <v>1.0547716652202637</v>
      </c>
      <c r="L289" s="408">
        <f>skemA7!$K$21*COS(RADIANS(skemA7!$K$28*E289-skemA7!$K$22))</f>
        <v>-3.2589943938784884</v>
      </c>
      <c r="M289" s="408">
        <f>skemA7!$L$21*COS(RADIANS(skemA7!$L$28*E289-skemA7!$L$22))</f>
        <v>0.43821096270475851</v>
      </c>
      <c r="N289" s="408">
        <f>skemA7!$M$21*COS(RADIANS(skemA7!$M$28*E289-skemA7!$M$22))</f>
        <v>5.8523164632462796</v>
      </c>
      <c r="O289" s="409">
        <f>skemA7!$D$21+'Forcasting Pasut'!F289+'Forcasting Pasut'!G289+K289+L289+'Forcasting Pasut'!H289+'Forcasting Pasut'!I289+'Forcasting Pasut'!J289+'Forcasting Pasut'!M289+'Forcasting Pasut'!N289</f>
        <v>217.92302933779305</v>
      </c>
      <c r="P289" s="405"/>
      <c r="Q289" s="406">
        <f>X282</f>
        <v>190.5</v>
      </c>
      <c r="R289" s="406"/>
      <c r="S289" s="406"/>
      <c r="T289" s="406"/>
      <c r="U289" s="406"/>
      <c r="V289" s="406"/>
      <c r="W289" s="406"/>
      <c r="X289" s="406"/>
      <c r="Y289" s="406"/>
      <c r="Z289" s="406"/>
      <c r="AA289" s="406"/>
      <c r="AB289" s="406"/>
      <c r="AC289" s="406"/>
      <c r="AD289" s="406"/>
      <c r="AE289" s="406"/>
      <c r="AF289" s="406"/>
      <c r="AG289" s="406"/>
      <c r="AH289" s="406"/>
      <c r="AI289" s="406"/>
      <c r="AJ289" s="406"/>
      <c r="AK289" s="406"/>
      <c r="AL289" s="406"/>
      <c r="AM289" s="406"/>
      <c r="AN289" s="406"/>
      <c r="AO289" s="407"/>
      <c r="AP289" s="407"/>
    </row>
    <row r="290" spans="1:42">
      <c r="A290" s="402"/>
      <c r="B290" s="77"/>
      <c r="D290" s="131"/>
      <c r="E290" s="113">
        <f t="shared" si="4"/>
        <v>272</v>
      </c>
      <c r="F290" s="408">
        <f>skemA7!$E$21*COS(RADIANS(skemA7!$E$28*E290-skemA7!$E$22))</f>
        <v>22.174560293625586</v>
      </c>
      <c r="G290" s="408">
        <f>skemA7!$F$21*COS(RADIANS(skemA7!$F$28*E290-skemA7!$F$22))</f>
        <v>4.7116383509439705</v>
      </c>
      <c r="H290" s="408">
        <f>skemA7!$G$21*COS(RADIANS(skemA7!$G$28*E290-skemA7!$G$22))</f>
        <v>17.512641493021196</v>
      </c>
      <c r="I290" s="408">
        <f>skemA7!$H$21*COS(RADIANS(skemA7!$H$28*E290-skemA7!$H$22))</f>
        <v>32.913633306529967</v>
      </c>
      <c r="J290" s="408">
        <f>skemA7!$I$21*COS(RADIANS(skemA7!$I$28*E290-skemA7!$I$22))</f>
        <v>-1.0447023540638785</v>
      </c>
      <c r="K290" s="408">
        <f>skemA7!$J$21*COS(RADIANS(skemA7!$J$28*E290-skemA7!$J$22))</f>
        <v>1.7763268900185032</v>
      </c>
      <c r="L290" s="408">
        <f>skemA7!$K$21*COS(RADIANS(skemA7!$K$28*E290-skemA7!$K$22))</f>
        <v>-1.2022874618056247</v>
      </c>
      <c r="M290" s="408">
        <f>skemA7!$L$21*COS(RADIANS(skemA7!$L$28*E290-skemA7!$L$22))</f>
        <v>3.4827399142636106</v>
      </c>
      <c r="N290" s="408">
        <f>skemA7!$M$21*COS(RADIANS(skemA7!$M$28*E290-skemA7!$M$22))</f>
        <v>8.2988292049612369</v>
      </c>
      <c r="O290" s="409">
        <f>skemA7!$D$21+'Forcasting Pasut'!F290+'Forcasting Pasut'!G290+K290+L290+'Forcasting Pasut'!H290+'Forcasting Pasut'!I290+'Forcasting Pasut'!J290+'Forcasting Pasut'!M290+'Forcasting Pasut'!N290</f>
        <v>254.79169860301181</v>
      </c>
      <c r="P290" s="405"/>
      <c r="Q290" s="406">
        <f>Y282</f>
        <v>203.9</v>
      </c>
      <c r="R290" s="406"/>
      <c r="S290" s="406"/>
      <c r="T290" s="406"/>
      <c r="U290" s="406"/>
      <c r="V290" s="406"/>
      <c r="W290" s="406"/>
      <c r="X290" s="406"/>
      <c r="Y290" s="406"/>
      <c r="Z290" s="406"/>
      <c r="AA290" s="406"/>
      <c r="AB290" s="406"/>
      <c r="AC290" s="406"/>
      <c r="AD290" s="406"/>
      <c r="AE290" s="406"/>
      <c r="AF290" s="406"/>
      <c r="AG290" s="406"/>
      <c r="AH290" s="406"/>
      <c r="AI290" s="406"/>
      <c r="AJ290" s="406"/>
      <c r="AK290" s="406"/>
      <c r="AL290" s="406"/>
      <c r="AM290" s="406"/>
      <c r="AN290" s="406"/>
      <c r="AO290" s="407"/>
      <c r="AP290" s="407"/>
    </row>
    <row r="291" spans="1:42">
      <c r="A291" s="402"/>
      <c r="B291" s="77"/>
      <c r="D291" s="131"/>
      <c r="E291" s="113">
        <f t="shared" si="4"/>
        <v>273</v>
      </c>
      <c r="F291" s="408">
        <f>skemA7!$E$21*COS(RADIANS(skemA7!$E$28*E291-skemA7!$E$22))</f>
        <v>19.286156488199808</v>
      </c>
      <c r="G291" s="408">
        <f>skemA7!$F$21*COS(RADIANS(skemA7!$F$28*E291-skemA7!$F$22))</f>
        <v>15.331308956068714</v>
      </c>
      <c r="H291" s="408">
        <f>skemA7!$G$21*COS(RADIANS(skemA7!$G$28*E291-skemA7!$G$22))</f>
        <v>15.993365546933047</v>
      </c>
      <c r="I291" s="408">
        <f>skemA7!$H$21*COS(RADIANS(skemA7!$H$28*E291-skemA7!$H$22))</f>
        <v>35.412249584737076</v>
      </c>
      <c r="J291" s="408">
        <f>skemA7!$I$21*COS(RADIANS(skemA7!$I$28*E291-skemA7!$I$22))</f>
        <v>5.6064375104599788</v>
      </c>
      <c r="K291" s="408">
        <f>skemA7!$J$21*COS(RADIANS(skemA7!$J$28*E291-skemA7!$J$22))</f>
        <v>0.82953039509607041</v>
      </c>
      <c r="L291" s="408">
        <f>skemA7!$K$21*COS(RADIANS(skemA7!$K$28*E291-skemA7!$K$22))</f>
        <v>2.0199712284192448</v>
      </c>
      <c r="M291" s="408">
        <f>skemA7!$L$21*COS(RADIANS(skemA7!$L$28*E291-skemA7!$L$22))</f>
        <v>5.5890809494100457</v>
      </c>
      <c r="N291" s="408">
        <f>skemA7!$M$21*COS(RADIANS(skemA7!$M$28*E291-skemA7!$M$22))</f>
        <v>10.182860348774637</v>
      </c>
      <c r="O291" s="409">
        <f>skemA7!$D$21+'Forcasting Pasut'!F291+'Forcasting Pasut'!G291+K291+L291+'Forcasting Pasut'!H291+'Forcasting Pasut'!I291+'Forcasting Pasut'!J291+'Forcasting Pasut'!M291+'Forcasting Pasut'!N291</f>
        <v>276.41927997361586</v>
      </c>
      <c r="P291" s="405"/>
      <c r="Q291" s="406">
        <f>Z282</f>
        <v>208.70000000000002</v>
      </c>
      <c r="R291" s="406"/>
      <c r="S291" s="406"/>
      <c r="T291" s="406"/>
      <c r="U291" s="406"/>
      <c r="V291" s="406"/>
      <c r="W291" s="406"/>
      <c r="X291" s="406"/>
      <c r="Y291" s="406"/>
      <c r="Z291" s="406"/>
      <c r="AA291" s="406"/>
      <c r="AB291" s="406"/>
      <c r="AC291" s="406"/>
      <c r="AD291" s="406"/>
      <c r="AE291" s="406"/>
      <c r="AF291" s="406"/>
      <c r="AG291" s="406"/>
      <c r="AH291" s="406"/>
      <c r="AI291" s="406"/>
      <c r="AJ291" s="406"/>
      <c r="AK291" s="406"/>
      <c r="AL291" s="406"/>
      <c r="AM291" s="406"/>
      <c r="AN291" s="406"/>
      <c r="AO291" s="407"/>
      <c r="AP291" s="407"/>
    </row>
    <row r="292" spans="1:42">
      <c r="A292" s="402"/>
      <c r="B292" s="77"/>
      <c r="D292" s="131"/>
      <c r="E292" s="113">
        <f t="shared" si="4"/>
        <v>274</v>
      </c>
      <c r="F292" s="408">
        <f>skemA7!$E$21*COS(RADIANS(skemA7!$E$28*E292-skemA7!$E$22))</f>
        <v>11.566765558913991</v>
      </c>
      <c r="G292" s="408">
        <f>skemA7!$F$21*COS(RADIANS(skemA7!$F$28*E292-skemA7!$F$22))</f>
        <v>21.842967707503181</v>
      </c>
      <c r="H292" s="408">
        <f>skemA7!$G$21*COS(RADIANS(skemA7!$G$28*E292-skemA7!$G$22))</f>
        <v>10.613812867494767</v>
      </c>
      <c r="I292" s="408">
        <f>skemA7!$H$21*COS(RADIANS(skemA7!$H$28*E292-skemA7!$H$22))</f>
        <v>35.484444866222432</v>
      </c>
      <c r="J292" s="408">
        <f>skemA7!$I$21*COS(RADIANS(skemA7!$I$28*E292-skemA7!$I$22))</f>
        <v>11.927200318249751</v>
      </c>
      <c r="K292" s="408">
        <f>skemA7!$J$21*COS(RADIANS(skemA7!$J$28*E292-skemA7!$J$22))</f>
        <v>-0.89637295735110223</v>
      </c>
      <c r="L292" s="408">
        <f>skemA7!$K$21*COS(RADIANS(skemA7!$K$28*E292-skemA7!$K$22))</f>
        <v>3.2839785923225868</v>
      </c>
      <c r="M292" s="408">
        <f>skemA7!$L$21*COS(RADIANS(skemA7!$L$28*E292-skemA7!$L$22))</f>
        <v>6.1898234214504537</v>
      </c>
      <c r="N292" s="408">
        <f>skemA7!$M$21*COS(RADIANS(skemA7!$M$28*E292-skemA7!$M$22))</f>
        <v>11.376713225421984</v>
      </c>
      <c r="O292" s="409">
        <f>skemA7!$D$21+'Forcasting Pasut'!F292+'Forcasting Pasut'!G292+K292+L292+'Forcasting Pasut'!H292+'Forcasting Pasut'!I292+'Forcasting Pasut'!J292+'Forcasting Pasut'!M292+'Forcasting Pasut'!N292</f>
        <v>277.55765256574534</v>
      </c>
      <c r="P292" s="405"/>
      <c r="Q292" s="406">
        <f>AA282</f>
        <v>207.7</v>
      </c>
      <c r="R292" s="406"/>
      <c r="S292" s="406"/>
      <c r="T292" s="406"/>
      <c r="U292" s="406"/>
      <c r="V292" s="406"/>
      <c r="W292" s="406"/>
      <c r="X292" s="406"/>
      <c r="Y292" s="406"/>
      <c r="Z292" s="406"/>
      <c r="AA292" s="406"/>
      <c r="AB292" s="406"/>
      <c r="AC292" s="406"/>
      <c r="AD292" s="406"/>
      <c r="AE292" s="406"/>
      <c r="AF292" s="406"/>
      <c r="AG292" s="406"/>
      <c r="AH292" s="406"/>
      <c r="AI292" s="406"/>
      <c r="AJ292" s="406"/>
      <c r="AK292" s="406"/>
      <c r="AL292" s="406"/>
      <c r="AM292" s="406"/>
      <c r="AN292" s="406"/>
      <c r="AO292" s="407"/>
      <c r="AP292" s="407"/>
    </row>
    <row r="293" spans="1:42">
      <c r="A293" s="402"/>
      <c r="B293" s="77"/>
      <c r="D293" s="131"/>
      <c r="E293" s="113">
        <f t="shared" si="4"/>
        <v>275</v>
      </c>
      <c r="F293" s="408">
        <f>skemA7!$E$21*COS(RADIANS(skemA7!$E$28*E293-skemA7!$E$22))</f>
        <v>0.95001685313130335</v>
      </c>
      <c r="G293" s="408">
        <f>skemA7!$F$21*COS(RADIANS(skemA7!$F$28*E293-skemA7!$F$22))</f>
        <v>22.501820901412842</v>
      </c>
      <c r="H293" s="408">
        <f>skemA7!$G$21*COS(RADIANS(skemA7!$G$28*E293-skemA7!$G$22))</f>
        <v>2.6724319884641052</v>
      </c>
      <c r="I293" s="408">
        <f>skemA7!$H$21*COS(RADIANS(skemA7!$H$28*E293-skemA7!$H$22))</f>
        <v>33.125272384008085</v>
      </c>
      <c r="J293" s="408">
        <f>skemA7!$I$21*COS(RADIANS(skemA7!$I$28*E293-skemA7!$I$22))</f>
        <v>17.545115135872518</v>
      </c>
      <c r="K293" s="408">
        <f>skemA7!$J$21*COS(RADIANS(skemA7!$J$28*E293-skemA7!$J$22))</f>
        <v>-1.7803899580738136</v>
      </c>
      <c r="L293" s="408">
        <f>skemA7!$K$21*COS(RADIANS(skemA7!$K$28*E293-skemA7!$K$22))</f>
        <v>1.364348811522641</v>
      </c>
      <c r="M293" s="408">
        <f>skemA7!$L$21*COS(RADIANS(skemA7!$L$28*E293-skemA7!$L$22))</f>
        <v>5.1231380402229307</v>
      </c>
      <c r="N293" s="408">
        <f>skemA7!$M$21*COS(RADIANS(skemA7!$M$28*E293-skemA7!$M$22))</f>
        <v>11.799470363639438</v>
      </c>
      <c r="O293" s="409">
        <f>skemA7!$D$21+'Forcasting Pasut'!F293+'Forcasting Pasut'!G293+K293+L293+'Forcasting Pasut'!H293+'Forcasting Pasut'!I293+'Forcasting Pasut'!J293+'Forcasting Pasut'!M293+'Forcasting Pasut'!N293</f>
        <v>259.46954348571728</v>
      </c>
      <c r="P293" s="405"/>
      <c r="Q293" s="406">
        <f>AB282</f>
        <v>203.6</v>
      </c>
      <c r="R293" s="406"/>
      <c r="S293" s="406"/>
      <c r="T293" s="406"/>
      <c r="U293" s="406"/>
      <c r="V293" s="406"/>
      <c r="W293" s="406"/>
      <c r="X293" s="406"/>
      <c r="Y293" s="406"/>
      <c r="Z293" s="406"/>
      <c r="AA293" s="406"/>
      <c r="AB293" s="406"/>
      <c r="AC293" s="406"/>
      <c r="AD293" s="406"/>
      <c r="AE293" s="406"/>
      <c r="AF293" s="406"/>
      <c r="AG293" s="406"/>
      <c r="AH293" s="406"/>
      <c r="AI293" s="406"/>
      <c r="AJ293" s="406"/>
      <c r="AK293" s="406"/>
      <c r="AL293" s="406"/>
      <c r="AM293" s="406"/>
      <c r="AN293" s="406"/>
      <c r="AO293" s="407"/>
      <c r="AP293" s="407"/>
    </row>
    <row r="294" spans="1:42">
      <c r="A294" s="402"/>
      <c r="B294" s="77"/>
      <c r="D294" s="131"/>
      <c r="E294" s="113">
        <f t="shared" si="4"/>
        <v>276</v>
      </c>
      <c r="F294" s="408">
        <f>skemA7!$E$21*COS(RADIANS(skemA7!$E$28*E294-skemA7!$E$22))</f>
        <v>-9.9047014650905627</v>
      </c>
      <c r="G294" s="408">
        <f>skemA7!$F$21*COS(RADIANS(skemA7!$F$28*E294-skemA7!$F$22))</f>
        <v>17.131329356559426</v>
      </c>
      <c r="H294" s="408">
        <f>skemA7!$G$21*COS(RADIANS(skemA7!$G$28*E294-skemA7!$G$22))</f>
        <v>-5.913986796832285</v>
      </c>
      <c r="I294" s="408">
        <f>skemA7!$H$21*COS(RADIANS(skemA7!$H$28*E294-skemA7!$H$22))</f>
        <v>28.496380881477517</v>
      </c>
      <c r="J294" s="408">
        <f>skemA7!$I$21*COS(RADIANS(skemA7!$I$28*E294-skemA7!$I$22))</f>
        <v>22.12912856998166</v>
      </c>
      <c r="K294" s="408">
        <f>skemA7!$J$21*COS(RADIANS(skemA7!$J$28*E294-skemA7!$J$22))</f>
        <v>-0.99223914722051909</v>
      </c>
      <c r="L294" s="408">
        <f>skemA7!$K$21*COS(RADIANS(skemA7!$K$28*E294-skemA7!$K$22))</f>
        <v>-1.877942318182011</v>
      </c>
      <c r="M294" s="408">
        <f>skemA7!$L$21*COS(RADIANS(skemA7!$L$28*E294-skemA7!$L$22))</f>
        <v>2.676370791910117</v>
      </c>
      <c r="N294" s="408">
        <f>skemA7!$M$21*COS(RADIANS(skemA7!$M$28*E294-skemA7!$M$22))</f>
        <v>11.422477949165176</v>
      </c>
      <c r="O294" s="409">
        <f>skemA7!$D$21+'Forcasting Pasut'!F294+'Forcasting Pasut'!G294+K294+L294+'Forcasting Pasut'!H294+'Forcasting Pasut'!I294+'Forcasting Pasut'!J294+'Forcasting Pasut'!M294+'Forcasting Pasut'!N294</f>
        <v>229.33513678728576</v>
      </c>
      <c r="P294" s="405"/>
      <c r="Q294" s="406">
        <f>AC282</f>
        <v>197.6</v>
      </c>
      <c r="R294" s="406"/>
      <c r="S294" s="406"/>
      <c r="T294" s="406"/>
      <c r="U294" s="406"/>
      <c r="V294" s="406"/>
      <c r="W294" s="406"/>
      <c r="X294" s="406"/>
      <c r="Y294" s="406"/>
      <c r="Z294" s="406"/>
      <c r="AA294" s="406"/>
      <c r="AB294" s="406"/>
      <c r="AC294" s="406"/>
      <c r="AD294" s="406"/>
      <c r="AE294" s="406"/>
      <c r="AF294" s="406"/>
      <c r="AG294" s="406"/>
      <c r="AH294" s="406"/>
      <c r="AI294" s="406"/>
      <c r="AJ294" s="406"/>
      <c r="AK294" s="406"/>
      <c r="AL294" s="406"/>
      <c r="AM294" s="406"/>
      <c r="AN294" s="406"/>
      <c r="AO294" s="407"/>
      <c r="AP294" s="407"/>
    </row>
    <row r="295" spans="1:42">
      <c r="A295" s="402"/>
      <c r="B295" s="77"/>
      <c r="D295" s="131"/>
      <c r="E295" s="113">
        <f t="shared" si="4"/>
        <v>277</v>
      </c>
      <c r="F295" s="408">
        <f>skemA7!$E$21*COS(RADIANS(skemA7!$E$28*E295-skemA7!$E$22))</f>
        <v>-18.278392250801275</v>
      </c>
      <c r="G295" s="408">
        <f>skemA7!$F$21*COS(RADIANS(skemA7!$F$28*E295-skemA7!$F$22))</f>
        <v>7.1705119453438986</v>
      </c>
      <c r="H295" s="408">
        <f>skemA7!$G$21*COS(RADIANS(skemA7!$G$28*E295-skemA7!$G$22))</f>
        <v>-13.072962085875778</v>
      </c>
      <c r="I295" s="408">
        <f>skemA7!$H$21*COS(RADIANS(skemA7!$H$28*E295-skemA7!$H$22))</f>
        <v>21.9149385607348</v>
      </c>
      <c r="J295" s="408">
        <f>skemA7!$I$21*COS(RADIANS(skemA7!$I$28*E295-skemA7!$I$22))</f>
        <v>25.409113135241274</v>
      </c>
      <c r="K295" s="408">
        <f>skemA7!$J$21*COS(RADIANS(skemA7!$J$28*E295-skemA7!$J$22))</f>
        <v>0.72783691733548739</v>
      </c>
      <c r="L295" s="408">
        <f>skemA7!$K$21*COS(RADIANS(skemA7!$K$28*E295-skemA7!$K$22))</f>
        <v>-3.2996713608645547</v>
      </c>
      <c r="M295" s="408">
        <f>skemA7!$L$21*COS(RADIANS(skemA7!$L$28*E295-skemA7!$L$22))</f>
        <v>-0.49136293642205353</v>
      </c>
      <c r="N295" s="408">
        <f>skemA7!$M$21*COS(RADIANS(skemA7!$M$28*E295-skemA7!$M$22))</f>
        <v>10.271287935227031</v>
      </c>
      <c r="O295" s="409">
        <f>skemA7!$D$21+'Forcasting Pasut'!F295+'Forcasting Pasut'!G295+K295+L295+'Forcasting Pasut'!H295+'Forcasting Pasut'!I295+'Forcasting Pasut'!J295+'Forcasting Pasut'!M295+'Forcasting Pasut'!N295</f>
        <v>196.51961882543605</v>
      </c>
      <c r="P295" s="405"/>
      <c r="Q295" s="406">
        <f>AD282</f>
        <v>187.3</v>
      </c>
      <c r="R295" s="406"/>
      <c r="S295" s="406"/>
      <c r="T295" s="406"/>
      <c r="U295" s="406"/>
      <c r="V295" s="406"/>
      <c r="W295" s="406"/>
      <c r="X295" s="406"/>
      <c r="Y295" s="406"/>
      <c r="Z295" s="406"/>
      <c r="AA295" s="406"/>
      <c r="AB295" s="406"/>
      <c r="AC295" s="406"/>
      <c r="AD295" s="406"/>
      <c r="AE295" s="406"/>
      <c r="AF295" s="406"/>
      <c r="AG295" s="406"/>
      <c r="AH295" s="406"/>
      <c r="AI295" s="406"/>
      <c r="AJ295" s="406"/>
      <c r="AK295" s="406"/>
      <c r="AL295" s="406"/>
      <c r="AM295" s="406"/>
      <c r="AN295" s="406"/>
      <c r="AO295" s="407"/>
      <c r="AP295" s="407"/>
    </row>
    <row r="296" spans="1:42">
      <c r="A296" s="402"/>
      <c r="B296" s="77"/>
      <c r="D296" s="131"/>
      <c r="E296" s="113">
        <f t="shared" si="4"/>
        <v>278</v>
      </c>
      <c r="F296" s="408">
        <f>skemA7!$E$21*COS(RADIANS(skemA7!$E$28*E296-skemA7!$E$22))</f>
        <v>-22.073530660743863</v>
      </c>
      <c r="G296" s="408">
        <f>skemA7!$F$21*COS(RADIANS(skemA7!$F$28*E296-skemA7!$F$22))</f>
        <v>-4.7116383509437281</v>
      </c>
      <c r="H296" s="408">
        <f>skemA7!$G$21*COS(RADIANS(skemA7!$G$28*E296-skemA7!$G$22))</f>
        <v>-17.076550772395027</v>
      </c>
      <c r="I296" s="408">
        <f>skemA7!$H$21*COS(RADIANS(skemA7!$H$28*E296-skemA7!$H$22))</f>
        <v>13.831900953355648</v>
      </c>
      <c r="J296" s="408">
        <f>skemA7!$I$21*COS(RADIANS(skemA7!$I$28*E296-skemA7!$I$22))</f>
        <v>27.191785370490511</v>
      </c>
      <c r="K296" s="408">
        <f>skemA7!$J$21*COS(RADIANS(skemA7!$J$28*E296-skemA7!$J$22))</f>
        <v>1.7643180988009501</v>
      </c>
      <c r="L296" s="408">
        <f>skemA7!$K$21*COS(RADIANS(skemA7!$K$28*E296-skemA7!$K$22))</f>
        <v>-1.5225499803683662</v>
      </c>
      <c r="M296" s="408">
        <f>skemA7!$L$21*COS(RADIANS(skemA7!$L$28*E296-skemA7!$L$22))</f>
        <v>-3.5267322675057802</v>
      </c>
      <c r="N296" s="408">
        <f>skemA7!$M$21*COS(RADIANS(skemA7!$M$28*E296-skemA7!$M$22))</f>
        <v>8.4239261713196694</v>
      </c>
      <c r="O296" s="409">
        <f>skemA7!$D$21+'Forcasting Pasut'!F296+'Forcasting Pasut'!G296+K296+L296+'Forcasting Pasut'!H296+'Forcasting Pasut'!I296+'Forcasting Pasut'!J296+'Forcasting Pasut'!M296+'Forcasting Pasut'!N296</f>
        <v>168.46924752752724</v>
      </c>
      <c r="P296" s="405"/>
      <c r="Q296" s="406">
        <f>AE282</f>
        <v>176.5</v>
      </c>
      <c r="R296" s="406"/>
      <c r="S296" s="406"/>
      <c r="T296" s="406"/>
      <c r="U296" s="406"/>
      <c r="V296" s="406"/>
      <c r="W296" s="406"/>
      <c r="X296" s="406"/>
      <c r="Y296" s="406"/>
      <c r="Z296" s="406"/>
      <c r="AA296" s="406"/>
      <c r="AB296" s="406"/>
      <c r="AC296" s="406"/>
      <c r="AD296" s="406"/>
      <c r="AE296" s="406"/>
      <c r="AF296" s="406"/>
      <c r="AG296" s="406"/>
      <c r="AH296" s="406"/>
      <c r="AI296" s="406"/>
      <c r="AJ296" s="406"/>
      <c r="AK296" s="406"/>
      <c r="AL296" s="406"/>
      <c r="AM296" s="406"/>
      <c r="AN296" s="406"/>
      <c r="AO296" s="407"/>
      <c r="AP296" s="407"/>
    </row>
    <row r="297" spans="1:42">
      <c r="A297" s="402"/>
      <c r="B297" s="77"/>
      <c r="D297" s="131"/>
      <c r="E297" s="113">
        <f t="shared" si="4"/>
        <v>279</v>
      </c>
      <c r="F297" s="408">
        <f>skemA7!$E$21*COS(RADIANS(skemA7!$E$28*E297-skemA7!$E$22))</f>
        <v>-20.339472910454319</v>
      </c>
      <c r="G297" s="408">
        <f>skemA7!$F$21*COS(RADIANS(skemA7!$F$28*E297-skemA7!$F$22))</f>
        <v>-15.331308956069016</v>
      </c>
      <c r="H297" s="408">
        <f>skemA7!$G$21*COS(RADIANS(skemA7!$G$28*E297-skemA7!$G$22))</f>
        <v>-16.958417146052167</v>
      </c>
      <c r="I297" s="408">
        <f>skemA7!$H$21*COS(RADIANS(skemA7!$H$28*E297-skemA7!$H$22))</f>
        <v>4.8011117828489356</v>
      </c>
      <c r="J297" s="408">
        <f>skemA7!$I$21*COS(RADIANS(skemA7!$I$28*E297-skemA7!$I$22))</f>
        <v>27.37209567781554</v>
      </c>
      <c r="K297" s="408">
        <f>skemA7!$J$21*COS(RADIANS(skemA7!$J$28*E297-skemA7!$J$22))</f>
        <v>1.1437263896803489</v>
      </c>
      <c r="L297" s="408">
        <f>skemA7!$K$21*COS(RADIANS(skemA7!$K$28*E297-skemA7!$K$22))</f>
        <v>1.7306001061310872</v>
      </c>
      <c r="M297" s="408">
        <f>skemA7!$L$21*COS(RADIANS(skemA7!$L$28*E297-skemA7!$L$22))</f>
        <v>-5.6120629281036374</v>
      </c>
      <c r="N297" s="408">
        <f>skemA7!$M$21*COS(RADIANS(skemA7!$M$28*E297-skemA7!$M$22))</f>
        <v>6.0056039337811633</v>
      </c>
      <c r="O297" s="409">
        <f>skemA7!$D$21+'Forcasting Pasut'!F297+'Forcasting Pasut'!G297+K297+L297+'Forcasting Pasut'!H297+'Forcasting Pasut'!I297+'Forcasting Pasut'!J297+'Forcasting Pasut'!M297+'Forcasting Pasut'!N297</f>
        <v>148.98019491509518</v>
      </c>
      <c r="P297" s="405"/>
      <c r="Q297" s="406">
        <f>AF282</f>
        <v>163.19999999999999</v>
      </c>
      <c r="R297" s="406"/>
      <c r="S297" s="406"/>
      <c r="T297" s="406"/>
      <c r="U297" s="406"/>
      <c r="V297" s="406"/>
      <c r="W297" s="406"/>
      <c r="X297" s="406"/>
      <c r="Y297" s="406"/>
      <c r="Z297" s="406"/>
      <c r="AA297" s="406"/>
      <c r="AB297" s="406"/>
      <c r="AC297" s="406"/>
      <c r="AD297" s="406"/>
      <c r="AE297" s="406"/>
      <c r="AF297" s="406"/>
      <c r="AG297" s="406"/>
      <c r="AH297" s="406"/>
      <c r="AI297" s="406"/>
      <c r="AJ297" s="406"/>
      <c r="AK297" s="406"/>
      <c r="AL297" s="406"/>
      <c r="AM297" s="406"/>
      <c r="AN297" s="406"/>
      <c r="AO297" s="407"/>
      <c r="AP297" s="407"/>
    </row>
    <row r="298" spans="1:42">
      <c r="A298" s="402"/>
      <c r="B298" s="77"/>
      <c r="D298" s="131"/>
      <c r="E298" s="113">
        <f t="shared" si="4"/>
        <v>280</v>
      </c>
      <c r="F298" s="408">
        <f>skemA7!$E$21*COS(RADIANS(skemA7!$E$28*E298-skemA7!$E$22))</f>
        <v>-13.510582926659623</v>
      </c>
      <c r="G298" s="408">
        <f>skemA7!$F$21*COS(RADIANS(skemA7!$F$28*E298-skemA7!$F$22))</f>
        <v>-21.842967707503107</v>
      </c>
      <c r="H298" s="408">
        <f>skemA7!$G$21*COS(RADIANS(skemA7!$G$28*E298-skemA7!$G$22))</f>
        <v>-12.747074810682435</v>
      </c>
      <c r="I298" s="408">
        <f>skemA7!$H$21*COS(RADIANS(skemA7!$H$28*E298-skemA7!$H$22))</f>
        <v>-4.5586459952470584</v>
      </c>
      <c r="J298" s="408">
        <f>skemA7!$I$21*COS(RADIANS(skemA7!$I$28*E298-skemA7!$I$22))</f>
        <v>25.939418702252251</v>
      </c>
      <c r="K298" s="408">
        <f>skemA7!$J$21*COS(RADIANS(skemA7!$J$28*E298-skemA7!$J$22))</f>
        <v>-0.55106956632485482</v>
      </c>
      <c r="L298" s="408">
        <f>skemA7!$K$21*COS(RADIANS(skemA7!$K$28*E298-skemA7!$K$22))</f>
        <v>3.3060282996233092</v>
      </c>
      <c r="M298" s="408">
        <f>skemA7!$L$21*COS(RADIANS(skemA7!$L$28*E298-skemA7!$L$22))</f>
        <v>-6.1856040910909078</v>
      </c>
      <c r="N298" s="408">
        <f>skemA7!$M$21*COS(RADIANS(skemA7!$M$28*E298-skemA7!$M$22))</f>
        <v>3.1802313023126749</v>
      </c>
      <c r="O298" s="409">
        <f>skemA7!$D$21+'Forcasting Pasut'!F298+'Forcasting Pasut'!G298+K298+L298+'Forcasting Pasut'!H298+'Forcasting Pasut'!I298+'Forcasting Pasut'!J298+'Forcasting Pasut'!M298+'Forcasting Pasut'!N298</f>
        <v>139.19805217219749</v>
      </c>
      <c r="P298" s="405"/>
      <c r="Q298" s="406">
        <f>AG282</f>
        <v>157.80000000000001</v>
      </c>
      <c r="R298" s="406"/>
      <c r="S298" s="406"/>
      <c r="T298" s="406"/>
      <c r="U298" s="406"/>
      <c r="V298" s="406"/>
      <c r="W298" s="406"/>
      <c r="X298" s="406"/>
      <c r="Y298" s="406"/>
      <c r="Z298" s="406"/>
      <c r="AA298" s="406"/>
      <c r="AB298" s="406"/>
      <c r="AC298" s="406"/>
      <c r="AD298" s="406"/>
      <c r="AE298" s="406"/>
      <c r="AF298" s="406"/>
      <c r="AG298" s="406"/>
      <c r="AH298" s="406"/>
      <c r="AI298" s="406"/>
      <c r="AJ298" s="406"/>
      <c r="AK298" s="406"/>
      <c r="AL298" s="406"/>
      <c r="AM298" s="406"/>
      <c r="AN298" s="406"/>
      <c r="AO298" s="407"/>
      <c r="AP298" s="407"/>
    </row>
    <row r="299" spans="1:42">
      <c r="A299" s="402"/>
      <c r="B299" s="77"/>
      <c r="D299" s="131"/>
      <c r="E299" s="113">
        <f t="shared" si="4"/>
        <v>281</v>
      </c>
      <c r="F299" s="408">
        <f>skemA7!$E$21*COS(RADIANS(skemA7!$E$28*E299-skemA7!$E$22))</f>
        <v>-3.297428577153541</v>
      </c>
      <c r="G299" s="408">
        <f>skemA7!$F$21*COS(RADIANS(skemA7!$F$28*E299-skemA7!$F$22))</f>
        <v>-22.501820901412891</v>
      </c>
      <c r="H299" s="408">
        <f>skemA7!$G$21*COS(RADIANS(skemA7!$G$28*E299-skemA7!$G$22))</f>
        <v>-5.4590044304530343</v>
      </c>
      <c r="I299" s="408">
        <f>skemA7!$H$21*COS(RADIANS(skemA7!$H$28*E299-skemA7!$H$22))</f>
        <v>-13.606048741138171</v>
      </c>
      <c r="J299" s="408">
        <f>skemA7!$I$21*COS(RADIANS(skemA7!$I$28*E299-skemA7!$I$22))</f>
        <v>22.978179464422688</v>
      </c>
      <c r="K299" s="408">
        <f>skemA7!$J$21*COS(RADIANS(skemA7!$J$28*E299-skemA7!$J$22))</f>
        <v>-1.7282930733455653</v>
      </c>
      <c r="L299" s="408">
        <f>skemA7!$K$21*COS(RADIANS(skemA7!$K$28*E299-skemA7!$K$22))</f>
        <v>1.6764433664382543</v>
      </c>
      <c r="M299" s="408">
        <f>skemA7!$L$21*COS(RADIANS(skemA7!$L$28*E299-skemA7!$L$22))</f>
        <v>-5.0928540130341169</v>
      </c>
      <c r="N299" s="408">
        <f>skemA7!$M$21*COS(RADIANS(skemA7!$M$28*E299-skemA7!$M$22))</f>
        <v>0.13930759243985225</v>
      </c>
      <c r="O299" s="409">
        <f>skemA7!$D$21+'Forcasting Pasut'!F299+'Forcasting Pasut'!G299+K299+L299+'Forcasting Pasut'!H299+'Forcasting Pasut'!I299+'Forcasting Pasut'!J299+'Forcasting Pasut'!M299+'Forcasting Pasut'!N299</f>
        <v>139.27679965228074</v>
      </c>
      <c r="P299" s="405"/>
      <c r="Q299" s="406">
        <f>AH282</f>
        <v>153.80000000000001</v>
      </c>
      <c r="R299" s="406"/>
      <c r="S299" s="406"/>
      <c r="T299" s="406"/>
      <c r="U299" s="406"/>
      <c r="V299" s="406"/>
      <c r="W299" s="406"/>
      <c r="X299" s="406"/>
      <c r="Y299" s="406"/>
      <c r="Z299" s="406"/>
      <c r="AA299" s="406"/>
      <c r="AB299" s="406"/>
      <c r="AC299" s="406"/>
      <c r="AD299" s="406"/>
      <c r="AE299" s="406"/>
      <c r="AF299" s="406"/>
      <c r="AG299" s="406"/>
      <c r="AH299" s="406"/>
      <c r="AI299" s="406"/>
      <c r="AJ299" s="406"/>
      <c r="AK299" s="406"/>
      <c r="AL299" s="406"/>
      <c r="AM299" s="406"/>
      <c r="AN299" s="406"/>
      <c r="AO299" s="407"/>
      <c r="AP299" s="407"/>
    </row>
    <row r="300" spans="1:42">
      <c r="A300" s="402"/>
      <c r="B300" s="77"/>
      <c r="D300" s="131"/>
      <c r="E300" s="113">
        <f t="shared" si="4"/>
        <v>282</v>
      </c>
      <c r="F300" s="408">
        <f>skemA7!$E$21*COS(RADIANS(skemA7!$E$28*E300-skemA7!$E$22))</f>
        <v>7.7416982779585126</v>
      </c>
      <c r="G300" s="408">
        <f>skemA7!$F$21*COS(RADIANS(skemA7!$F$28*E300-skemA7!$F$22))</f>
        <v>-17.131329356559153</v>
      </c>
      <c r="H300" s="408">
        <f>skemA7!$G$21*COS(RADIANS(skemA7!$G$28*E300-skemA7!$G$22))</f>
        <v>3.1466915444835153</v>
      </c>
      <c r="I300" s="408">
        <f>skemA7!$H$21*COS(RADIANS(skemA7!$H$28*E300-skemA7!$H$22))</f>
        <v>-21.72117514946137</v>
      </c>
      <c r="J300" s="408">
        <f>skemA7!$I$21*COS(RADIANS(skemA7!$I$28*E300-skemA7!$I$22))</f>
        <v>18.662878349260136</v>
      </c>
      <c r="K300" s="408">
        <f>skemA7!$J$21*COS(RADIANS(skemA7!$J$28*E300-skemA7!$J$22))</f>
        <v>-1.2822789109375314</v>
      </c>
      <c r="L300" s="408">
        <f>skemA7!$K$21*COS(RADIANS(skemA7!$K$28*E300-skemA7!$K$22))</f>
        <v>-1.5783614706954687</v>
      </c>
      <c r="M300" s="408">
        <f>skemA7!$L$21*COS(RADIANS(skemA7!$L$28*E300-skemA7!$L$22))</f>
        <v>-2.6281800438154836</v>
      </c>
      <c r="N300" s="408">
        <f>skemA7!$M$21*COS(RADIANS(skemA7!$M$28*E300-skemA7!$M$22))</f>
        <v>-2.9110581670593443</v>
      </c>
      <c r="O300" s="409">
        <f>skemA7!$D$21+'Forcasting Pasut'!F300+'Forcasting Pasut'!G300+K300+L300+'Forcasting Pasut'!H300+'Forcasting Pasut'!I300+'Forcasting Pasut'!J300+'Forcasting Pasut'!M300+'Forcasting Pasut'!N300</f>
        <v>148.46720403869105</v>
      </c>
      <c r="P300" s="405"/>
      <c r="Q300" s="406">
        <f>AI282</f>
        <v>154.4</v>
      </c>
      <c r="R300" s="406"/>
      <c r="S300" s="406"/>
      <c r="T300" s="406"/>
      <c r="U300" s="406"/>
      <c r="V300" s="406"/>
      <c r="W300" s="406"/>
      <c r="X300" s="406"/>
      <c r="Y300" s="406"/>
      <c r="Z300" s="406"/>
      <c r="AA300" s="406"/>
      <c r="AB300" s="406"/>
      <c r="AC300" s="406"/>
      <c r="AD300" s="406"/>
      <c r="AE300" s="406"/>
      <c r="AF300" s="406"/>
      <c r="AG300" s="406"/>
      <c r="AH300" s="406"/>
      <c r="AI300" s="406"/>
      <c r="AJ300" s="406"/>
      <c r="AK300" s="406"/>
      <c r="AL300" s="406"/>
      <c r="AM300" s="406"/>
      <c r="AN300" s="406"/>
      <c r="AO300" s="407"/>
      <c r="AP300" s="407"/>
    </row>
    <row r="301" spans="1:42">
      <c r="A301" s="402"/>
      <c r="B301" s="77"/>
      <c r="D301" s="131"/>
      <c r="E301" s="113">
        <f t="shared" si="4"/>
        <v>283</v>
      </c>
      <c r="F301" s="408">
        <f>skemA7!$E$21*COS(RADIANS(skemA7!$E$28*E301-skemA7!$E$22))</f>
        <v>16.8416080205002</v>
      </c>
      <c r="G301" s="408">
        <f>skemA7!$F$21*COS(RADIANS(skemA7!$F$28*E301-skemA7!$F$22))</f>
        <v>-7.1705119453441348</v>
      </c>
      <c r="H301" s="408">
        <f>skemA7!$G$21*COS(RADIANS(skemA7!$G$28*E301-skemA7!$G$22))</f>
        <v>10.992878826858712</v>
      </c>
      <c r="I301" s="408">
        <f>skemA7!$H$21*COS(RADIANS(skemA7!$H$28*E301-skemA7!$H$22))</f>
        <v>-28.34798279593895</v>
      </c>
      <c r="J301" s="408">
        <f>skemA7!$I$21*COS(RADIANS(skemA7!$I$28*E301-skemA7!$I$22))</f>
        <v>13.247808119092127</v>
      </c>
      <c r="K301" s="408">
        <f>skemA7!$J$21*COS(RADIANS(skemA7!$J$28*E301-skemA7!$J$22))</f>
        <v>0.368070015665725</v>
      </c>
      <c r="L301" s="408">
        <f>skemA7!$K$21*COS(RADIANS(skemA7!$K$28*E301-skemA7!$K$22))</f>
        <v>-3.3030314227779249</v>
      </c>
      <c r="M301" s="408">
        <f>skemA7!$L$21*COS(RADIANS(skemA7!$L$28*E301-skemA7!$L$22))</f>
        <v>0.54447867877646783</v>
      </c>
      <c r="N301" s="408">
        <f>skemA7!$M$21*COS(RADIANS(skemA7!$M$28*E301-skemA7!$M$22))</f>
        <v>-5.7641169801265031</v>
      </c>
      <c r="O301" s="409">
        <f>skemA7!$D$21+'Forcasting Pasut'!F301+'Forcasting Pasut'!G301+K301+L301+'Forcasting Pasut'!H301+'Forcasting Pasut'!I301+'Forcasting Pasut'!J301+'Forcasting Pasut'!M301+'Forcasting Pasut'!N301</f>
        <v>163.57751948222293</v>
      </c>
      <c r="P301" s="405"/>
      <c r="Q301" s="406">
        <f>AJ282</f>
        <v>162.1</v>
      </c>
      <c r="R301" s="406"/>
      <c r="S301" s="406"/>
      <c r="T301" s="406"/>
      <c r="U301" s="406"/>
      <c r="V301" s="406"/>
      <c r="W301" s="406"/>
      <c r="X301" s="406"/>
      <c r="Y301" s="406"/>
      <c r="Z301" s="406"/>
      <c r="AA301" s="406"/>
      <c r="AB301" s="406"/>
      <c r="AC301" s="406"/>
      <c r="AD301" s="406"/>
      <c r="AE301" s="406"/>
      <c r="AF301" s="406"/>
      <c r="AG301" s="406"/>
      <c r="AH301" s="406"/>
      <c r="AI301" s="406"/>
      <c r="AJ301" s="406"/>
      <c r="AK301" s="406"/>
      <c r="AL301" s="406"/>
      <c r="AM301" s="406"/>
      <c r="AN301" s="406"/>
      <c r="AO301" s="407"/>
      <c r="AP301" s="407"/>
    </row>
    <row r="302" spans="1:42">
      <c r="A302" s="402"/>
      <c r="B302" s="77"/>
      <c r="D302" s="131"/>
      <c r="E302" s="113">
        <f t="shared" si="4"/>
        <v>284</v>
      </c>
      <c r="F302" s="408">
        <f>skemA7!$E$21*COS(RADIANS(skemA7!$E$28*E302-skemA7!$E$22))</f>
        <v>21.722865304118027</v>
      </c>
      <c r="G302" s="408">
        <f>skemA7!$F$21*COS(RADIANS(skemA7!$F$28*E302-skemA7!$F$22))</f>
        <v>4.7116383509441251</v>
      </c>
      <c r="H302" s="408">
        <f>skemA7!$G$21*COS(RADIANS(skemA7!$G$28*E302-skemA7!$G$22))</f>
        <v>16.185743752327134</v>
      </c>
      <c r="I302" s="408">
        <f>skemA7!$H$21*COS(RADIANS(skemA7!$H$28*E302-skemA7!$H$22))</f>
        <v>-33.032407750625417</v>
      </c>
      <c r="J302" s="408">
        <f>skemA7!$I$21*COS(RADIANS(skemA7!$I$28*E302-skemA7!$I$22))</f>
        <v>7.0520689085956665</v>
      </c>
      <c r="K302" s="408">
        <f>skemA7!$J$21*COS(RADIANS(skemA7!$J$28*E302-skemA7!$J$22))</f>
        <v>1.6727222987829189</v>
      </c>
      <c r="L302" s="408">
        <f>skemA7!$K$21*COS(RADIANS(skemA7!$K$28*E302-skemA7!$K$22))</f>
        <v>-1.8255935559294336</v>
      </c>
      <c r="M302" s="408">
        <f>skemA7!$L$21*COS(RADIANS(skemA7!$L$28*E302-skemA7!$L$22))</f>
        <v>3.5704645720023396</v>
      </c>
      <c r="N302" s="408">
        <f>skemA7!$M$21*COS(RADIANS(skemA7!$M$28*E302-skemA7!$M$22))</f>
        <v>-8.22649300536923</v>
      </c>
      <c r="O302" s="409">
        <f>skemA7!$D$21+'Forcasting Pasut'!F302+'Forcasting Pasut'!G302+K302+L302+'Forcasting Pasut'!H302+'Forcasting Pasut'!I302+'Forcasting Pasut'!J302+'Forcasting Pasut'!M302+'Forcasting Pasut'!N302</f>
        <v>177.99932784036338</v>
      </c>
      <c r="P302" s="405"/>
      <c r="Q302" s="406">
        <f>AK282</f>
        <v>170.4</v>
      </c>
      <c r="R302" s="406"/>
      <c r="S302" s="406"/>
      <c r="T302" s="406"/>
      <c r="U302" s="406"/>
      <c r="V302" s="406"/>
      <c r="W302" s="406"/>
      <c r="X302" s="406"/>
      <c r="Y302" s="406"/>
      <c r="Z302" s="406"/>
      <c r="AA302" s="406"/>
      <c r="AB302" s="406"/>
      <c r="AC302" s="406"/>
      <c r="AD302" s="406"/>
      <c r="AE302" s="406"/>
      <c r="AF302" s="406"/>
      <c r="AG302" s="406"/>
      <c r="AH302" s="406"/>
      <c r="AI302" s="406"/>
      <c r="AJ302" s="406"/>
      <c r="AK302" s="406"/>
      <c r="AL302" s="406"/>
      <c r="AM302" s="406"/>
      <c r="AN302" s="406"/>
      <c r="AO302" s="407"/>
      <c r="AP302" s="407"/>
    </row>
    <row r="303" spans="1:42">
      <c r="A303" s="402"/>
      <c r="B303" s="77"/>
      <c r="D303" s="131"/>
      <c r="E303" s="113">
        <f t="shared" si="4"/>
        <v>285</v>
      </c>
      <c r="F303" s="408">
        <f>skemA7!$E$21*COS(RADIANS(skemA7!$E$28*E303-skemA7!$E$22))</f>
        <v>21.162764552413833</v>
      </c>
      <c r="G303" s="408">
        <f>skemA7!$F$21*COS(RADIANS(skemA7!$F$28*E303-skemA7!$F$22))</f>
        <v>15.33130895606932</v>
      </c>
      <c r="H303" s="408">
        <f>skemA7!$G$21*COS(RADIANS(skemA7!$G$28*E303-skemA7!$G$22))</f>
        <v>17.471898121113671</v>
      </c>
      <c r="I303" s="408">
        <f>skemA7!$H$21*COS(RADIANS(skemA7!$H$28*E303-skemA7!$H$22))</f>
        <v>-35.453476700588404</v>
      </c>
      <c r="J303" s="408">
        <f>skemA7!$I$21*COS(RADIANS(skemA7!$I$28*E303-skemA7!$I$22))</f>
        <v>0.44076424043381829</v>
      </c>
      <c r="K303" s="408">
        <f>skemA7!$J$21*COS(RADIANS(skemA7!$J$28*E303-skemA7!$J$22))</f>
        <v>1.4063297818291833</v>
      </c>
      <c r="L303" s="408">
        <f>skemA7!$K$21*COS(RADIANS(skemA7!$K$28*E303-skemA7!$K$22))</f>
        <v>1.4216571438574992</v>
      </c>
      <c r="M303" s="408">
        <f>skemA7!$L$21*COS(RADIANS(skemA7!$L$28*E303-skemA7!$L$22))</f>
        <v>5.6346310931547814</v>
      </c>
      <c r="N303" s="408">
        <f>skemA7!$M$21*COS(RADIANS(skemA7!$M$28*E303-skemA7!$M$22))</f>
        <v>-10.131290266607623</v>
      </c>
      <c r="O303" s="409">
        <f>skemA7!$D$21+'Forcasting Pasut'!F303+'Forcasting Pasut'!G303+K303+L303+'Forcasting Pasut'!H303+'Forcasting Pasut'!I303+'Forcasting Pasut'!J303+'Forcasting Pasut'!M303+'Forcasting Pasut'!N303</f>
        <v>183.45290588719328</v>
      </c>
      <c r="P303" s="405"/>
      <c r="Q303" s="406">
        <f>AL282</f>
        <v>172.10000000000002</v>
      </c>
      <c r="R303" s="406"/>
      <c r="S303" s="406"/>
      <c r="T303" s="406"/>
      <c r="U303" s="406"/>
      <c r="V303" s="406"/>
      <c r="W303" s="406"/>
      <c r="X303" s="406"/>
      <c r="Y303" s="406"/>
      <c r="Z303" s="406"/>
      <c r="AA303" s="406"/>
      <c r="AB303" s="406"/>
      <c r="AC303" s="406"/>
      <c r="AD303" s="406"/>
      <c r="AE303" s="406"/>
      <c r="AF303" s="406"/>
      <c r="AG303" s="406"/>
      <c r="AH303" s="406"/>
      <c r="AI303" s="406"/>
      <c r="AJ303" s="406"/>
      <c r="AK303" s="406"/>
      <c r="AL303" s="406"/>
      <c r="AM303" s="406"/>
      <c r="AN303" s="406"/>
      <c r="AO303" s="407"/>
      <c r="AP303" s="407"/>
    </row>
    <row r="304" spans="1:42">
      <c r="A304" s="402"/>
      <c r="B304" s="77"/>
      <c r="D304" s="131"/>
      <c r="E304" s="113">
        <f t="shared" si="4"/>
        <v>286</v>
      </c>
      <c r="F304" s="408">
        <f>skemA7!$E$21*COS(RADIANS(skemA7!$E$28*E304-skemA7!$E$22))</f>
        <v>15.301605338358733</v>
      </c>
      <c r="G304" s="408">
        <f>skemA7!$F$21*COS(RADIANS(skemA7!$F$28*E304-skemA7!$F$22))</f>
        <v>21.842967707503234</v>
      </c>
      <c r="H304" s="408">
        <f>skemA7!$G$21*COS(RADIANS(skemA7!$G$28*E304-skemA7!$G$22))</f>
        <v>14.540906223438656</v>
      </c>
      <c r="I304" s="408">
        <f>skemA7!$H$21*COS(RADIANS(skemA7!$H$28*E304-skemA7!$H$22))</f>
        <v>-35.445299802522335</v>
      </c>
      <c r="J304" s="408">
        <f>skemA7!$I$21*COS(RADIANS(skemA7!$I$28*E304-skemA7!$I$22))</f>
        <v>-6.1965138542040412</v>
      </c>
      <c r="K304" s="408">
        <f>skemA7!$J$21*COS(RADIANS(skemA7!$J$28*E304-skemA7!$J$22))</f>
        <v>-0.18090785839159479</v>
      </c>
      <c r="L304" s="408">
        <f>skemA7!$K$21*COS(RADIANS(skemA7!$K$28*E304-skemA7!$K$22))</f>
        <v>3.290689209455262</v>
      </c>
      <c r="M304" s="408">
        <f>skemA7!$L$21*COS(RADIANS(skemA7!$L$28*E304-skemA7!$L$22))</f>
        <v>6.1809286561950776</v>
      </c>
      <c r="N304" s="408">
        <f>skemA7!$M$21*COS(RADIANS(skemA7!$M$28*E304-skemA7!$M$22))</f>
        <v>-11.349404599781924</v>
      </c>
      <c r="O304" s="409">
        <f>skemA7!$D$21+'Forcasting Pasut'!F304+'Forcasting Pasut'!G304+K304+L304+'Forcasting Pasut'!H304+'Forcasting Pasut'!I304+'Forcasting Pasut'!J304+'Forcasting Pasut'!M304+'Forcasting Pasut'!N304</f>
        <v>174.15328998556834</v>
      </c>
      <c r="P304" s="405"/>
      <c r="Q304" s="406">
        <f>AM282</f>
        <v>169.3</v>
      </c>
      <c r="R304" s="406"/>
      <c r="S304" s="406"/>
      <c r="T304" s="406"/>
      <c r="U304" s="406"/>
      <c r="V304" s="406"/>
      <c r="W304" s="406"/>
      <c r="X304" s="406"/>
      <c r="Y304" s="406"/>
      <c r="Z304" s="406"/>
      <c r="AA304" s="406"/>
      <c r="AB304" s="406"/>
      <c r="AC304" s="406"/>
      <c r="AD304" s="406"/>
      <c r="AE304" s="406"/>
      <c r="AF304" s="406"/>
      <c r="AG304" s="406"/>
      <c r="AH304" s="406"/>
      <c r="AI304" s="406"/>
      <c r="AJ304" s="406"/>
      <c r="AK304" s="406"/>
      <c r="AL304" s="406"/>
      <c r="AM304" s="406"/>
      <c r="AN304" s="406"/>
      <c r="AO304" s="407"/>
      <c r="AP304" s="407"/>
    </row>
    <row r="305" spans="1:42">
      <c r="A305" s="402"/>
      <c r="B305" s="77"/>
      <c r="D305" s="131"/>
      <c r="E305" s="113">
        <f t="shared" si="4"/>
        <v>287</v>
      </c>
      <c r="F305" s="408">
        <f>skemA7!$E$21*COS(RADIANS(skemA7!$E$28*E305-skemA7!$E$22))</f>
        <v>5.6075487603711238</v>
      </c>
      <c r="G305" s="408">
        <f>skemA7!$F$21*COS(RADIANS(skemA7!$F$28*E305-skemA7!$F$22))</f>
        <v>22.50182090141281</v>
      </c>
      <c r="H305" s="408">
        <f>skemA7!$G$21*COS(RADIANS(skemA7!$G$28*E305-skemA7!$G$22))</f>
        <v>8.1002138933284122</v>
      </c>
      <c r="I305" s="408">
        <f>skemA7!$H$21*COS(RADIANS(skemA7!$H$28*E305-skemA7!$H$22))</f>
        <v>-33.008437331399719</v>
      </c>
      <c r="J305" s="408">
        <f>skemA7!$I$21*COS(RADIANS(skemA7!$I$28*E305-skemA7!$I$22))</f>
        <v>-12.468642777849354</v>
      </c>
      <c r="K305" s="408">
        <f>skemA7!$J$21*COS(RADIANS(skemA7!$J$28*E305-skemA7!$J$22))</f>
        <v>-1.5982342405244194</v>
      </c>
      <c r="L305" s="408">
        <f>skemA7!$K$21*COS(RADIANS(skemA7!$K$28*E305-skemA7!$K$22))</f>
        <v>1.9695785550644962</v>
      </c>
      <c r="M305" s="408">
        <f>skemA7!$L$21*COS(RADIANS(skemA7!$L$28*E305-skemA7!$L$22))</f>
        <v>5.0621944568290189</v>
      </c>
      <c r="N305" s="408">
        <f>skemA7!$M$21*COS(RADIANS(skemA7!$M$28*E305-skemA7!$M$22))</f>
        <v>-11.798274130243456</v>
      </c>
      <c r="O305" s="409">
        <f>skemA7!$D$21+'Forcasting Pasut'!F305+'Forcasting Pasut'!G305+K305+L305+'Forcasting Pasut'!H305+'Forcasting Pasut'!I305+'Forcasting Pasut'!J305+'Forcasting Pasut'!M305+'Forcasting Pasut'!N305</f>
        <v>150.5360870525061</v>
      </c>
      <c r="P305" s="405"/>
      <c r="Q305" s="406">
        <f>AN282</f>
        <v>161</v>
      </c>
      <c r="R305" s="406"/>
      <c r="S305" s="406"/>
      <c r="T305" s="406"/>
      <c r="U305" s="406"/>
      <c r="V305" s="406"/>
      <c r="W305" s="406"/>
      <c r="X305" s="406"/>
      <c r="Y305" s="406"/>
      <c r="Z305" s="406"/>
      <c r="AA305" s="406"/>
      <c r="AB305" s="406"/>
      <c r="AC305" s="406"/>
      <c r="AD305" s="406"/>
      <c r="AE305" s="406"/>
      <c r="AF305" s="406"/>
      <c r="AG305" s="406"/>
      <c r="AH305" s="406"/>
      <c r="AI305" s="406"/>
      <c r="AJ305" s="406"/>
      <c r="AK305" s="406"/>
      <c r="AL305" s="406"/>
      <c r="AM305" s="406"/>
      <c r="AN305" s="406"/>
      <c r="AO305" s="407"/>
      <c r="AP305" s="407"/>
    </row>
    <row r="306" spans="1:42">
      <c r="A306" s="402">
        <v>13</v>
      </c>
      <c r="B306" s="77">
        <f>skemA1!B17</f>
        <v>44721</v>
      </c>
      <c r="C306" s="43" t="e">
        <f>skemA1!#REF!</f>
        <v>#REF!</v>
      </c>
      <c r="D306" s="139" t="e">
        <f>skemA1!#REF!</f>
        <v>#REF!</v>
      </c>
      <c r="E306" s="113">
        <f t="shared" si="4"/>
        <v>288</v>
      </c>
      <c r="F306" s="408">
        <f>skemA7!$E$21*COS(RADIANS(skemA7!$E$28*E306-skemA7!$E$22))</f>
        <v>-5.4911420626162419</v>
      </c>
      <c r="G306" s="408">
        <f>skemA7!$F$21*COS(RADIANS(skemA7!$F$28*E306-skemA7!$F$22))</f>
        <v>17.131329356558883</v>
      </c>
      <c r="H306" s="408">
        <f>skemA7!$G$21*COS(RADIANS(skemA7!$G$28*E306-skemA7!$G$22))</f>
        <v>-0.29560583856697031</v>
      </c>
      <c r="I306" s="408">
        <f>skemA7!$H$21*COS(RADIANS(skemA7!$H$28*E306-skemA7!$H$22))</f>
        <v>-28.309861290845575</v>
      </c>
      <c r="J306" s="408">
        <f>skemA7!$I$21*COS(RADIANS(skemA7!$I$28*E306-skemA7!$I$22))</f>
        <v>-18.006017502463557</v>
      </c>
      <c r="K306" s="408">
        <f>skemA7!$J$21*COS(RADIANS(skemA7!$J$28*E306-skemA7!$J$22))</f>
        <v>-1.5144760764071201</v>
      </c>
      <c r="L306" s="408">
        <f>skemA7!$K$21*COS(RADIANS(skemA7!$K$28*E306-skemA7!$K$22))</f>
        <v>-1.2609304924745586</v>
      </c>
      <c r="M306" s="408">
        <f>skemA7!$L$21*COS(RADIANS(skemA7!$L$28*E306-skemA7!$L$22))</f>
        <v>2.5797955030334068</v>
      </c>
      <c r="N306" s="408">
        <f>skemA7!$M$21*COS(RADIANS(skemA7!$M$28*E306-skemA7!$M$22))</f>
        <v>-11.447475186832486</v>
      </c>
      <c r="O306" s="409">
        <f>skemA7!$D$21+'Forcasting Pasut'!F306+'Forcasting Pasut'!G306+K306+L306+'Forcasting Pasut'!H306+'Forcasting Pasut'!I306+'Forcasting Pasut'!J306+'Forcasting Pasut'!M306+'Forcasting Pasut'!N306</f>
        <v>119.55393537490306</v>
      </c>
      <c r="P306" s="405"/>
      <c r="Q306" s="406">
        <f>skemA1!C17</f>
        <v>149.6</v>
      </c>
      <c r="R306" s="406">
        <f>skemA1!D17</f>
        <v>143.70000000000002</v>
      </c>
      <c r="S306" s="406">
        <f>skemA1!E17</f>
        <v>143.1</v>
      </c>
      <c r="T306" s="406">
        <f>skemA1!F17</f>
        <v>146.6</v>
      </c>
      <c r="U306" s="406">
        <f>skemA1!G17</f>
        <v>153.9</v>
      </c>
      <c r="V306" s="406">
        <f>skemA1!H17</f>
        <v>163.6</v>
      </c>
      <c r="W306" s="406">
        <f>skemA1!I17</f>
        <v>170.70000000000002</v>
      </c>
      <c r="X306" s="406">
        <f>skemA1!J17</f>
        <v>179.7</v>
      </c>
      <c r="Y306" s="406">
        <f>skemA1!K17</f>
        <v>184.3</v>
      </c>
      <c r="Z306" s="406">
        <f>skemA1!L17</f>
        <v>187.4</v>
      </c>
      <c r="AA306" s="406">
        <f>skemA1!M17</f>
        <v>189.9</v>
      </c>
      <c r="AB306" s="406">
        <f>skemA1!N17</f>
        <v>192.4</v>
      </c>
      <c r="AC306" s="406">
        <f>skemA1!O17</f>
        <v>189.39999999999998</v>
      </c>
      <c r="AD306" s="406">
        <f>skemA1!P17</f>
        <v>183.5</v>
      </c>
      <c r="AE306" s="406">
        <f>skemA1!Q17</f>
        <v>178.9</v>
      </c>
      <c r="AF306" s="406">
        <f>skemA1!R17</f>
        <v>167.4</v>
      </c>
      <c r="AG306" s="406">
        <f>skemA1!S17</f>
        <v>157.6</v>
      </c>
      <c r="AH306" s="406">
        <f>skemA1!T17</f>
        <v>150.89999999999998</v>
      </c>
      <c r="AI306" s="406">
        <f>skemA1!U17</f>
        <v>146.80000000000001</v>
      </c>
      <c r="AJ306" s="406">
        <f>skemA1!V17</f>
        <v>148.4</v>
      </c>
      <c r="AK306" s="406">
        <f>skemA1!W17</f>
        <v>152.69999999999999</v>
      </c>
      <c r="AL306" s="406">
        <f>skemA1!X17</f>
        <v>154.4</v>
      </c>
      <c r="AM306" s="406">
        <f>skemA1!Y17</f>
        <v>158.4</v>
      </c>
      <c r="AN306" s="406">
        <f>skemA1!Z17</f>
        <v>156.9</v>
      </c>
      <c r="AO306" s="407">
        <f>SUM(Q306:AN306)</f>
        <v>3950.2000000000007</v>
      </c>
      <c r="AP306" s="407">
        <f>AVERAGE(Q306:AN306)</f>
        <v>164.5916666666667</v>
      </c>
    </row>
    <row r="307" spans="1:42">
      <c r="A307" s="402"/>
      <c r="B307" s="77"/>
      <c r="D307" s="131"/>
      <c r="E307" s="113">
        <f t="shared" si="4"/>
        <v>289</v>
      </c>
      <c r="F307" s="408">
        <f>skemA7!$E$21*COS(RADIANS(skemA7!$E$28*E307-skemA7!$E$22))</f>
        <v>-15.214357340956045</v>
      </c>
      <c r="G307" s="408">
        <f>skemA7!$F$21*COS(RADIANS(skemA7!$F$28*E307-skemA7!$F$22))</f>
        <v>7.1705119453437494</v>
      </c>
      <c r="H307" s="408">
        <f>skemA7!$G$21*COS(RADIANS(skemA7!$G$28*E307-skemA7!$G$22))</f>
        <v>-8.6200759638074018</v>
      </c>
      <c r="I307" s="408">
        <f>skemA7!$H$21*COS(RADIANS(skemA7!$H$28*E307-skemA7!$H$22))</f>
        <v>-21.671514615670144</v>
      </c>
      <c r="J307" s="408">
        <f>skemA7!$I$21*COS(RADIANS(skemA7!$I$28*E307-skemA7!$I$22))</f>
        <v>-22.482330714332083</v>
      </c>
      <c r="K307" s="408">
        <f>skemA7!$J$21*COS(RADIANS(skemA7!$J$28*E307-skemA7!$J$22))</f>
        <v>-8.3002363837374298E-3</v>
      </c>
      <c r="L307" s="408">
        <f>skemA7!$K$21*COS(RADIANS(skemA7!$K$28*E307-skemA7!$K$22))</f>
        <v>-3.2690365797398684</v>
      </c>
      <c r="M307" s="408">
        <f>skemA7!$L$21*COS(RADIANS(skemA7!$L$28*E307-skemA7!$L$22))</f>
        <v>-0.59755427320217414</v>
      </c>
      <c r="N307" s="408">
        <f>skemA7!$M$21*COS(RADIANS(skemA7!$M$28*E307-skemA7!$M$22))</f>
        <v>-10.32078437048383</v>
      </c>
      <c r="O307" s="409">
        <f>skemA7!$D$21+'Forcasting Pasut'!F307+'Forcasting Pasut'!G307+K307+L307+'Forcasting Pasut'!H307+'Forcasting Pasut'!I307+'Forcasting Pasut'!J307+'Forcasting Pasut'!M307+'Forcasting Pasut'!N307</f>
        <v>91.154876816285693</v>
      </c>
      <c r="P307" s="405"/>
      <c r="Q307" s="406">
        <f>R306</f>
        <v>143.70000000000002</v>
      </c>
      <c r="R307" s="406"/>
      <c r="S307" s="406"/>
      <c r="T307" s="406"/>
      <c r="U307" s="406"/>
      <c r="V307" s="406"/>
      <c r="W307" s="406"/>
      <c r="X307" s="406"/>
      <c r="Y307" s="406"/>
      <c r="Z307" s="406"/>
      <c r="AA307" s="406"/>
      <c r="AB307" s="406"/>
      <c r="AC307" s="406"/>
      <c r="AD307" s="406"/>
      <c r="AE307" s="406"/>
      <c r="AF307" s="406"/>
      <c r="AG307" s="406"/>
      <c r="AH307" s="406"/>
      <c r="AI307" s="406"/>
      <c r="AJ307" s="406"/>
      <c r="AK307" s="406"/>
      <c r="AL307" s="406"/>
      <c r="AM307" s="406"/>
      <c r="AN307" s="406"/>
      <c r="AO307" s="407"/>
      <c r="AP307" s="407"/>
    </row>
    <row r="308" spans="1:42">
      <c r="A308" s="402"/>
      <c r="B308" s="77"/>
      <c r="D308" s="131"/>
      <c r="E308" s="113">
        <f t="shared" si="4"/>
        <v>290</v>
      </c>
      <c r="F308" s="408">
        <f>skemA7!$E$21*COS(RADIANS(skemA7!$E$28*E308-skemA7!$E$22))</f>
        <v>-21.126529996213158</v>
      </c>
      <c r="G308" s="408">
        <f>skemA7!$F$21*COS(RADIANS(skemA7!$F$28*E308-skemA7!$F$22))</f>
        <v>-4.7116383509445221</v>
      </c>
      <c r="H308" s="408">
        <f>skemA7!$G$21*COS(RADIANS(skemA7!$G$28*E308-skemA7!$G$22))</f>
        <v>-14.863940941548199</v>
      </c>
      <c r="I308" s="408">
        <f>skemA7!$H$21*COS(RADIANS(skemA7!$H$28*E308-skemA7!$H$22))</f>
        <v>-13.548251881478588</v>
      </c>
      <c r="J308" s="408">
        <f>skemA7!$I$21*COS(RADIANS(skemA7!$I$28*E308-skemA7!$I$22))</f>
        <v>-25.633801504240719</v>
      </c>
      <c r="K308" s="408">
        <f>skemA7!$J$21*COS(RADIANS(skemA7!$J$28*E308-skemA7!$J$22))</f>
        <v>1.5056713048265233</v>
      </c>
      <c r="L308" s="408">
        <f>skemA7!$K$21*COS(RADIANS(skemA7!$K$28*E308-skemA7!$K$22))</f>
        <v>-2.1079909840482292</v>
      </c>
      <c r="M308" s="408">
        <f>skemA7!$L$21*COS(RADIANS(skemA7!$L$28*E308-skemA7!$L$22))</f>
        <v>-3.613933603087621</v>
      </c>
      <c r="N308" s="408">
        <f>skemA7!$M$21*COS(RADIANS(skemA7!$M$28*E308-skemA7!$M$22))</f>
        <v>-8.494567013591606</v>
      </c>
      <c r="O308" s="409">
        <f>skemA7!$D$21+'Forcasting Pasut'!F308+'Forcasting Pasut'!G308+K308+L308+'Forcasting Pasut'!H308+'Forcasting Pasut'!I308+'Forcasting Pasut'!J308+'Forcasting Pasut'!M308+'Forcasting Pasut'!N308</f>
        <v>73.573335995191144</v>
      </c>
      <c r="P308" s="405"/>
      <c r="Q308" s="406">
        <f>S306</f>
        <v>143.1</v>
      </c>
      <c r="R308" s="406"/>
      <c r="S308" s="406"/>
      <c r="T308" s="406"/>
      <c r="U308" s="406"/>
      <c r="V308" s="406"/>
      <c r="W308" s="406"/>
      <c r="X308" s="406"/>
      <c r="Y308" s="406"/>
      <c r="Z308" s="406"/>
      <c r="AA308" s="406"/>
      <c r="AB308" s="406"/>
      <c r="AC308" s="406"/>
      <c r="AD308" s="406"/>
      <c r="AE308" s="406"/>
      <c r="AF308" s="406"/>
      <c r="AG308" s="406"/>
      <c r="AH308" s="406"/>
      <c r="AI308" s="406"/>
      <c r="AJ308" s="406"/>
      <c r="AK308" s="406"/>
      <c r="AL308" s="406"/>
      <c r="AM308" s="406"/>
      <c r="AN308" s="406"/>
      <c r="AO308" s="407"/>
      <c r="AP308" s="407"/>
    </row>
    <row r="309" spans="1:42">
      <c r="A309" s="402"/>
      <c r="B309" s="77"/>
      <c r="D309" s="131"/>
      <c r="E309" s="113">
        <f t="shared" si="4"/>
        <v>291</v>
      </c>
      <c r="F309" s="408">
        <f>skemA7!$E$21*COS(RADIANS(skemA7!$E$28*E309-skemA7!$E$22))</f>
        <v>-21.746720578940472</v>
      </c>
      <c r="G309" s="408">
        <f>skemA7!$F$21*COS(RADIANS(skemA7!$F$28*E309-skemA7!$F$22))</f>
        <v>-15.331308956069133</v>
      </c>
      <c r="H309" s="408">
        <f>skemA7!$G$21*COS(RADIANS(skemA7!$G$28*E309-skemA7!$G$22))</f>
        <v>-17.52013544341726</v>
      </c>
      <c r="I309" s="408">
        <f>skemA7!$H$21*COS(RADIANS(skemA7!$H$28*E309-skemA7!$H$22))</f>
        <v>-4.4966730075456187</v>
      </c>
      <c r="J309" s="408">
        <f>skemA7!$I$21*COS(RADIANS(skemA7!$I$28*E309-skemA7!$I$22))</f>
        <v>-27.274719491576253</v>
      </c>
      <c r="K309" s="408">
        <f>skemA7!$J$21*COS(RADIANS(skemA7!$J$28*E309-skemA7!$J$22))</f>
        <v>1.6054947380186841</v>
      </c>
      <c r="L309" s="408">
        <f>skemA7!$K$21*COS(RADIANS(skemA7!$K$28*E309-skemA7!$K$22))</f>
        <v>1.0966362638517064</v>
      </c>
      <c r="M309" s="408">
        <f>skemA7!$L$21*COS(RADIANS(skemA7!$L$28*E309-skemA7!$L$22))</f>
        <v>-5.6567837804669967</v>
      </c>
      <c r="N309" s="408">
        <f>skemA7!$M$21*COS(RADIANS(skemA7!$M$28*E309-skemA7!$M$22))</f>
        <v>-6.0926012578254083</v>
      </c>
      <c r="O309" s="409">
        <f>skemA7!$D$21+'Forcasting Pasut'!F309+'Forcasting Pasut'!G309+K309+L309+'Forcasting Pasut'!H309+'Forcasting Pasut'!I309+'Forcasting Pasut'!J309+'Forcasting Pasut'!M309+'Forcasting Pasut'!N309</f>
        <v>70.751507451546473</v>
      </c>
      <c r="P309" s="405"/>
      <c r="Q309" s="406">
        <f>T306</f>
        <v>146.6</v>
      </c>
      <c r="R309" s="406"/>
      <c r="S309" s="406"/>
      <c r="T309" s="406"/>
      <c r="U309" s="406"/>
      <c r="V309" s="406"/>
      <c r="W309" s="406"/>
      <c r="X309" s="406"/>
      <c r="Y309" s="406"/>
      <c r="Z309" s="406"/>
      <c r="AA309" s="406"/>
      <c r="AB309" s="406"/>
      <c r="AC309" s="406"/>
      <c r="AD309" s="406"/>
      <c r="AE309" s="406"/>
      <c r="AF309" s="406"/>
      <c r="AG309" s="406"/>
      <c r="AH309" s="406"/>
      <c r="AI309" s="406"/>
      <c r="AJ309" s="406"/>
      <c r="AK309" s="406"/>
      <c r="AL309" s="406"/>
      <c r="AM309" s="406"/>
      <c r="AN309" s="406"/>
      <c r="AO309" s="407"/>
      <c r="AP309" s="407"/>
    </row>
    <row r="310" spans="1:42">
      <c r="A310" s="402"/>
      <c r="B310" s="77"/>
      <c r="D310" s="131"/>
      <c r="E310" s="113">
        <f t="shared" si="4"/>
        <v>292</v>
      </c>
      <c r="F310" s="408">
        <f>skemA7!$E$21*COS(RADIANS(skemA7!$E$28*E310-skemA7!$E$22))</f>
        <v>-16.919577621294874</v>
      </c>
      <c r="G310" s="408">
        <f>skemA7!$F$21*COS(RADIANS(skemA7!$F$28*E310-skemA7!$F$22))</f>
        <v>-21.842967707503153</v>
      </c>
      <c r="H310" s="408">
        <f>skemA7!$G$21*COS(RADIANS(skemA7!$G$28*E310-skemA7!$G$22))</f>
        <v>-15.9475407627408</v>
      </c>
      <c r="I310" s="408">
        <f>skemA7!$H$21*COS(RADIANS(skemA7!$H$28*E310-skemA7!$H$22))</f>
        <v>4.8630145555790234</v>
      </c>
      <c r="J310" s="408">
        <f>skemA7!$I$21*COS(RADIANS(skemA7!$I$28*E310-skemA7!$I$22))</f>
        <v>-27.308388395681579</v>
      </c>
      <c r="K310" s="408">
        <f>skemA7!$J$21*COS(RADIANS(skemA7!$J$28*E310-skemA7!$J$22))</f>
        <v>0.19741446146741287</v>
      </c>
      <c r="L310" s="408">
        <f>skemA7!$K$21*COS(RADIANS(skemA7!$K$28*E310-skemA7!$K$22))</f>
        <v>3.2381347958736764</v>
      </c>
      <c r="M310" s="408">
        <f>skemA7!$L$21*COS(RADIANS(skemA7!$L$28*E310-skemA7!$L$22))</f>
        <v>-6.1757974615128646</v>
      </c>
      <c r="N310" s="408">
        <f>skemA7!$M$21*COS(RADIANS(skemA7!$M$28*E310-skemA7!$M$22))</f>
        <v>-3.2776885662634641</v>
      </c>
      <c r="O310" s="409">
        <f>skemA7!$D$21+'Forcasting Pasut'!F310+'Forcasting Pasut'!G310+K310+L310+'Forcasting Pasut'!H310+'Forcasting Pasut'!I310+'Forcasting Pasut'!J310+'Forcasting Pasut'!M310+'Forcasting Pasut'!N310</f>
        <v>82.994922263440628</v>
      </c>
      <c r="P310" s="405"/>
      <c r="Q310" s="406">
        <f>U306</f>
        <v>153.9</v>
      </c>
      <c r="R310" s="406"/>
      <c r="S310" s="406"/>
      <c r="T310" s="406"/>
      <c r="U310" s="406"/>
      <c r="V310" s="406"/>
      <c r="W310" s="406"/>
      <c r="X310" s="406"/>
      <c r="Y310" s="406"/>
      <c r="Z310" s="406"/>
      <c r="AA310" s="406"/>
      <c r="AB310" s="406"/>
      <c r="AC310" s="406"/>
      <c r="AD310" s="406"/>
      <c r="AE310" s="406"/>
      <c r="AF310" s="406"/>
      <c r="AG310" s="406"/>
      <c r="AH310" s="406"/>
      <c r="AI310" s="406"/>
      <c r="AJ310" s="406"/>
      <c r="AK310" s="406"/>
      <c r="AL310" s="406"/>
      <c r="AM310" s="406"/>
      <c r="AN310" s="406"/>
      <c r="AO310" s="407"/>
      <c r="AP310" s="407"/>
    </row>
    <row r="311" spans="1:42">
      <c r="A311" s="402"/>
      <c r="B311" s="77"/>
      <c r="D311" s="131"/>
      <c r="E311" s="113">
        <f t="shared" si="4"/>
        <v>293</v>
      </c>
      <c r="F311" s="408">
        <f>skemA7!$E$21*COS(RADIANS(skemA7!$E$28*E311-skemA7!$E$22))</f>
        <v>-7.8542516083772851</v>
      </c>
      <c r="G311" s="408">
        <f>skemA7!$F$21*COS(RADIANS(skemA7!$F$28*E311-skemA7!$F$22))</f>
        <v>-22.501820901412728</v>
      </c>
      <c r="H311" s="408">
        <f>skemA7!$G$21*COS(RADIANS(skemA7!$G$28*E311-skemA7!$G$22))</f>
        <v>-10.525729956796292</v>
      </c>
      <c r="I311" s="408">
        <f>skemA7!$H$21*COS(RADIANS(skemA7!$H$28*E311-skemA7!$H$22))</f>
        <v>13.889491979180251</v>
      </c>
      <c r="J311" s="408">
        <f>skemA7!$I$21*COS(RADIANS(skemA7!$I$28*E311-skemA7!$I$22))</f>
        <v>-25.732824169927984</v>
      </c>
      <c r="K311" s="408">
        <f>skemA7!$J$21*COS(RADIANS(skemA7!$J$28*E311-skemA7!$J$22))</f>
        <v>-1.3960803117835285</v>
      </c>
      <c r="L311" s="408">
        <f>skemA7!$K$21*COS(RADIANS(skemA7!$K$28*E311-skemA7!$K$22))</f>
        <v>2.2404392296756925</v>
      </c>
      <c r="M311" s="408">
        <f>skemA7!$L$21*COS(RADIANS(skemA7!$L$28*E311-skemA7!$L$22))</f>
        <v>-5.0311616323350172</v>
      </c>
      <c r="N311" s="408">
        <f>skemA7!$M$21*COS(RADIANS(skemA7!$M$28*E311-skemA7!$M$22))</f>
        <v>-0.2406192961478161</v>
      </c>
      <c r="O311" s="409">
        <f>skemA7!$D$21+'Forcasting Pasut'!F311+'Forcasting Pasut'!G311+K311+L311+'Forcasting Pasut'!H311+'Forcasting Pasut'!I311+'Forcasting Pasut'!J311+'Forcasting Pasut'!M311+'Forcasting Pasut'!N311</f>
        <v>109.01576229759256</v>
      </c>
      <c r="P311" s="405"/>
      <c r="Q311" s="406">
        <f>V306</f>
        <v>163.6</v>
      </c>
      <c r="R311" s="406"/>
      <c r="S311" s="406"/>
      <c r="T311" s="406"/>
      <c r="U311" s="406"/>
      <c r="V311" s="406"/>
      <c r="W311" s="406"/>
      <c r="X311" s="406"/>
      <c r="Y311" s="406"/>
      <c r="Z311" s="406"/>
      <c r="AA311" s="406"/>
      <c r="AB311" s="406"/>
      <c r="AC311" s="406"/>
      <c r="AD311" s="406"/>
      <c r="AE311" s="406"/>
      <c r="AF311" s="406"/>
      <c r="AG311" s="406"/>
      <c r="AH311" s="406"/>
      <c r="AI311" s="406"/>
      <c r="AJ311" s="406"/>
      <c r="AK311" s="406"/>
      <c r="AL311" s="406"/>
      <c r="AM311" s="406"/>
      <c r="AN311" s="406"/>
      <c r="AO311" s="407"/>
      <c r="AP311" s="407"/>
    </row>
    <row r="312" spans="1:42">
      <c r="A312" s="402"/>
      <c r="B312" s="77"/>
      <c r="D312" s="131"/>
      <c r="E312" s="113">
        <f t="shared" si="4"/>
        <v>294</v>
      </c>
      <c r="F312" s="408">
        <f>skemA7!$E$21*COS(RADIANS(skemA7!$E$28*E312-skemA7!$E$22))</f>
        <v>3.1784849879217756</v>
      </c>
      <c r="G312" s="408">
        <f>skemA7!$F$21*COS(RADIANS(skemA7!$F$28*E312-skemA7!$F$22))</f>
        <v>-17.13132935655905</v>
      </c>
      <c r="H312" s="408">
        <f>skemA7!$G$21*COS(RADIANS(skemA7!$G$28*E312-skemA7!$G$22))</f>
        <v>-2.5633512926034028</v>
      </c>
      <c r="I312" s="408">
        <f>skemA7!$H$21*COS(RADIANS(skemA7!$H$28*E312-skemA7!$H$22))</f>
        <v>21.964271745408166</v>
      </c>
      <c r="J312" s="408">
        <f>skemA7!$I$21*COS(RADIANS(skemA7!$I$28*E312-skemA7!$I$22))</f>
        <v>-22.640871917935865</v>
      </c>
      <c r="K312" s="408">
        <f>skemA7!$J$21*COS(RADIANS(skemA7!$J$28*E312-skemA7!$J$22))</f>
        <v>-1.6783564111968883</v>
      </c>
      <c r="L312" s="408">
        <f>skemA7!$K$21*COS(RADIANS(skemA7!$K$28*E312-skemA7!$K$22))</f>
        <v>-0.92923929911572112</v>
      </c>
      <c r="M312" s="408">
        <f>skemA7!$L$21*COS(RADIANS(skemA7!$L$28*E312-skemA7!$L$22))</f>
        <v>-2.5312207372683853</v>
      </c>
      <c r="N312" s="408">
        <f>skemA7!$M$21*COS(RADIANS(skemA7!$M$28*E312-skemA7!$M$22))</f>
        <v>2.812758771611187</v>
      </c>
      <c r="O312" s="409">
        <f>skemA7!$D$21+'Forcasting Pasut'!F312+'Forcasting Pasut'!G312+K312+L312+'Forcasting Pasut'!H312+'Forcasting Pasut'!I312+'Forcasting Pasut'!J312+'Forcasting Pasut'!M312+'Forcasting Pasut'!N312</f>
        <v>146.64946545577902</v>
      </c>
      <c r="P312" s="405"/>
      <c r="Q312" s="406">
        <f>W306</f>
        <v>170.70000000000002</v>
      </c>
      <c r="R312" s="406"/>
      <c r="S312" s="406"/>
      <c r="T312" s="406"/>
      <c r="U312" s="406"/>
      <c r="V312" s="406"/>
      <c r="W312" s="406"/>
      <c r="X312" s="406"/>
      <c r="Y312" s="406"/>
      <c r="Z312" s="406"/>
      <c r="AA312" s="406"/>
      <c r="AB312" s="406"/>
      <c r="AC312" s="406"/>
      <c r="AD312" s="406"/>
      <c r="AE312" s="406"/>
      <c r="AF312" s="406"/>
      <c r="AG312" s="406"/>
      <c r="AH312" s="406"/>
      <c r="AI312" s="406"/>
      <c r="AJ312" s="406"/>
      <c r="AK312" s="406"/>
      <c r="AL312" s="406"/>
      <c r="AM312" s="406"/>
      <c r="AN312" s="406"/>
      <c r="AO312" s="407"/>
      <c r="AP312" s="407"/>
    </row>
    <row r="313" spans="1:42">
      <c r="A313" s="402"/>
      <c r="B313" s="77"/>
      <c r="D313" s="131"/>
      <c r="E313" s="113">
        <f t="shared" si="4"/>
        <v>295</v>
      </c>
      <c r="F313" s="408">
        <f>skemA7!$E$21*COS(RADIANS(skemA7!$E$28*E313-skemA7!$E$22))</f>
        <v>13.41504324462176</v>
      </c>
      <c r="G313" s="408">
        <f>skemA7!$F$21*COS(RADIANS(skemA7!$F$28*E313-skemA7!$F$22))</f>
        <v>-7.1705119453433639</v>
      </c>
      <c r="H313" s="408">
        <f>skemA7!$G$21*COS(RADIANS(skemA7!$G$28*E313-skemA7!$G$22))</f>
        <v>6.0177367561274426</v>
      </c>
      <c r="I313" s="408">
        <f>skemA7!$H$21*COS(RADIANS(skemA7!$H$28*E313-skemA7!$H$22))</f>
        <v>28.53407595188785</v>
      </c>
      <c r="J313" s="408">
        <f>skemA7!$I$21*COS(RADIANS(skemA7!$I$28*E313-skemA7!$I$22))</f>
        <v>-18.214734702286329</v>
      </c>
      <c r="K313" s="408">
        <f>skemA7!$J$21*COS(RADIANS(skemA7!$J$28*E313-skemA7!$J$22))</f>
        <v>-0.38429607126523413</v>
      </c>
      <c r="L313" s="408">
        <f>skemA7!$K$21*COS(RADIANS(skemA7!$K$28*E313-skemA7!$K$22))</f>
        <v>-3.1980712889255769</v>
      </c>
      <c r="M313" s="408">
        <f>skemA7!$L$21*COS(RADIANS(skemA7!$L$28*E313-skemA7!$L$22))</f>
        <v>0.65058580609177896</v>
      </c>
      <c r="N313" s="408">
        <f>skemA7!$M$21*COS(RADIANS(skemA7!$M$28*E313-skemA7!$M$22))</f>
        <v>5.6754924714370558</v>
      </c>
      <c r="O313" s="409">
        <f>skemA7!$D$21+'Forcasting Pasut'!F313+'Forcasting Pasut'!G313+K313+L313+'Forcasting Pasut'!H313+'Forcasting Pasut'!I313+'Forcasting Pasut'!J313+'Forcasting Pasut'!M313+'Forcasting Pasut'!N313</f>
        <v>191.49363918786261</v>
      </c>
      <c r="P313" s="405"/>
      <c r="Q313" s="406">
        <f>X306</f>
        <v>179.7</v>
      </c>
      <c r="R313" s="406"/>
      <c r="S313" s="406"/>
      <c r="T313" s="406"/>
      <c r="U313" s="406"/>
      <c r="V313" s="406"/>
      <c r="W313" s="406"/>
      <c r="X313" s="406"/>
      <c r="Y313" s="406"/>
      <c r="Z313" s="406"/>
      <c r="AA313" s="406"/>
      <c r="AB313" s="406"/>
      <c r="AC313" s="406"/>
      <c r="AD313" s="406"/>
      <c r="AE313" s="406"/>
      <c r="AF313" s="406"/>
      <c r="AG313" s="406"/>
      <c r="AH313" s="406"/>
      <c r="AI313" s="406"/>
      <c r="AJ313" s="406"/>
      <c r="AK313" s="406"/>
      <c r="AL313" s="406"/>
      <c r="AM313" s="406"/>
      <c r="AN313" s="406"/>
      <c r="AO313" s="407"/>
      <c r="AP313" s="407"/>
    </row>
    <row r="314" spans="1:42">
      <c r="A314" s="402"/>
      <c r="B314" s="77"/>
      <c r="D314" s="131"/>
      <c r="E314" s="113">
        <f t="shared" si="4"/>
        <v>296</v>
      </c>
      <c r="F314" s="408">
        <f>skemA7!$E$21*COS(RADIANS(skemA7!$E$28*E314-skemA7!$E$22))</f>
        <v>20.291268859592016</v>
      </c>
      <c r="G314" s="408">
        <f>skemA7!$F$21*COS(RADIANS(skemA7!$F$28*E314-skemA7!$F$22))</f>
        <v>4.7116383509442796</v>
      </c>
      <c r="H314" s="408">
        <f>skemA7!$G$21*COS(RADIANS(skemA7!$G$28*E314-skemA7!$G$22))</f>
        <v>13.146339452795578</v>
      </c>
      <c r="I314" s="408">
        <f>skemA7!$H$21*COS(RADIANS(skemA7!$H$28*E314-skemA7!$H$22))</f>
        <v>33.148746501973598</v>
      </c>
      <c r="J314" s="408">
        <f>skemA7!$I$21*COS(RADIANS(skemA7!$I$28*E314-skemA7!$I$22))</f>
        <v>-12.715236652969091</v>
      </c>
      <c r="K314" s="408">
        <f>skemA7!$J$21*COS(RADIANS(skemA7!$J$28*E314-skemA7!$J$22))</f>
        <v>1.2707006565463583</v>
      </c>
      <c r="L314" s="408">
        <f>skemA7!$K$21*COS(RADIANS(skemA7!$K$28*E314-skemA7!$K$22))</f>
        <v>-2.3665485533317248</v>
      </c>
      <c r="M314" s="408">
        <f>skemA7!$L$21*COS(RADIANS(skemA7!$L$28*E314-skemA7!$L$22))</f>
        <v>3.6571361555099569</v>
      </c>
      <c r="N314" s="408">
        <f>skemA7!$M$21*COS(RADIANS(skemA7!$M$28*E314-skemA7!$M$22))</f>
        <v>8.1535502133210418</v>
      </c>
      <c r="O314" s="409">
        <f>skemA7!$D$21+'Forcasting Pasut'!F314+'Forcasting Pasut'!G314+K314+L314+'Forcasting Pasut'!H314+'Forcasting Pasut'!I314+'Forcasting Pasut'!J314+'Forcasting Pasut'!M314+'Forcasting Pasut'!N314</f>
        <v>235.46591394989926</v>
      </c>
      <c r="P314" s="405"/>
      <c r="Q314" s="406">
        <f>Y306</f>
        <v>184.3</v>
      </c>
      <c r="R314" s="406"/>
      <c r="S314" s="406"/>
      <c r="T314" s="406"/>
      <c r="U314" s="406"/>
      <c r="V314" s="406"/>
      <c r="W314" s="406"/>
      <c r="X314" s="406"/>
      <c r="Y314" s="406"/>
      <c r="Z314" s="406"/>
      <c r="AA314" s="406"/>
      <c r="AB314" s="406"/>
      <c r="AC314" s="406"/>
      <c r="AD314" s="406"/>
      <c r="AE314" s="406"/>
      <c r="AF314" s="406"/>
      <c r="AG314" s="406"/>
      <c r="AH314" s="406"/>
      <c r="AI314" s="406"/>
      <c r="AJ314" s="406"/>
      <c r="AK314" s="406"/>
      <c r="AL314" s="406"/>
      <c r="AM314" s="406"/>
      <c r="AN314" s="406"/>
      <c r="AO314" s="407"/>
      <c r="AP314" s="407"/>
    </row>
    <row r="315" spans="1:42">
      <c r="A315" s="402"/>
      <c r="B315" s="77"/>
      <c r="D315" s="131"/>
      <c r="E315" s="113">
        <f t="shared" si="4"/>
        <v>297</v>
      </c>
      <c r="F315" s="408">
        <f>skemA7!$E$21*COS(RADIANS(skemA7!$E$28*E315-skemA7!$E$22))</f>
        <v>22.084736868221682</v>
      </c>
      <c r="G315" s="408">
        <f>skemA7!$F$21*COS(RADIANS(skemA7!$F$28*E315-skemA7!$F$22))</f>
        <v>15.331308956068948</v>
      </c>
      <c r="H315" s="408">
        <f>skemA7!$G$21*COS(RADIANS(skemA7!$G$28*E315-skemA7!$G$22))</f>
        <v>17.101844644162121</v>
      </c>
      <c r="I315" s="408">
        <f>skemA7!$H$21*COS(RADIANS(skemA7!$H$28*E315-skemA7!$H$22))</f>
        <v>35.492089602643553</v>
      </c>
      <c r="J315" s="408">
        <f>skemA7!$I$21*COS(RADIANS(skemA7!$I$28*E315-skemA7!$I$22))</f>
        <v>-6.466453080848888</v>
      </c>
      <c r="K315" s="408">
        <f>skemA7!$J$21*COS(RADIANS(skemA7!$J$28*E315-skemA7!$J$22))</f>
        <v>1.7322370829281373</v>
      </c>
      <c r="L315" s="408">
        <f>skemA7!$K$21*COS(RADIANS(skemA7!$K$28*E315-skemA7!$K$22))</f>
        <v>0.75921321802939312</v>
      </c>
      <c r="M315" s="408">
        <f>skemA7!$L$21*COS(RADIANS(skemA7!$L$28*E315-skemA7!$L$22))</f>
        <v>5.6785193565794385</v>
      </c>
      <c r="N315" s="408">
        <f>skemA7!$M$21*COS(RADIANS(skemA7!$M$28*E315-skemA7!$M$22))</f>
        <v>10.078973138981105</v>
      </c>
      <c r="O315" s="409">
        <f>skemA7!$D$21+'Forcasting Pasut'!F315+'Forcasting Pasut'!G315+K315+L315+'Forcasting Pasut'!H315+'Forcasting Pasut'!I315+'Forcasting Pasut'!J315+'Forcasting Pasut'!M315+'Forcasting Pasut'!N315</f>
        <v>267.96078875228272</v>
      </c>
      <c r="P315" s="405"/>
      <c r="Q315" s="406">
        <f>Z306</f>
        <v>187.4</v>
      </c>
      <c r="R315" s="406"/>
      <c r="S315" s="406"/>
      <c r="T315" s="406"/>
      <c r="U315" s="406"/>
      <c r="V315" s="406"/>
      <c r="W315" s="406"/>
      <c r="X315" s="406"/>
      <c r="Y315" s="406"/>
      <c r="Z315" s="406"/>
      <c r="AA315" s="406"/>
      <c r="AB315" s="406"/>
      <c r="AC315" s="406"/>
      <c r="AD315" s="406"/>
      <c r="AE315" s="406"/>
      <c r="AF315" s="406"/>
      <c r="AG315" s="406"/>
      <c r="AH315" s="406"/>
      <c r="AI315" s="406"/>
      <c r="AJ315" s="406"/>
      <c r="AK315" s="406"/>
      <c r="AL315" s="406"/>
      <c r="AM315" s="406"/>
      <c r="AN315" s="406"/>
      <c r="AO315" s="407"/>
      <c r="AP315" s="407"/>
    </row>
    <row r="316" spans="1:42">
      <c r="A316" s="402"/>
      <c r="B316" s="77"/>
      <c r="D316" s="131"/>
      <c r="E316" s="113">
        <f t="shared" si="4"/>
        <v>298</v>
      </c>
      <c r="F316" s="408">
        <f>skemA7!$E$21*COS(RADIANS(skemA7!$E$28*E316-skemA7!$E$22))</f>
        <v>18.346201674995509</v>
      </c>
      <c r="G316" s="408">
        <f>skemA7!$F$21*COS(RADIANS(skemA7!$F$28*E316-skemA7!$F$22))</f>
        <v>21.842967707503281</v>
      </c>
      <c r="H316" s="408">
        <f>skemA7!$G$21*COS(RADIANS(skemA7!$G$28*E316-skemA7!$G$22))</f>
        <v>16.929522407117911</v>
      </c>
      <c r="I316" s="408">
        <f>skemA7!$H$21*COS(RADIANS(skemA7!$H$28*E316-skemA7!$H$22))</f>
        <v>35.403541127961631</v>
      </c>
      <c r="J316" s="408">
        <f>skemA7!$I$21*COS(RADIANS(skemA7!$I$28*E316-skemA7!$I$22))</f>
        <v>0.16338668468683251</v>
      </c>
      <c r="K316" s="408">
        <f>skemA7!$J$21*COS(RADIANS(skemA7!$J$28*E316-skemA7!$J$22))</f>
        <v>0.56683156945287771</v>
      </c>
      <c r="L316" s="408">
        <f>skemA7!$K$21*COS(RADIANS(skemA7!$K$28*E316-skemA7!$K$22))</f>
        <v>3.1489594114210058</v>
      </c>
      <c r="M316" s="408">
        <f>skemA7!$L$21*COS(RADIANS(skemA7!$L$28*E316-skemA7!$L$22))</f>
        <v>6.1702108854005031</v>
      </c>
      <c r="N316" s="408">
        <f>skemA7!$M$21*COS(RADIANS(skemA7!$M$28*E316-skemA7!$M$22))</f>
        <v>11.321259109246064</v>
      </c>
      <c r="O316" s="409">
        <f>skemA7!$D$21+'Forcasting Pasut'!F316+'Forcasting Pasut'!G316+K316+L316+'Forcasting Pasut'!H316+'Forcasting Pasut'!I316+'Forcasting Pasut'!J316+'Forcasting Pasut'!M316+'Forcasting Pasut'!N316</f>
        <v>280.06119954330285</v>
      </c>
      <c r="P316" s="405"/>
      <c r="Q316" s="406">
        <f>AA306</f>
        <v>189.9</v>
      </c>
      <c r="R316" s="406"/>
      <c r="S316" s="406"/>
      <c r="T316" s="406"/>
      <c r="U316" s="406"/>
      <c r="V316" s="406"/>
      <c r="W316" s="406"/>
      <c r="X316" s="406"/>
      <c r="Y316" s="406"/>
      <c r="Z316" s="406"/>
      <c r="AA316" s="406"/>
      <c r="AB316" s="406"/>
      <c r="AC316" s="406"/>
      <c r="AD316" s="406"/>
      <c r="AE316" s="406"/>
      <c r="AF316" s="406"/>
      <c r="AG316" s="406"/>
      <c r="AH316" s="406"/>
      <c r="AI316" s="406"/>
      <c r="AJ316" s="406"/>
      <c r="AK316" s="406"/>
      <c r="AL316" s="406"/>
      <c r="AM316" s="406"/>
      <c r="AN316" s="406"/>
      <c r="AO316" s="407"/>
      <c r="AP316" s="407"/>
    </row>
    <row r="317" spans="1:42">
      <c r="A317" s="402"/>
      <c r="B317" s="77"/>
      <c r="D317" s="131"/>
      <c r="E317" s="113">
        <f t="shared" si="4"/>
        <v>299</v>
      </c>
      <c r="F317" s="408">
        <f>skemA7!$E$21*COS(RADIANS(skemA7!$E$28*E317-skemA7!$E$22))</f>
        <v>10.012128531121517</v>
      </c>
      <c r="G317" s="408">
        <f>skemA7!$F$21*COS(RADIANS(skemA7!$F$28*E317-skemA7!$F$22))</f>
        <v>22.501820901412778</v>
      </c>
      <c r="H317" s="408">
        <f>skemA7!$G$21*COS(RADIANS(skemA7!$G$28*E317-skemA7!$G$22))</f>
        <v>12.670965708468742</v>
      </c>
      <c r="I317" s="408">
        <f>skemA7!$H$21*COS(RADIANS(skemA7!$H$28*E317-skemA7!$H$22))</f>
        <v>32.889168353537912</v>
      </c>
      <c r="J317" s="408">
        <f>skemA7!$I$21*COS(RADIANS(skemA7!$I$28*E317-skemA7!$I$22))</f>
        <v>6.7835983732314764</v>
      </c>
      <c r="K317" s="408">
        <f>skemA7!$J$21*COS(RADIANS(skemA7!$J$28*E317-skemA7!$J$22))</f>
        <v>-1.1309502926564863</v>
      </c>
      <c r="L317" s="408">
        <f>skemA7!$K$21*COS(RADIANS(skemA7!$K$28*E317-skemA7!$K$22))</f>
        <v>2.4859621512468055</v>
      </c>
      <c r="M317" s="408">
        <f>skemA7!$L$21*COS(RADIANS(skemA7!$L$28*E317-skemA7!$L$22))</f>
        <v>4.9997578278024681</v>
      </c>
      <c r="N317" s="408">
        <f>skemA7!$M$21*COS(RADIANS(skemA7!$M$28*E317-skemA7!$M$22))</f>
        <v>11.79620793390248</v>
      </c>
      <c r="O317" s="409">
        <f>skemA7!$D$21+'Forcasting Pasut'!F317+'Forcasting Pasut'!G317+K317+L317+'Forcasting Pasut'!H317+'Forcasting Pasut'!I317+'Forcasting Pasut'!J317+'Forcasting Pasut'!M317+'Forcasting Pasut'!N317</f>
        <v>269.17697845358498</v>
      </c>
      <c r="P317" s="405"/>
      <c r="Q317" s="406">
        <f>AB306</f>
        <v>192.4</v>
      </c>
      <c r="R317" s="406"/>
      <c r="S317" s="406"/>
      <c r="T317" s="406"/>
      <c r="U317" s="406"/>
      <c r="V317" s="406"/>
      <c r="W317" s="406"/>
      <c r="X317" s="406"/>
      <c r="Y317" s="406"/>
      <c r="Z317" s="406"/>
      <c r="AA317" s="406"/>
      <c r="AB317" s="406"/>
      <c r="AC317" s="406"/>
      <c r="AD317" s="406"/>
      <c r="AE317" s="406"/>
      <c r="AF317" s="406"/>
      <c r="AG317" s="406"/>
      <c r="AH317" s="406"/>
      <c r="AI317" s="406"/>
      <c r="AJ317" s="406"/>
      <c r="AK317" s="406"/>
      <c r="AL317" s="406"/>
      <c r="AM317" s="406"/>
      <c r="AN317" s="406"/>
      <c r="AO317" s="407"/>
      <c r="AP317" s="407"/>
    </row>
    <row r="318" spans="1:42">
      <c r="A318" s="402"/>
      <c r="B318" s="77"/>
      <c r="D318" s="131"/>
      <c r="E318" s="113">
        <f t="shared" si="4"/>
        <v>300</v>
      </c>
      <c r="F318" s="408">
        <f>skemA7!$E$21*COS(RADIANS(skemA7!$E$28*E318-skemA7!$E$22))</f>
        <v>-0.82988153869555492</v>
      </c>
      <c r="G318" s="408">
        <f>skemA7!$F$21*COS(RADIANS(skemA7!$F$28*E318-skemA7!$F$22))</f>
        <v>17.13132935655878</v>
      </c>
      <c r="H318" s="408">
        <f>skemA7!$G$21*COS(RADIANS(skemA7!$G$28*E318-skemA7!$G$22))</f>
        <v>5.3540512195251582</v>
      </c>
      <c r="I318" s="408">
        <f>skemA7!$H$21*COS(RADIANS(skemA7!$H$28*E318-skemA7!$H$22))</f>
        <v>28.121254231315913</v>
      </c>
      <c r="J318" s="408">
        <f>skemA7!$I$21*COS(RADIANS(skemA7!$I$28*E318-skemA7!$I$22))</f>
        <v>13.004065079256847</v>
      </c>
      <c r="K318" s="408">
        <f>skemA7!$J$21*COS(RADIANS(skemA7!$J$28*E318-skemA7!$J$22))</f>
        <v>-1.7665274016461618</v>
      </c>
      <c r="L318" s="408">
        <f>skemA7!$K$21*COS(RADIANS(skemA7!$K$28*E318-skemA7!$K$22))</f>
        <v>-0.58703907897112628</v>
      </c>
      <c r="M318" s="408">
        <f>skemA7!$L$21*COS(RADIANS(skemA7!$L$28*E318-skemA7!$L$22))</f>
        <v>2.4824593282519167</v>
      </c>
      <c r="N318" s="408">
        <f>skemA7!$M$21*COS(RADIANS(skemA7!$M$28*E318-skemA7!$M$22))</f>
        <v>11.471628328226361</v>
      </c>
      <c r="O318" s="409">
        <f>skemA7!$D$21+'Forcasting Pasut'!F318+'Forcasting Pasut'!G318+K318+L318+'Forcasting Pasut'!H318+'Forcasting Pasut'!I318+'Forcasting Pasut'!J318+'Forcasting Pasut'!M318+'Forcasting Pasut'!N318</f>
        <v>240.54965848933935</v>
      </c>
      <c r="P318" s="405"/>
      <c r="Q318" s="406">
        <f>AC306</f>
        <v>189.39999999999998</v>
      </c>
      <c r="R318" s="406"/>
      <c r="S318" s="406"/>
      <c r="T318" s="406"/>
      <c r="U318" s="406"/>
      <c r="V318" s="406"/>
      <c r="W318" s="406"/>
      <c r="X318" s="406"/>
      <c r="Y318" s="406"/>
      <c r="Z318" s="406"/>
      <c r="AA318" s="406"/>
      <c r="AB318" s="406"/>
      <c r="AC318" s="406"/>
      <c r="AD318" s="406"/>
      <c r="AE318" s="406"/>
      <c r="AF318" s="406"/>
      <c r="AG318" s="406"/>
      <c r="AH318" s="406"/>
      <c r="AI318" s="406"/>
      <c r="AJ318" s="406"/>
      <c r="AK318" s="406"/>
      <c r="AL318" s="406"/>
      <c r="AM318" s="406"/>
      <c r="AN318" s="406"/>
      <c r="AO318" s="407"/>
      <c r="AP318" s="407"/>
    </row>
    <row r="319" spans="1:42">
      <c r="A319" s="402"/>
      <c r="B319" s="77"/>
      <c r="D319" s="131"/>
      <c r="E319" s="113">
        <f t="shared" si="4"/>
        <v>301</v>
      </c>
      <c r="F319" s="408">
        <f>skemA7!$E$21*COS(RADIANS(skemA7!$E$28*E319-skemA7!$E$22))</f>
        <v>-11.464014677190931</v>
      </c>
      <c r="G319" s="408">
        <f>skemA7!$F$21*COS(RADIANS(skemA7!$F$28*E319-skemA7!$F$22))</f>
        <v>7.1705119453435984</v>
      </c>
      <c r="H319" s="408">
        <f>skemA7!$G$21*COS(RADIANS(skemA7!$G$28*E319-skemA7!$G$22))</f>
        <v>-3.2551565826201472</v>
      </c>
      <c r="I319" s="408">
        <f>skemA7!$H$21*COS(RADIANS(skemA7!$H$28*E319-skemA7!$H$22))</f>
        <v>21.426492689877612</v>
      </c>
      <c r="J319" s="408">
        <f>skemA7!$I$21*COS(RADIANS(skemA7!$I$28*E319-skemA7!$I$22))</f>
        <v>18.458226134243109</v>
      </c>
      <c r="K319" s="408">
        <f>skemA7!$J$21*COS(RADIANS(skemA7!$J$28*E319-skemA7!$J$22))</f>
        <v>-0.74295661109616074</v>
      </c>
      <c r="L319" s="408">
        <f>skemA7!$K$21*COS(RADIANS(skemA7!$K$28*E319-skemA7!$K$22))</f>
        <v>-3.090938116630789</v>
      </c>
      <c r="M319" s="408">
        <f>skemA7!$L$21*COS(RADIANS(skemA7!$L$28*E319-skemA7!$L$22))</f>
        <v>-0.70356936708893736</v>
      </c>
      <c r="N319" s="408">
        <f>skemA7!$M$21*COS(RADIANS(skemA7!$M$28*E319-skemA7!$M$22))</f>
        <v>10.369519787657184</v>
      </c>
      <c r="O319" s="409">
        <f>skemA7!$D$21+'Forcasting Pasut'!F319+'Forcasting Pasut'!G319+K319+L319+'Forcasting Pasut'!H319+'Forcasting Pasut'!I319+'Forcasting Pasut'!J319+'Forcasting Pasut'!M319+'Forcasting Pasut'!N319</f>
        <v>204.33643416801183</v>
      </c>
      <c r="P319" s="405"/>
      <c r="Q319" s="406">
        <f>AD306</f>
        <v>183.5</v>
      </c>
      <c r="R319" s="406"/>
      <c r="S319" s="406"/>
      <c r="T319" s="406"/>
      <c r="U319" s="406"/>
      <c r="V319" s="406"/>
      <c r="W319" s="406"/>
      <c r="X319" s="406"/>
      <c r="Y319" s="406"/>
      <c r="Z319" s="406"/>
      <c r="AA319" s="406"/>
      <c r="AB319" s="406"/>
      <c r="AC319" s="406"/>
      <c r="AD319" s="406"/>
      <c r="AE319" s="406"/>
      <c r="AF319" s="406"/>
      <c r="AG319" s="406"/>
      <c r="AH319" s="406"/>
      <c r="AI319" s="406"/>
      <c r="AJ319" s="406"/>
      <c r="AK319" s="406"/>
      <c r="AL319" s="406"/>
      <c r="AM319" s="406"/>
      <c r="AN319" s="406"/>
      <c r="AO319" s="407"/>
      <c r="AP319" s="407"/>
    </row>
    <row r="320" spans="1:42">
      <c r="A320" s="402"/>
      <c r="B320" s="77"/>
      <c r="D320" s="131"/>
      <c r="E320" s="113">
        <f t="shared" si="4"/>
        <v>302</v>
      </c>
      <c r="F320" s="408">
        <f>skemA7!$E$21*COS(RADIANS(skemA7!$E$28*E320-skemA7!$E$22))</f>
        <v>-19.226528095751139</v>
      </c>
      <c r="G320" s="408">
        <f>skemA7!$F$21*COS(RADIANS(skemA7!$F$28*E320-skemA7!$F$22))</f>
        <v>-4.7116383509440363</v>
      </c>
      <c r="H320" s="408">
        <f>skemA7!$G$21*COS(RADIANS(skemA7!$G$28*E320-skemA7!$G$22))</f>
        <v>-11.07867577016966</v>
      </c>
      <c r="I320" s="408">
        <f>skemA7!$H$21*COS(RADIANS(skemA7!$H$28*E320-skemA7!$H$22))</f>
        <v>13.263603809495558</v>
      </c>
      <c r="J320" s="408">
        <f>skemA7!$I$21*COS(RADIANS(skemA7!$I$28*E320-skemA7!$I$22))</f>
        <v>22.824677853062575</v>
      </c>
      <c r="K320" s="408">
        <f>skemA7!$J$21*COS(RADIANS(skemA7!$J$28*E320-skemA7!$J$22))</f>
        <v>0.97840969601393968</v>
      </c>
      <c r="L320" s="408">
        <f>skemA7!$K$21*COS(RADIANS(skemA7!$K$28*E320-skemA7!$K$22))</f>
        <v>-2.5983421640093773</v>
      </c>
      <c r="M320" s="408">
        <f>skemA7!$L$21*COS(RADIANS(skemA7!$L$28*E320-skemA7!$L$22))</f>
        <v>-3.7000690436652972</v>
      </c>
      <c r="N320" s="408">
        <f>skemA7!$M$21*COS(RADIANS(skemA7!$M$28*E320-skemA7!$M$22))</f>
        <v>8.564581496579633</v>
      </c>
      <c r="O320" s="409">
        <f>skemA7!$D$21+'Forcasting Pasut'!F320+'Forcasting Pasut'!G320+K320+L320+'Forcasting Pasut'!H320+'Forcasting Pasut'!I320+'Forcasting Pasut'!J320+'Forcasting Pasut'!M320+'Forcasting Pasut'!N320</f>
        <v>170.48433839612937</v>
      </c>
      <c r="P320" s="405"/>
      <c r="Q320" s="406">
        <f>AE306</f>
        <v>178.9</v>
      </c>
      <c r="R320" s="406"/>
      <c r="S320" s="406"/>
      <c r="T320" s="406"/>
      <c r="U320" s="406"/>
      <c r="V320" s="406"/>
      <c r="W320" s="406"/>
      <c r="X320" s="406"/>
      <c r="Y320" s="406"/>
      <c r="Z320" s="406"/>
      <c r="AA320" s="406"/>
      <c r="AB320" s="406"/>
      <c r="AC320" s="406"/>
      <c r="AD320" s="406"/>
      <c r="AE320" s="406"/>
      <c r="AF320" s="406"/>
      <c r="AG320" s="406"/>
      <c r="AH320" s="406"/>
      <c r="AI320" s="406"/>
      <c r="AJ320" s="406"/>
      <c r="AK320" s="406"/>
      <c r="AL320" s="406"/>
      <c r="AM320" s="406"/>
      <c r="AN320" s="406"/>
      <c r="AO320" s="407"/>
      <c r="AP320" s="407"/>
    </row>
    <row r="321" spans="1:42">
      <c r="A321" s="402"/>
      <c r="B321" s="77"/>
      <c r="D321" s="131"/>
      <c r="E321" s="113">
        <f t="shared" si="4"/>
        <v>303</v>
      </c>
      <c r="F321" s="408">
        <f>skemA7!$E$21*COS(RADIANS(skemA7!$E$28*E321-skemA7!$E$22))</f>
        <v>-22.17299069962845</v>
      </c>
      <c r="G321" s="408">
        <f>skemA7!$F$21*COS(RADIANS(skemA7!$F$28*E321-skemA7!$F$22))</f>
        <v>-15.33130895606925</v>
      </c>
      <c r="H321" s="408">
        <f>skemA7!$G$21*COS(RADIANS(skemA7!$G$28*E321-skemA7!$G$22))</f>
        <v>-16.228164017425446</v>
      </c>
      <c r="I321" s="408">
        <f>skemA7!$H$21*COS(RADIANS(skemA7!$H$28*E321-skemA7!$H$22))</f>
        <v>4.191902663501895</v>
      </c>
      <c r="J321" s="408">
        <f>skemA7!$I$21*COS(RADIANS(skemA7!$I$28*E321-skemA7!$I$22))</f>
        <v>25.846113262339944</v>
      </c>
      <c r="K321" s="408">
        <f>skemA7!$J$21*COS(RADIANS(skemA7!$J$28*E321-skemA7!$J$22))</f>
        <v>1.7808395685586962</v>
      </c>
      <c r="L321" s="408">
        <f>skemA7!$K$21*COS(RADIANS(skemA7!$K$28*E321-skemA7!$K$22))</f>
        <v>0.4132040178637808</v>
      </c>
      <c r="M321" s="408">
        <f>skemA7!$L$21*COS(RADIANS(skemA7!$L$28*E321-skemA7!$L$22))</f>
        <v>-5.6998362187877154</v>
      </c>
      <c r="N321" s="408">
        <f>skemA7!$M$21*COS(RADIANS(skemA7!$M$28*E321-skemA7!$M$22))</f>
        <v>6.1791493350324025</v>
      </c>
      <c r="O321" s="409">
        <f>skemA7!$D$21+'Forcasting Pasut'!F321+'Forcasting Pasut'!G321+K321+L321+'Forcasting Pasut'!H321+'Forcasting Pasut'!I321+'Forcasting Pasut'!J321+'Forcasting Pasut'!M321+'Forcasting Pasut'!N321</f>
        <v>145.14722792090311</v>
      </c>
      <c r="P321" s="405"/>
      <c r="Q321" s="406">
        <f>AF306</f>
        <v>167.4</v>
      </c>
      <c r="R321" s="406"/>
      <c r="S321" s="406"/>
      <c r="T321" s="406"/>
      <c r="U321" s="406"/>
      <c r="V321" s="406"/>
      <c r="W321" s="406"/>
      <c r="X321" s="406"/>
      <c r="Y321" s="406"/>
      <c r="Z321" s="406"/>
      <c r="AA321" s="406"/>
      <c r="AB321" s="406"/>
      <c r="AC321" s="406"/>
      <c r="AD321" s="406"/>
      <c r="AE321" s="406"/>
      <c r="AF321" s="406"/>
      <c r="AG321" s="406"/>
      <c r="AH321" s="406"/>
      <c r="AI321" s="406"/>
      <c r="AJ321" s="406"/>
      <c r="AK321" s="406"/>
      <c r="AL321" s="406"/>
      <c r="AM321" s="406"/>
      <c r="AN321" s="406"/>
      <c r="AO321" s="407"/>
      <c r="AP321" s="407"/>
    </row>
    <row r="322" spans="1:42">
      <c r="A322" s="402"/>
      <c r="B322" s="77"/>
      <c r="D322" s="131"/>
      <c r="E322" s="113">
        <f t="shared" si="4"/>
        <v>304</v>
      </c>
      <c r="F322" s="408">
        <f>skemA7!$E$21*COS(RADIANS(skemA7!$E$28*E322-skemA7!$E$22))</f>
        <v>-19.565343409555407</v>
      </c>
      <c r="G322" s="408">
        <f>skemA7!$F$21*COS(RADIANS(skemA7!$F$28*E322-skemA7!$F$22))</f>
        <v>-21.842967707503206</v>
      </c>
      <c r="H322" s="408">
        <f>skemA7!$G$21*COS(RADIANS(skemA7!$G$28*E322-skemA7!$G$22))</f>
        <v>-17.46070283977016</v>
      </c>
      <c r="I322" s="408">
        <f>skemA7!$H$21*COS(RADIANS(skemA7!$H$28*E322-skemA7!$H$22))</f>
        <v>-5.167024534443418</v>
      </c>
      <c r="J322" s="408">
        <f>skemA7!$I$21*COS(RADIANS(skemA7!$I$28*E322-skemA7!$I$22))</f>
        <v>27.344484727410777</v>
      </c>
      <c r="K322" s="408">
        <f>skemA7!$J$21*COS(RADIANS(skemA7!$J$28*E322-skemA7!$J$22))</f>
        <v>0.9106793489045063</v>
      </c>
      <c r="L322" s="408">
        <f>skemA7!$K$21*COS(RADIANS(skemA7!$K$28*E322-skemA7!$K$22))</f>
        <v>3.0241715654282775</v>
      </c>
      <c r="M322" s="408">
        <f>skemA7!$L$21*COS(RADIANS(skemA7!$L$28*E322-skemA7!$L$22))</f>
        <v>-6.1641693397922195</v>
      </c>
      <c r="N322" s="408">
        <f>skemA7!$M$21*COS(RADIANS(skemA7!$M$28*E322-skemA7!$M$22))</f>
        <v>3.3749041450689168</v>
      </c>
      <c r="O322" s="409">
        <f>skemA7!$D$21+'Forcasting Pasut'!F322+'Forcasting Pasut'!G322+K322+L322+'Forcasting Pasut'!H322+'Forcasting Pasut'!I322+'Forcasting Pasut'!J322+'Forcasting Pasut'!M322+'Forcasting Pasut'!N322</f>
        <v>130.62235092126534</v>
      </c>
      <c r="P322" s="405"/>
      <c r="Q322" s="406">
        <f>AG306</f>
        <v>157.6</v>
      </c>
      <c r="R322" s="406"/>
      <c r="S322" s="406"/>
      <c r="T322" s="406"/>
      <c r="U322" s="406"/>
      <c r="V322" s="406"/>
      <c r="W322" s="406"/>
      <c r="X322" s="406"/>
      <c r="Y322" s="406"/>
      <c r="Z322" s="406"/>
      <c r="AA322" s="406"/>
      <c r="AB322" s="406"/>
      <c r="AC322" s="406"/>
      <c r="AD322" s="406"/>
      <c r="AE322" s="406"/>
      <c r="AF322" s="406"/>
      <c r="AG322" s="406"/>
      <c r="AH322" s="406"/>
      <c r="AI322" s="406"/>
      <c r="AJ322" s="406"/>
      <c r="AK322" s="406"/>
      <c r="AL322" s="406"/>
      <c r="AM322" s="406"/>
      <c r="AN322" s="406"/>
      <c r="AO322" s="407"/>
      <c r="AP322" s="407"/>
    </row>
    <row r="323" spans="1:42">
      <c r="A323" s="402"/>
      <c r="B323" s="77"/>
      <c r="D323" s="131"/>
      <c r="E323" s="113">
        <f t="shared" si="4"/>
        <v>305</v>
      </c>
      <c r="F323" s="408">
        <f>skemA7!$E$21*COS(RADIANS(skemA7!$E$28*E323-skemA7!$E$22))</f>
        <v>-12.056775495754454</v>
      </c>
      <c r="G323" s="408">
        <f>skemA7!$F$21*COS(RADIANS(skemA7!$F$28*E323-skemA7!$F$22))</f>
        <v>-22.501820901412696</v>
      </c>
      <c r="H323" s="408">
        <f>skemA7!$G$21*COS(RADIANS(skemA7!$G$28*E323-skemA7!$G$22))</f>
        <v>-14.478797571375393</v>
      </c>
      <c r="I323" s="408">
        <f>skemA7!$H$21*COS(RADIANS(skemA7!$H$28*E323-skemA7!$H$22))</f>
        <v>-14.171911055280226</v>
      </c>
      <c r="J323" s="408">
        <f>skemA7!$I$21*COS(RADIANS(skemA7!$I$28*E323-skemA7!$I$22))</f>
        <v>27.231495972146323</v>
      </c>
      <c r="K323" s="408">
        <f>skemA7!$J$21*COS(RADIANS(skemA7!$J$28*E323-skemA7!$J$22))</f>
        <v>-0.81480399083318544</v>
      </c>
      <c r="L323" s="408">
        <f>skemA7!$K$21*COS(RADIANS(skemA7!$K$28*E323-skemA7!$K$22))</f>
        <v>2.7033706324791806</v>
      </c>
      <c r="M323" s="408">
        <f>skemA7!$L$21*COS(RADIANS(skemA7!$L$28*E323-skemA7!$L$22))</f>
        <v>-4.967985358836998</v>
      </c>
      <c r="N323" s="408">
        <f>skemA7!$M$21*COS(RADIANS(skemA7!$M$28*E323-skemA7!$M$22))</f>
        <v>0.3419132574411532</v>
      </c>
      <c r="O323" s="409">
        <f>skemA7!$D$21+'Forcasting Pasut'!F323+'Forcasting Pasut'!G323+K323+L323+'Forcasting Pasut'!H323+'Forcasting Pasut'!I323+'Forcasting Pasut'!J323+'Forcasting Pasut'!M323+'Forcasting Pasut'!N323</f>
        <v>127.45300445409096</v>
      </c>
      <c r="P323" s="405"/>
      <c r="Q323" s="406">
        <f>AH306</f>
        <v>150.89999999999998</v>
      </c>
      <c r="R323" s="406"/>
      <c r="S323" s="406"/>
      <c r="T323" s="406"/>
      <c r="U323" s="406"/>
      <c r="V323" s="406"/>
      <c r="W323" s="406"/>
      <c r="X323" s="406"/>
      <c r="Y323" s="406"/>
      <c r="Z323" s="406"/>
      <c r="AA323" s="406"/>
      <c r="AB323" s="406"/>
      <c r="AC323" s="406"/>
      <c r="AD323" s="406"/>
      <c r="AE323" s="406"/>
      <c r="AF323" s="406"/>
      <c r="AG323" s="406"/>
      <c r="AH323" s="406"/>
      <c r="AI323" s="406"/>
      <c r="AJ323" s="406"/>
      <c r="AK323" s="406"/>
      <c r="AL323" s="406"/>
      <c r="AM323" s="406"/>
      <c r="AN323" s="406"/>
      <c r="AO323" s="407"/>
      <c r="AP323" s="407"/>
    </row>
    <row r="324" spans="1:42">
      <c r="A324" s="402"/>
      <c r="B324" s="77"/>
      <c r="D324" s="131"/>
      <c r="E324" s="113">
        <f t="shared" si="4"/>
        <v>306</v>
      </c>
      <c r="F324" s="408">
        <f>skemA7!$E$21*COS(RADIANS(skemA7!$E$28*E324-skemA7!$E$22))</f>
        <v>-1.5281072726507641</v>
      </c>
      <c r="G324" s="408">
        <f>skemA7!$F$21*COS(RADIANS(skemA7!$F$28*E324-skemA7!$F$22))</f>
        <v>-17.131329356558947</v>
      </c>
      <c r="H324" s="408">
        <f>skemA7!$G$21*COS(RADIANS(skemA7!$G$28*E324-skemA7!$G$22))</f>
        <v>-8.0021828731450757</v>
      </c>
      <c r="I324" s="408">
        <f>skemA7!$H$21*COS(RADIANS(skemA7!$H$28*E324-skemA7!$H$22))</f>
        <v>-22.205748773754081</v>
      </c>
      <c r="J324" s="408">
        <f>skemA7!$I$21*COS(RADIANS(skemA7!$I$28*E324-skemA7!$I$22))</f>
        <v>25.513805216198023</v>
      </c>
      <c r="K324" s="408">
        <f>skemA7!$J$21*COS(RADIANS(skemA7!$J$28*E324-skemA7!$J$22))</f>
        <v>-1.7750117233724949</v>
      </c>
      <c r="L324" s="408">
        <f>skemA7!$K$21*COS(RADIANS(skemA7!$K$28*E324-skemA7!$K$22))</f>
        <v>-0.23819986991254899</v>
      </c>
      <c r="M324" s="408">
        <f>skemA7!$L$21*COS(RADIANS(skemA7!$L$28*E324-skemA7!$L$22))</f>
        <v>-2.4335148714772674</v>
      </c>
      <c r="N324" s="408">
        <f>skemA7!$M$21*COS(RADIANS(skemA7!$M$28*E324-skemA7!$M$22))</f>
        <v>-2.7142519732941373</v>
      </c>
      <c r="O324" s="409">
        <f>skemA7!$D$21+'Forcasting Pasut'!F324+'Forcasting Pasut'!G324+K324+L324+'Forcasting Pasut'!H324+'Forcasting Pasut'!I324+'Forcasting Pasut'!J324+'Forcasting Pasut'!M324+'Forcasting Pasut'!N324</f>
        <v>135.65377746754993</v>
      </c>
      <c r="P324" s="405"/>
      <c r="Q324" s="406">
        <f>AI306</f>
        <v>146.80000000000001</v>
      </c>
      <c r="R324" s="406"/>
      <c r="S324" s="406"/>
      <c r="T324" s="406"/>
      <c r="U324" s="406"/>
      <c r="V324" s="406"/>
      <c r="W324" s="406"/>
      <c r="X324" s="406"/>
      <c r="Y324" s="406"/>
      <c r="Z324" s="406"/>
      <c r="AA324" s="406"/>
      <c r="AB324" s="406"/>
      <c r="AC324" s="406"/>
      <c r="AD324" s="406"/>
      <c r="AE324" s="406"/>
      <c r="AF324" s="406"/>
      <c r="AG324" s="406"/>
      <c r="AH324" s="406"/>
      <c r="AI324" s="406"/>
      <c r="AJ324" s="406"/>
      <c r="AK324" s="406"/>
      <c r="AL324" s="406"/>
      <c r="AM324" s="406"/>
      <c r="AN324" s="406"/>
      <c r="AO324" s="407"/>
      <c r="AP324" s="407"/>
    </row>
    <row r="325" spans="1:42">
      <c r="A325" s="402"/>
      <c r="B325" s="77"/>
      <c r="D325" s="131"/>
      <c r="E325" s="113">
        <f t="shared" si="4"/>
        <v>307</v>
      </c>
      <c r="F325" s="408">
        <f>skemA7!$E$21*COS(RADIANS(skemA7!$E$28*E325-skemA7!$E$22))</f>
        <v>9.3833363656865583</v>
      </c>
      <c r="G325" s="408">
        <f>skemA7!$F$21*COS(RADIANS(skemA7!$F$28*E325-skemA7!$F$22))</f>
        <v>-7.1705119453438346</v>
      </c>
      <c r="H325" s="408">
        <f>skemA7!$G$21*COS(RADIANS(skemA7!$G$28*E325-skemA7!$G$22))</f>
        <v>0.40589773640658339</v>
      </c>
      <c r="I325" s="408">
        <f>skemA7!$H$21*COS(RADIANS(skemA7!$H$28*E325-skemA7!$H$22))</f>
        <v>-28.718065106143161</v>
      </c>
      <c r="J325" s="408">
        <f>skemA7!$I$21*COS(RADIANS(skemA7!$I$28*E325-skemA7!$I$22))</f>
        <v>22.292632818353763</v>
      </c>
      <c r="K325" s="408">
        <f>skemA7!$J$21*COS(RADIANS(skemA7!$J$28*E325-skemA7!$J$22))</f>
        <v>-1.0681029595883906</v>
      </c>
      <c r="L325" s="408">
        <f>skemA7!$K$21*COS(RADIANS(skemA7!$K$28*E325-skemA7!$K$22))</f>
        <v>-2.9488486618249077</v>
      </c>
      <c r="M325" s="408">
        <f>skemA7!$L$21*COS(RADIANS(skemA7!$L$28*E325-skemA7!$L$22))</f>
        <v>0.7565010493724762</v>
      </c>
      <c r="N325" s="408">
        <f>skemA7!$M$21*COS(RADIANS(skemA7!$M$28*E325-skemA7!$M$22))</f>
        <v>-5.5864494720353024</v>
      </c>
      <c r="O325" s="409">
        <f>skemA7!$D$21+'Forcasting Pasut'!F325+'Forcasting Pasut'!G325+K325+L325+'Forcasting Pasut'!H325+'Forcasting Pasut'!I325+'Forcasting Pasut'!J325+'Forcasting Pasut'!M325+'Forcasting Pasut'!N325</f>
        <v>153.51470879040099</v>
      </c>
      <c r="P325" s="405"/>
      <c r="Q325" s="406">
        <f>AJ306</f>
        <v>148.4</v>
      </c>
      <c r="R325" s="406"/>
      <c r="S325" s="406"/>
      <c r="T325" s="406"/>
      <c r="U325" s="406"/>
      <c r="V325" s="406"/>
      <c r="W325" s="406"/>
      <c r="X325" s="406"/>
      <c r="Y325" s="406"/>
      <c r="Z325" s="406"/>
      <c r="AA325" s="406"/>
      <c r="AB325" s="406"/>
      <c r="AC325" s="406"/>
      <c r="AD325" s="406"/>
      <c r="AE325" s="406"/>
      <c r="AF325" s="406"/>
      <c r="AG325" s="406"/>
      <c r="AH325" s="406"/>
      <c r="AI325" s="406"/>
      <c r="AJ325" s="406"/>
      <c r="AK325" s="406"/>
      <c r="AL325" s="406"/>
      <c r="AM325" s="406"/>
      <c r="AN325" s="406"/>
      <c r="AO325" s="407"/>
      <c r="AP325" s="407"/>
    </row>
    <row r="326" spans="1:42">
      <c r="A326" s="402"/>
      <c r="B326" s="77"/>
      <c r="D326" s="131"/>
      <c r="E326" s="113">
        <f t="shared" si="4"/>
        <v>308</v>
      </c>
      <c r="F326" s="408">
        <f>skemA7!$E$21*COS(RADIANS(skemA7!$E$28*E326-skemA7!$E$22))</f>
        <v>17.944349155389229</v>
      </c>
      <c r="G326" s="408">
        <f>skemA7!$F$21*COS(RADIANS(skemA7!$F$28*E326-skemA7!$F$22))</f>
        <v>4.7116383509444333</v>
      </c>
      <c r="H326" s="408">
        <f>skemA7!$G$21*COS(RADIANS(skemA7!$G$28*E326-skemA7!$G$22))</f>
        <v>8.7160078729289943</v>
      </c>
      <c r="I326" s="408">
        <f>skemA7!$H$21*COS(RADIANS(skemA7!$H$28*E326-skemA7!$H$22))</f>
        <v>-33.26264098216744</v>
      </c>
      <c r="J326" s="408">
        <f>skemA7!$I$21*COS(RADIANS(skemA7!$I$28*E326-skemA7!$I$22))</f>
        <v>17.75779654685741</v>
      </c>
      <c r="K326" s="408">
        <f>skemA7!$J$21*COS(RADIANS(skemA7!$J$28*E326-skemA7!$J$22))</f>
        <v>0.64198343973188832</v>
      </c>
      <c r="L326" s="408">
        <f>skemA7!$K$21*COS(RADIANS(skemA7!$K$28*E326-skemA7!$K$22))</f>
        <v>-2.8007503973945971</v>
      </c>
      <c r="M326" s="408">
        <f>skemA7!$L$21*COS(RADIANS(skemA7!$L$28*E326-skemA7!$L$22))</f>
        <v>3.7427291018349673</v>
      </c>
      <c r="N326" s="408">
        <f>skemA7!$M$21*COS(RADIANS(skemA7!$M$28*E326-skemA7!$M$22))</f>
        <v>-8.080006207360281</v>
      </c>
      <c r="O326" s="409">
        <f>skemA7!$D$21+'Forcasting Pasut'!F326+'Forcasting Pasut'!G326+K326+L326+'Forcasting Pasut'!H326+'Forcasting Pasut'!I326+'Forcasting Pasut'!J326+'Forcasting Pasut'!M326+'Forcasting Pasut'!N326</f>
        <v>175.53942584628186</v>
      </c>
      <c r="P326" s="405"/>
      <c r="Q326" s="406">
        <f>AK306</f>
        <v>152.69999999999999</v>
      </c>
      <c r="R326" s="406"/>
      <c r="S326" s="406"/>
      <c r="T326" s="406"/>
      <c r="U326" s="406"/>
      <c r="V326" s="406"/>
      <c r="W326" s="406"/>
      <c r="X326" s="406"/>
      <c r="Y326" s="406"/>
      <c r="Z326" s="406"/>
      <c r="AA326" s="406"/>
      <c r="AB326" s="406"/>
      <c r="AC326" s="406"/>
      <c r="AD326" s="406"/>
      <c r="AE326" s="406"/>
      <c r="AF326" s="406"/>
      <c r="AG326" s="406"/>
      <c r="AH326" s="406"/>
      <c r="AI326" s="406"/>
      <c r="AJ326" s="406"/>
      <c r="AK326" s="406"/>
      <c r="AL326" s="406"/>
      <c r="AM326" s="406"/>
      <c r="AN326" s="406"/>
      <c r="AO326" s="407"/>
      <c r="AP326" s="407"/>
    </row>
    <row r="327" spans="1:42">
      <c r="A327" s="402"/>
      <c r="B327" s="77"/>
      <c r="D327" s="131"/>
      <c r="E327" s="113">
        <f t="shared" si="4"/>
        <v>309</v>
      </c>
      <c r="F327" s="408">
        <f>skemA7!$E$21*COS(RADIANS(skemA7!$E$28*E327-skemA7!$E$22))</f>
        <v>22.010483985930588</v>
      </c>
      <c r="G327" s="408">
        <f>skemA7!$F$21*COS(RADIANS(skemA7!$F$28*E327-skemA7!$F$22))</f>
        <v>15.331308956069067</v>
      </c>
      <c r="H327" s="408">
        <f>skemA7!$G$21*COS(RADIANS(skemA7!$G$28*E327-skemA7!$G$22))</f>
        <v>14.922358028425252</v>
      </c>
      <c r="I327" s="408">
        <f>skemA7!$H$21*COS(RADIANS(skemA7!$H$28*E327-skemA7!$H$22))</f>
        <v>-35.528085443724159</v>
      </c>
      <c r="J327" s="408">
        <f>skemA7!$I$21*COS(RADIANS(skemA7!$I$28*E327-skemA7!$I$22))</f>
        <v>12.176525967248159</v>
      </c>
      <c r="K327" s="408">
        <f>skemA7!$J$21*COS(RADIANS(skemA7!$J$28*E327-skemA7!$J$22))</f>
        <v>1.7491097748165894</v>
      </c>
      <c r="L327" s="408">
        <f>skemA7!$K$21*COS(RADIANS(skemA7!$K$28*E327-skemA7!$K$22))</f>
        <v>6.2521778045257118E-2</v>
      </c>
      <c r="M327" s="408">
        <f>skemA7!$L$21*COS(RADIANS(skemA7!$L$28*E327-skemA7!$L$22))</f>
        <v>5.7207327952621227</v>
      </c>
      <c r="N327" s="408">
        <f>skemA7!$M$21*COS(RADIANS(skemA7!$M$28*E327-skemA7!$M$22))</f>
        <v>-10.025912823575027</v>
      </c>
      <c r="O327" s="409">
        <f>skemA7!$D$21+'Forcasting Pasut'!F327+'Forcasting Pasut'!G327+K327+L327+'Forcasting Pasut'!H327+'Forcasting Pasut'!I327+'Forcasting Pasut'!J327+'Forcasting Pasut'!M327+'Forcasting Pasut'!N327</f>
        <v>192.5873619840151</v>
      </c>
      <c r="P327" s="405"/>
      <c r="Q327" s="406">
        <f>AL306</f>
        <v>154.4</v>
      </c>
      <c r="R327" s="406"/>
      <c r="S327" s="406"/>
      <c r="T327" s="406"/>
      <c r="U327" s="406"/>
      <c r="V327" s="406"/>
      <c r="W327" s="406"/>
      <c r="X327" s="406"/>
      <c r="Y327" s="406"/>
      <c r="Z327" s="406"/>
      <c r="AA327" s="406"/>
      <c r="AB327" s="406"/>
      <c r="AC327" s="406"/>
      <c r="AD327" s="406"/>
      <c r="AE327" s="406"/>
      <c r="AF327" s="406"/>
      <c r="AG327" s="406"/>
      <c r="AH327" s="406"/>
      <c r="AI327" s="406"/>
      <c r="AJ327" s="406"/>
      <c r="AK327" s="406"/>
      <c r="AL327" s="406"/>
      <c r="AM327" s="406"/>
      <c r="AN327" s="406"/>
      <c r="AO327" s="407"/>
      <c r="AP327" s="407"/>
    </row>
    <row r="328" spans="1:42">
      <c r="A328" s="402"/>
      <c r="B328" s="77"/>
      <c r="D328" s="131"/>
      <c r="E328" s="113">
        <f t="shared" si="4"/>
        <v>310</v>
      </c>
      <c r="F328" s="408">
        <f>skemA7!$E$21*COS(RADIANS(skemA7!$E$28*E328-skemA7!$E$22))</f>
        <v>20.563215210573478</v>
      </c>
      <c r="G328" s="408">
        <f>skemA7!$F$21*COS(RADIANS(skemA7!$F$28*E328-skemA7!$F$22))</f>
        <v>21.84296770750333</v>
      </c>
      <c r="H328" s="408">
        <f>skemA7!$G$21*COS(RADIANS(skemA7!$G$28*E328-skemA7!$G$22))</f>
        <v>17.526937728865263</v>
      </c>
      <c r="I328" s="408">
        <f>skemA7!$H$21*COS(RADIANS(skemA7!$H$28*E328-skemA7!$H$22))</f>
        <v>-35.359171921677131</v>
      </c>
      <c r="J328" s="408">
        <f>skemA7!$I$21*COS(RADIANS(skemA7!$I$28*E328-skemA7!$I$22))</f>
        <v>5.8777150952878001</v>
      </c>
      <c r="K328" s="408">
        <f>skemA7!$J$21*COS(RADIANS(skemA7!$J$28*E328-skemA7!$J$22))</f>
        <v>1.2134470955633332</v>
      </c>
      <c r="L328" s="408">
        <f>skemA7!$K$21*COS(RADIANS(skemA7!$K$28*E328-skemA7!$K$22))</f>
        <v>2.8651825185009026</v>
      </c>
      <c r="M328" s="408">
        <f>skemA7!$L$21*COS(RADIANS(skemA7!$L$28*E328-skemA7!$L$22))</f>
        <v>6.1576732701703074</v>
      </c>
      <c r="N328" s="408">
        <f>skemA7!$M$21*COS(RADIANS(skemA7!$M$28*E328-skemA7!$M$22))</f>
        <v>-11.292278829163228</v>
      </c>
      <c r="O328" s="409">
        <f>skemA7!$D$21+'Forcasting Pasut'!F328+'Forcasting Pasut'!G328+K328+L328+'Forcasting Pasut'!H328+'Forcasting Pasut'!I328+'Forcasting Pasut'!J328+'Forcasting Pasut'!M328+'Forcasting Pasut'!N328</f>
        <v>195.56400684114135</v>
      </c>
      <c r="P328" s="405"/>
      <c r="Q328" s="406">
        <f>AM306</f>
        <v>158.4</v>
      </c>
      <c r="R328" s="406"/>
      <c r="S328" s="406"/>
      <c r="T328" s="406"/>
      <c r="U328" s="406"/>
      <c r="V328" s="406"/>
      <c r="W328" s="406"/>
      <c r="X328" s="406"/>
      <c r="Y328" s="406"/>
      <c r="Z328" s="406"/>
      <c r="AA328" s="406"/>
      <c r="AB328" s="406"/>
      <c r="AC328" s="406"/>
      <c r="AD328" s="406"/>
      <c r="AE328" s="406"/>
      <c r="AF328" s="406"/>
      <c r="AG328" s="406"/>
      <c r="AH328" s="406"/>
      <c r="AI328" s="406"/>
      <c r="AJ328" s="406"/>
      <c r="AK328" s="406"/>
      <c r="AL328" s="406"/>
      <c r="AM328" s="406"/>
      <c r="AN328" s="406"/>
      <c r="AO328" s="407"/>
      <c r="AP328" s="407"/>
    </row>
    <row r="329" spans="1:42">
      <c r="A329" s="402"/>
      <c r="B329" s="77"/>
      <c r="D329" s="131"/>
      <c r="E329" s="113">
        <f t="shared" si="4"/>
        <v>311</v>
      </c>
      <c r="F329" s="408">
        <f>skemA7!$E$21*COS(RADIANS(skemA7!$E$28*E329-skemA7!$E$22))</f>
        <v>13.965069018649402</v>
      </c>
      <c r="G329" s="408">
        <f>skemA7!$F$21*COS(RADIANS(skemA7!$F$28*E329-skemA7!$F$22))</f>
        <v>22.501820901412746</v>
      </c>
      <c r="H329" s="408">
        <f>skemA7!$G$21*COS(RADIANS(skemA7!$G$28*E329-skemA7!$G$22))</f>
        <v>15.901086396945802</v>
      </c>
      <c r="I329" s="408">
        <f>skemA7!$H$21*COS(RADIANS(skemA7!$H$28*E329-skemA7!$H$22))</f>
        <v>-32.767474244894615</v>
      </c>
      <c r="J329" s="408">
        <f>skemA7!$I$21*COS(RADIANS(skemA7!$I$28*E329-skemA7!$I$22))</f>
        <v>-0.76745872281827399</v>
      </c>
      <c r="K329" s="408">
        <f>skemA7!$J$21*COS(RADIANS(skemA7!$J$28*E329-skemA7!$J$22))</f>
        <v>-0.46190251859418452</v>
      </c>
      <c r="L329" s="408">
        <f>skemA7!$K$21*COS(RADIANS(skemA7!$K$28*E329-skemA7!$K$22))</f>
        <v>2.8902059401326885</v>
      </c>
      <c r="M329" s="408">
        <f>skemA7!$L$21*COS(RADIANS(skemA7!$L$28*E329-skemA7!$L$22))</f>
        <v>4.9358465682274044</v>
      </c>
      <c r="N329" s="408">
        <f>skemA7!$M$21*COS(RADIANS(skemA7!$M$28*E329-skemA7!$M$22))</f>
        <v>-11.793271926970501</v>
      </c>
      <c r="O329" s="409">
        <f>skemA7!$D$21+'Forcasting Pasut'!F329+'Forcasting Pasut'!G329+K329+L329+'Forcasting Pasut'!H329+'Forcasting Pasut'!I329+'Forcasting Pasut'!J329+'Forcasting Pasut'!M329+'Forcasting Pasut'!N329</f>
        <v>180.5722403776077</v>
      </c>
      <c r="P329" s="405"/>
      <c r="Q329" s="406">
        <f>AN306</f>
        <v>156.9</v>
      </c>
      <c r="R329" s="406"/>
      <c r="S329" s="406"/>
      <c r="T329" s="406"/>
      <c r="U329" s="406"/>
      <c r="V329" s="406"/>
      <c r="W329" s="406"/>
      <c r="X329" s="406"/>
      <c r="Y329" s="406"/>
      <c r="Z329" s="406"/>
      <c r="AA329" s="406"/>
      <c r="AB329" s="406"/>
      <c r="AC329" s="406"/>
      <c r="AD329" s="406"/>
      <c r="AE329" s="406"/>
      <c r="AF329" s="406"/>
      <c r="AG329" s="406"/>
      <c r="AH329" s="406"/>
      <c r="AI329" s="406"/>
      <c r="AJ329" s="406"/>
      <c r="AK329" s="406"/>
      <c r="AL329" s="406"/>
      <c r="AM329" s="406"/>
      <c r="AN329" s="406"/>
      <c r="AO329" s="407"/>
      <c r="AP329" s="407"/>
    </row>
    <row r="330" spans="1:42">
      <c r="A330" s="402">
        <v>14</v>
      </c>
      <c r="B330" s="77">
        <f>skemA1!B18</f>
        <v>44722</v>
      </c>
      <c r="C330" s="43" t="e">
        <f>skemA1!#REF!</f>
        <v>#REF!</v>
      </c>
      <c r="D330" s="139" t="e">
        <f>skemA1!#REF!</f>
        <v>#REF!</v>
      </c>
      <c r="E330" s="113">
        <f t="shared" si="4"/>
        <v>312</v>
      </c>
      <c r="F330" s="408">
        <f>skemA7!$E$21*COS(RADIANS(skemA7!$E$28*E330-skemA7!$E$22))</f>
        <v>3.8688142920263293</v>
      </c>
      <c r="G330" s="408">
        <f>skemA7!$F$21*COS(RADIANS(skemA7!$F$28*E330-skemA7!$F$22))</f>
        <v>17.13132935655911</v>
      </c>
      <c r="H330" s="408">
        <f>skemA7!$G$21*COS(RADIANS(skemA7!$G$28*E330-skemA7!$G$22))</f>
        <v>10.437231508302059</v>
      </c>
      <c r="I330" s="408">
        <f>skemA7!$H$21*COS(RADIANS(skemA7!$H$28*E330-skemA7!$H$22))</f>
        <v>-27.930573610104116</v>
      </c>
      <c r="J330" s="408">
        <f>skemA7!$I$21*COS(RADIANS(skemA7!$I$28*E330-skemA7!$I$22))</f>
        <v>-7.3674076091310683</v>
      </c>
      <c r="K330" s="408">
        <f>skemA7!$J$21*COS(RADIANS(skemA7!$J$28*E330-skemA7!$J$22))</f>
        <v>-1.7034266552620081</v>
      </c>
      <c r="L330" s="408">
        <f>skemA7!$K$21*COS(RADIANS(skemA7!$K$28*E330-skemA7!$K$22))</f>
        <v>0.11333320800765449</v>
      </c>
      <c r="M330" s="408">
        <f>skemA7!$L$21*COS(RADIANS(skemA7!$L$28*E330-skemA7!$L$22))</f>
        <v>2.3843909759358057</v>
      </c>
      <c r="N330" s="408">
        <f>skemA7!$M$21*COS(RADIANS(skemA7!$M$28*E330-skemA7!$M$22))</f>
        <v>-11.494935592379706</v>
      </c>
      <c r="O330" s="409">
        <f>skemA7!$D$21+'Forcasting Pasut'!F330+'Forcasting Pasut'!G330+K330+L330+'Forcasting Pasut'!H330+'Forcasting Pasut'!I330+'Forcasting Pasut'!J330+'Forcasting Pasut'!M330+'Forcasting Pasut'!N330</f>
        <v>151.60707483947132</v>
      </c>
      <c r="P330" s="405"/>
      <c r="Q330" s="406">
        <f>skemA1!C18</f>
        <v>162</v>
      </c>
      <c r="R330" s="406">
        <f>skemA1!D18</f>
        <v>167.6</v>
      </c>
      <c r="S330" s="406">
        <f>skemA1!E18</f>
        <v>166.9</v>
      </c>
      <c r="T330" s="406">
        <f>skemA1!F18</f>
        <v>169.9</v>
      </c>
      <c r="U330" s="406">
        <f>skemA1!G18</f>
        <v>171.4</v>
      </c>
      <c r="V330" s="406">
        <f>skemA1!H18</f>
        <v>171.4</v>
      </c>
      <c r="W330" s="406">
        <f>skemA1!I18</f>
        <v>171.2</v>
      </c>
      <c r="X330" s="406">
        <f>skemA1!J18</f>
        <v>173</v>
      </c>
      <c r="Y330" s="406">
        <f>skemA1!K18</f>
        <v>175.2</v>
      </c>
      <c r="Z330" s="406">
        <f>skemA1!L18</f>
        <v>172.3</v>
      </c>
      <c r="AA330" s="406">
        <f>skemA1!M18</f>
        <v>171.5</v>
      </c>
      <c r="AB330" s="406">
        <f>skemA1!N18</f>
        <v>173.9</v>
      </c>
      <c r="AC330" s="406">
        <f>skemA1!O18</f>
        <v>178.5</v>
      </c>
      <c r="AD330" s="406">
        <f>skemA1!P18</f>
        <v>182.20000000000002</v>
      </c>
      <c r="AE330" s="406">
        <f>skemA1!Q18</f>
        <v>182.29999999999998</v>
      </c>
      <c r="AF330" s="406">
        <f>skemA1!R18</f>
        <v>176.6</v>
      </c>
      <c r="AG330" s="406">
        <f>skemA1!S18</f>
        <v>168.4</v>
      </c>
      <c r="AH330" s="406">
        <f>skemA1!T18</f>
        <v>154.80000000000001</v>
      </c>
      <c r="AI330" s="406">
        <f>skemA1!U18</f>
        <v>142.19999999999999</v>
      </c>
      <c r="AJ330" s="406">
        <f>skemA1!V18</f>
        <v>136.5</v>
      </c>
      <c r="AK330" s="406">
        <f>skemA1!W18</f>
        <v>137.30000000000001</v>
      </c>
      <c r="AL330" s="406">
        <f>skemA1!X18</f>
        <v>139.30000000000001</v>
      </c>
      <c r="AM330" s="406">
        <f>skemA1!Y18</f>
        <v>145.79999999999998</v>
      </c>
      <c r="AN330" s="406">
        <f>skemA1!Z18</f>
        <v>156.1</v>
      </c>
      <c r="AO330" s="407">
        <f>SUM(Q330:AN330)</f>
        <v>3946.3000000000006</v>
      </c>
      <c r="AP330" s="407">
        <f>AVERAGE(Q330:AN330)</f>
        <v>164.4291666666667</v>
      </c>
    </row>
    <row r="331" spans="1:42">
      <c r="A331" s="402"/>
      <c r="B331" s="77"/>
      <c r="D331" s="131"/>
      <c r="E331" s="113">
        <f t="shared" si="4"/>
        <v>313</v>
      </c>
      <c r="F331" s="408">
        <f>skemA7!$E$21*COS(RADIANS(skemA7!$E$28*E331-skemA7!$E$22))</f>
        <v>-7.1965392823023722</v>
      </c>
      <c r="G331" s="408">
        <f>skemA7!$F$21*COS(RADIANS(skemA7!$F$28*E331-skemA7!$F$22))</f>
        <v>7.1705119453434492</v>
      </c>
      <c r="H331" s="408">
        <f>skemA7!$G$21*COS(RADIANS(skemA7!$G$28*E331-skemA7!$G$22))</f>
        <v>2.4541694000233223</v>
      </c>
      <c r="I331" s="408">
        <f>skemA7!$H$21*COS(RADIANS(skemA7!$H$28*E331-skemA7!$H$22))</f>
        <v>-21.179890850406551</v>
      </c>
      <c r="J331" s="408">
        <f>skemA7!$I$21*COS(RADIANS(skemA7!$I$28*E331-skemA7!$I$22))</f>
        <v>-13.533208707811964</v>
      </c>
      <c r="K331" s="408">
        <f>skemA7!$J$21*COS(RADIANS(skemA7!$J$28*E331-skemA7!$J$22))</f>
        <v>-1.3450680193988183</v>
      </c>
      <c r="L331" s="408">
        <f>skemA7!$K$21*COS(RADIANS(skemA7!$K$28*E331-skemA7!$K$22))</f>
        <v>-2.7734098538404153</v>
      </c>
      <c r="M331" s="408">
        <f>skemA7!$L$21*COS(RADIANS(skemA7!$L$28*E331-skemA7!$L$22))</f>
        <v>-0.80937694994850384</v>
      </c>
      <c r="N331" s="408">
        <f>skemA7!$M$21*COS(RADIANS(skemA7!$M$28*E331-skemA7!$M$22))</f>
        <v>-10.417490593170211</v>
      </c>
      <c r="O331" s="409">
        <f>skemA7!$D$21+'Forcasting Pasut'!F331+'Forcasting Pasut'!G331+K331+L331+'Forcasting Pasut'!H331+'Forcasting Pasut'!I331+'Forcasting Pasut'!J331+'Forcasting Pasut'!M331+'Forcasting Pasut'!N331</f>
        <v>118.53801605400523</v>
      </c>
      <c r="P331" s="405"/>
      <c r="Q331" s="406">
        <f>R330</f>
        <v>167.6</v>
      </c>
      <c r="R331" s="406"/>
      <c r="S331" s="406"/>
      <c r="T331" s="406"/>
      <c r="U331" s="406"/>
      <c r="V331" s="406"/>
      <c r="W331" s="406"/>
      <c r="X331" s="406"/>
      <c r="Y331" s="406"/>
      <c r="Z331" s="406"/>
      <c r="AA331" s="406"/>
      <c r="AB331" s="406"/>
      <c r="AC331" s="406"/>
      <c r="AD331" s="406"/>
      <c r="AE331" s="406"/>
      <c r="AF331" s="406"/>
      <c r="AG331" s="406"/>
      <c r="AH331" s="406"/>
      <c r="AI331" s="406"/>
      <c r="AJ331" s="406"/>
      <c r="AK331" s="406"/>
      <c r="AL331" s="406"/>
      <c r="AM331" s="406"/>
      <c r="AN331" s="406"/>
      <c r="AO331" s="407"/>
      <c r="AP331" s="407"/>
    </row>
    <row r="332" spans="1:42">
      <c r="A332" s="402"/>
      <c r="B332" s="77"/>
      <c r="D332" s="131"/>
      <c r="E332" s="113">
        <f t="shared" si="4"/>
        <v>314</v>
      </c>
      <c r="F332" s="408">
        <f>skemA7!$E$21*COS(RADIANS(skemA7!$E$28*E332-skemA7!$E$22))</f>
        <v>-16.459232558275652</v>
      </c>
      <c r="G332" s="408">
        <f>skemA7!$F$21*COS(RADIANS(skemA7!$F$28*E332-skemA7!$F$22))</f>
        <v>-4.7116383509441908</v>
      </c>
      <c r="H332" s="408">
        <f>skemA7!$G$21*COS(RADIANS(skemA7!$G$28*E332-skemA7!$G$22))</f>
        <v>-6.121249145479017</v>
      </c>
      <c r="I332" s="408">
        <f>skemA7!$H$21*COS(RADIANS(skemA7!$H$28*E332-skemA7!$H$22))</f>
        <v>-12.977977726348586</v>
      </c>
      <c r="J332" s="408">
        <f>skemA7!$I$21*COS(RADIANS(skemA7!$I$28*E332-skemA7!$I$22))</f>
        <v>-18.901522694095469</v>
      </c>
      <c r="K332" s="408">
        <f>skemA7!$J$21*COS(RADIANS(skemA7!$J$28*E332-skemA7!$J$22))</f>
        <v>0.27659781285650314</v>
      </c>
      <c r="L332" s="408">
        <f>skemA7!$K$21*COS(RADIANS(skemA7!$K$28*E332-skemA7!$K$22))</f>
        <v>-2.971484162239721</v>
      </c>
      <c r="M332" s="408">
        <f>skemA7!$L$21*COS(RADIANS(skemA7!$L$28*E332-skemA7!$L$22))</f>
        <v>-3.7851131844177983</v>
      </c>
      <c r="N332" s="408">
        <f>skemA7!$M$21*COS(RADIANS(skemA7!$M$28*E332-skemA7!$M$22))</f>
        <v>-8.6339644576637635</v>
      </c>
      <c r="O332" s="409">
        <f>skemA7!$D$21+'Forcasting Pasut'!F332+'Forcasting Pasut'!G332+K332+L332+'Forcasting Pasut'!H332+'Forcasting Pasut'!I332+'Forcasting Pasut'!J332+'Forcasting Pasut'!M332+'Forcasting Pasut'!N332</f>
        <v>91.882734498909514</v>
      </c>
      <c r="P332" s="405"/>
      <c r="Q332" s="406">
        <f>S330</f>
        <v>166.9</v>
      </c>
      <c r="R332" s="406"/>
      <c r="S332" s="406"/>
      <c r="T332" s="406"/>
      <c r="U332" s="406"/>
      <c r="V332" s="406"/>
      <c r="W332" s="406"/>
      <c r="X332" s="406"/>
      <c r="Y332" s="406"/>
      <c r="Z332" s="406"/>
      <c r="AA332" s="406"/>
      <c r="AB332" s="406"/>
      <c r="AC332" s="406"/>
      <c r="AD332" s="406"/>
      <c r="AE332" s="406"/>
      <c r="AF332" s="406"/>
      <c r="AG332" s="406"/>
      <c r="AH332" s="406"/>
      <c r="AI332" s="406"/>
      <c r="AJ332" s="406"/>
      <c r="AK332" s="406"/>
      <c r="AL332" s="406"/>
      <c r="AM332" s="406"/>
      <c r="AN332" s="406"/>
      <c r="AO332" s="407"/>
      <c r="AP332" s="407"/>
    </row>
    <row r="333" spans="1:42">
      <c r="A333" s="402"/>
      <c r="B333" s="77"/>
      <c r="D333" s="131"/>
      <c r="E333" s="113">
        <f t="shared" si="4"/>
        <v>315</v>
      </c>
      <c r="F333" s="408">
        <f>skemA7!$E$21*COS(RADIANS(skemA7!$E$28*E333-skemA7!$E$22))</f>
        <v>-21.599054560944317</v>
      </c>
      <c r="G333" s="408">
        <f>skemA7!$F$21*COS(RADIANS(skemA7!$F$28*E333-skemA7!$F$22))</f>
        <v>-15.331308956068883</v>
      </c>
      <c r="H333" s="408">
        <f>skemA7!$G$21*COS(RADIANS(skemA7!$G$28*E333-skemA7!$G$22))</f>
        <v>-13.219197824743588</v>
      </c>
      <c r="I333" s="408">
        <f>skemA7!$H$21*COS(RADIANS(skemA7!$H$28*E333-skemA7!$H$22))</f>
        <v>-3.8868232234029381</v>
      </c>
      <c r="J333" s="408">
        <f>skemA7!$I$21*COS(RADIANS(skemA7!$I$28*E333-skemA7!$I$22))</f>
        <v>-23.156004692807777</v>
      </c>
      <c r="K333" s="408">
        <f>skemA7!$J$21*COS(RADIANS(skemA7!$J$28*E333-skemA7!$J$22))</f>
        <v>1.6384790078679321</v>
      </c>
      <c r="L333" s="408">
        <f>skemA7!$K$21*COS(RADIANS(skemA7!$K$28*E333-skemA7!$K$22))</f>
        <v>-0.28886753802454562</v>
      </c>
      <c r="M333" s="408">
        <f>skemA7!$L$21*COS(RADIANS(skemA7!$L$28*E333-skemA7!$L$22))</f>
        <v>-5.7412075451629159</v>
      </c>
      <c r="N333" s="408">
        <f>skemA7!$M$21*COS(RADIANS(skemA7!$M$28*E333-skemA7!$M$22))</f>
        <v>-6.2652417836542051</v>
      </c>
      <c r="O333" s="409">
        <f>skemA7!$D$21+'Forcasting Pasut'!F333+'Forcasting Pasut'!G333+K333+L333+'Forcasting Pasut'!H333+'Forcasting Pasut'!I333+'Forcasting Pasut'!J333+'Forcasting Pasut'!M333+'Forcasting Pasut'!N333</f>
        <v>78.319091848576022</v>
      </c>
      <c r="P333" s="405"/>
      <c r="Q333" s="406">
        <f>T330</f>
        <v>169.9</v>
      </c>
      <c r="R333" s="406"/>
      <c r="S333" s="406"/>
      <c r="T333" s="406"/>
      <c r="U333" s="406"/>
      <c r="V333" s="406"/>
      <c r="W333" s="406"/>
      <c r="X333" s="406"/>
      <c r="Y333" s="406"/>
      <c r="Z333" s="406"/>
      <c r="AA333" s="406"/>
      <c r="AB333" s="406"/>
      <c r="AC333" s="406"/>
      <c r="AD333" s="406"/>
      <c r="AE333" s="406"/>
      <c r="AF333" s="406"/>
      <c r="AG333" s="406"/>
      <c r="AH333" s="406"/>
      <c r="AI333" s="406"/>
      <c r="AJ333" s="406"/>
      <c r="AK333" s="406"/>
      <c r="AL333" s="406"/>
      <c r="AM333" s="406"/>
      <c r="AN333" s="406"/>
      <c r="AO333" s="407"/>
      <c r="AP333" s="407"/>
    </row>
    <row r="334" spans="1:42">
      <c r="A334" s="402"/>
      <c r="B334" s="77"/>
      <c r="D334" s="131"/>
      <c r="E334" s="113">
        <f t="shared" si="4"/>
        <v>316</v>
      </c>
      <c r="F334" s="408">
        <f>skemA7!$E$21*COS(RADIANS(skemA7!$E$28*E334-skemA7!$E$22))</f>
        <v>-21.328531867129584</v>
      </c>
      <c r="G334" s="408">
        <f>skemA7!$F$21*COS(RADIANS(skemA7!$F$28*E334-skemA7!$F$22))</f>
        <v>-21.842967707503252</v>
      </c>
      <c r="H334" s="408">
        <f>skemA7!$G$21*COS(RADIANS(skemA7!$G$28*E334-skemA7!$G$22))</f>
        <v>-17.12646336438571</v>
      </c>
      <c r="I334" s="408">
        <f>skemA7!$H$21*COS(RADIANS(skemA7!$H$28*E334-skemA7!$H$22))</f>
        <v>5.4706535152201905</v>
      </c>
      <c r="J334" s="408">
        <f>skemA7!$I$21*COS(RADIANS(skemA7!$I$28*E334-skemA7!$I$22))</f>
        <v>-26.045945900356902</v>
      </c>
      <c r="K334" s="408">
        <f>skemA7!$J$21*COS(RADIANS(skemA7!$J$28*E334-skemA7!$J$22))</f>
        <v>1.4614771933032111</v>
      </c>
      <c r="L334" s="408">
        <f>skemA7!$K$21*COS(RADIANS(skemA7!$K$28*E334-skemA7!$K$22))</f>
        <v>2.6737903221790775</v>
      </c>
      <c r="M334" s="408">
        <f>skemA7!$L$21*COS(RADIANS(skemA7!$L$28*E334-skemA7!$L$22))</f>
        <v>-6.1507231555318258</v>
      </c>
      <c r="N334" s="408">
        <f>skemA7!$M$21*COS(RADIANS(skemA7!$M$28*E334-skemA7!$M$22))</f>
        <v>-3.4718708703965881</v>
      </c>
      <c r="O334" s="409">
        <f>skemA7!$D$21+'Forcasting Pasut'!F334+'Forcasting Pasut'!G334+K334+L334+'Forcasting Pasut'!H334+'Forcasting Pasut'!I334+'Forcasting Pasut'!J334+'Forcasting Pasut'!M334+'Forcasting Pasut'!N334</f>
        <v>79.807737130915868</v>
      </c>
      <c r="P334" s="405"/>
      <c r="Q334" s="406">
        <f>U330</f>
        <v>171.4</v>
      </c>
      <c r="R334" s="406"/>
      <c r="S334" s="406"/>
      <c r="T334" s="406"/>
      <c r="U334" s="406"/>
      <c r="V334" s="406"/>
      <c r="W334" s="406"/>
      <c r="X334" s="406"/>
      <c r="Y334" s="406"/>
      <c r="Z334" s="406"/>
      <c r="AA334" s="406"/>
      <c r="AB334" s="406"/>
      <c r="AC334" s="406"/>
      <c r="AD334" s="406"/>
      <c r="AE334" s="406"/>
      <c r="AF334" s="406"/>
      <c r="AG334" s="406"/>
      <c r="AH334" s="406"/>
      <c r="AI334" s="406"/>
      <c r="AJ334" s="406"/>
      <c r="AK334" s="406"/>
      <c r="AL334" s="406"/>
      <c r="AM334" s="406"/>
      <c r="AN334" s="406"/>
      <c r="AO334" s="407"/>
      <c r="AP334" s="407"/>
    </row>
    <row r="335" spans="1:42">
      <c r="A335" s="402"/>
      <c r="B335" s="77"/>
      <c r="D335" s="131"/>
      <c r="E335" s="113">
        <f t="shared" si="4"/>
        <v>317</v>
      </c>
      <c r="F335" s="408">
        <f>skemA7!$E$21*COS(RADIANS(skemA7!$E$28*E335-skemA7!$E$22))</f>
        <v>-15.715427675338042</v>
      </c>
      <c r="G335" s="408">
        <f>skemA7!$F$21*COS(RADIANS(skemA7!$F$28*E335-skemA7!$F$22))</f>
        <v>-22.501820901412795</v>
      </c>
      <c r="H335" s="408">
        <f>skemA7!$G$21*COS(RADIANS(skemA7!$G$28*E335-skemA7!$G$22))</f>
        <v>-16.899959319627278</v>
      </c>
      <c r="I335" s="408">
        <f>skemA7!$H$21*COS(RADIANS(skemA7!$H$28*E335-skemA7!$H$22))</f>
        <v>14.453285144855752</v>
      </c>
      <c r="J335" s="408">
        <f>skemA7!$I$21*COS(RADIANS(skemA7!$I$28*E335-skemA7!$I$22))</f>
        <v>-27.40104739367391</v>
      </c>
      <c r="K335" s="408">
        <f>skemA7!$J$21*COS(RADIANS(skemA7!$J$28*E335-skemA7!$J$22))</f>
        <v>-8.8164985194988527E-2</v>
      </c>
      <c r="L335" s="408">
        <f>skemA7!$K$21*COS(RADIANS(skemA7!$K$28*E335-skemA7!$K$22))</f>
        <v>3.0443551015270898</v>
      </c>
      <c r="M335" s="408">
        <f>skemA7!$L$21*COS(RADIANS(skemA7!$L$28*E335-skemA7!$L$22))</f>
        <v>-4.9033438257749085</v>
      </c>
      <c r="N335" s="408">
        <f>skemA7!$M$21*COS(RADIANS(skemA7!$M$28*E335-skemA7!$M$22))</f>
        <v>-0.44318200726193985</v>
      </c>
      <c r="O335" s="409">
        <f>skemA7!$D$21+'Forcasting Pasut'!F335+'Forcasting Pasut'!G335+K335+L335+'Forcasting Pasut'!H335+'Forcasting Pasut'!I335+'Forcasting Pasut'!J335+'Forcasting Pasut'!M335+'Forcasting Pasut'!N335</f>
        <v>95.71301310361622</v>
      </c>
      <c r="P335" s="405"/>
      <c r="Q335" s="406">
        <f>V330</f>
        <v>171.4</v>
      </c>
      <c r="R335" s="406"/>
      <c r="S335" s="406"/>
      <c r="T335" s="406"/>
      <c r="U335" s="406"/>
      <c r="V335" s="406"/>
      <c r="W335" s="406"/>
      <c r="X335" s="406"/>
      <c r="Y335" s="406"/>
      <c r="Z335" s="406"/>
      <c r="AA335" s="406"/>
      <c r="AB335" s="406"/>
      <c r="AC335" s="406"/>
      <c r="AD335" s="406"/>
      <c r="AE335" s="406"/>
      <c r="AF335" s="406"/>
      <c r="AG335" s="406"/>
      <c r="AH335" s="406"/>
      <c r="AI335" s="406"/>
      <c r="AJ335" s="406"/>
      <c r="AK335" s="406"/>
      <c r="AL335" s="406"/>
      <c r="AM335" s="406"/>
      <c r="AN335" s="406"/>
      <c r="AO335" s="407"/>
      <c r="AP335" s="407"/>
    </row>
    <row r="336" spans="1:42">
      <c r="A336" s="402"/>
      <c r="B336" s="77"/>
      <c r="D336" s="131"/>
      <c r="E336" s="113">
        <f t="shared" si="4"/>
        <v>318</v>
      </c>
      <c r="F336" s="408">
        <f>skemA7!$E$21*COS(RADIANS(skemA7!$E$28*E336-skemA7!$E$22))</f>
        <v>-6.1657678099490179</v>
      </c>
      <c r="G336" s="408">
        <f>skemA7!$F$21*COS(RADIANS(skemA7!$F$28*E336-skemA7!$F$22))</f>
        <v>-17.13132935655884</v>
      </c>
      <c r="H336" s="408">
        <f>skemA7!$G$21*COS(RADIANS(skemA7!$G$28*E336-skemA7!$G$22))</f>
        <v>-12.594356378224708</v>
      </c>
      <c r="I336" s="408">
        <f>skemA7!$H$21*COS(RADIANS(skemA7!$H$28*E336-skemA7!$H$22))</f>
        <v>22.445588428837564</v>
      </c>
      <c r="J336" s="408">
        <f>skemA7!$I$21*COS(RADIANS(skemA7!$I$28*E336-skemA7!$I$22))</f>
        <v>-27.141455532706136</v>
      </c>
      <c r="K336" s="408">
        <f>skemA7!$J$21*COS(RADIANS(skemA7!$J$28*E336-skemA7!$J$22))</f>
        <v>-1.5550013437195533</v>
      </c>
      <c r="L336" s="408">
        <f>skemA7!$K$21*COS(RADIANS(skemA7!$K$28*E336-skemA7!$K$22))</f>
        <v>0.46358456902285</v>
      </c>
      <c r="M336" s="408">
        <f>skemA7!$L$21*COS(RADIANS(skemA7!$L$28*E336-skemA7!$L$22))</f>
        <v>-2.3350912638487782</v>
      </c>
      <c r="N336" s="408">
        <f>skemA7!$M$21*COS(RADIANS(skemA7!$M$28*E336-skemA7!$M$22))</f>
        <v>2.6155450356504297</v>
      </c>
      <c r="O336" s="409">
        <f>skemA7!$D$21+'Forcasting Pasut'!F336+'Forcasting Pasut'!G336+K336+L336+'Forcasting Pasut'!H336+'Forcasting Pasut'!I336+'Forcasting Pasut'!J336+'Forcasting Pasut'!M336+'Forcasting Pasut'!N336</f>
        <v>124.77003531402104</v>
      </c>
      <c r="P336" s="405"/>
      <c r="Q336" s="406">
        <f>W330</f>
        <v>171.2</v>
      </c>
      <c r="R336" s="406"/>
      <c r="S336" s="406"/>
      <c r="T336" s="406"/>
      <c r="U336" s="406"/>
      <c r="V336" s="406"/>
      <c r="W336" s="406"/>
      <c r="X336" s="406"/>
      <c r="Y336" s="406"/>
      <c r="Z336" s="406"/>
      <c r="AA336" s="406"/>
      <c r="AB336" s="406"/>
      <c r="AC336" s="406"/>
      <c r="AD336" s="406"/>
      <c r="AE336" s="406"/>
      <c r="AF336" s="406"/>
      <c r="AG336" s="406"/>
      <c r="AH336" s="406"/>
      <c r="AI336" s="406"/>
      <c r="AJ336" s="406"/>
      <c r="AK336" s="406"/>
      <c r="AL336" s="406"/>
      <c r="AM336" s="406"/>
      <c r="AN336" s="406"/>
      <c r="AO336" s="407"/>
      <c r="AP336" s="407"/>
    </row>
    <row r="337" spans="1:42">
      <c r="A337" s="402"/>
      <c r="B337" s="77"/>
      <c r="D337" s="131"/>
      <c r="E337" s="113">
        <f t="shared" si="4"/>
        <v>319</v>
      </c>
      <c r="F337" s="408">
        <f>skemA7!$E$21*COS(RADIANS(skemA7!$E$28*E337-skemA7!$E$22))</f>
        <v>4.928354526062976</v>
      </c>
      <c r="G337" s="408">
        <f>skemA7!$F$21*COS(RADIANS(skemA7!$F$28*E337-skemA7!$F$22))</f>
        <v>-7.1705119453436854</v>
      </c>
      <c r="H337" s="408">
        <f>skemA7!$G$21*COS(RADIANS(skemA7!$G$28*E337-skemA7!$G$22))</f>
        <v>-5.2488866398232137</v>
      </c>
      <c r="I337" s="408">
        <f>skemA7!$H$21*COS(RADIANS(skemA7!$H$28*E337-skemA7!$H$22))</f>
        <v>28.899936691996356</v>
      </c>
      <c r="J337" s="408">
        <f>skemA7!$I$21*COS(RADIANS(skemA7!$I$28*E337-skemA7!$I$22))</f>
        <v>-25.282467588638475</v>
      </c>
      <c r="K337" s="408">
        <f>skemA7!$J$21*COS(RADIANS(skemA7!$J$28*E337-skemA7!$J$22))</f>
        <v>-1.561358113413823</v>
      </c>
      <c r="L337" s="408">
        <f>skemA7!$K$21*COS(RADIANS(skemA7!$K$28*E337-skemA7!$K$22))</f>
        <v>-2.5666057791595773</v>
      </c>
      <c r="M337" s="408">
        <f>skemA7!$L$21*COS(RADIANS(skemA7!$L$28*E337-skemA7!$L$22))</f>
        <v>0.86219316993487227</v>
      </c>
      <c r="N337" s="408">
        <f>skemA7!$M$21*COS(RADIANS(skemA7!$M$28*E337-skemA7!$M$22))</f>
        <v>5.4969945476366293</v>
      </c>
      <c r="O337" s="409">
        <f>skemA7!$D$21+'Forcasting Pasut'!F337+'Forcasting Pasut'!G337+K337+L337+'Forcasting Pasut'!H337+'Forcasting Pasut'!I337+'Forcasting Pasut'!J337+'Forcasting Pasut'!M337+'Forcasting Pasut'!N337</f>
        <v>164.52596783476929</v>
      </c>
      <c r="P337" s="405"/>
      <c r="Q337" s="406">
        <f>X330</f>
        <v>173</v>
      </c>
      <c r="R337" s="406"/>
      <c r="S337" s="406"/>
      <c r="T337" s="406"/>
      <c r="U337" s="406"/>
      <c r="V337" s="406"/>
      <c r="W337" s="406"/>
      <c r="X337" s="406"/>
      <c r="Y337" s="406"/>
      <c r="Z337" s="406"/>
      <c r="AA337" s="406"/>
      <c r="AB337" s="406"/>
      <c r="AC337" s="406"/>
      <c r="AD337" s="406"/>
      <c r="AE337" s="406"/>
      <c r="AF337" s="406"/>
      <c r="AG337" s="406"/>
      <c r="AH337" s="406"/>
      <c r="AI337" s="406"/>
      <c r="AJ337" s="406"/>
      <c r="AK337" s="406"/>
      <c r="AL337" s="406"/>
      <c r="AM337" s="406"/>
      <c r="AN337" s="406"/>
      <c r="AO337" s="407"/>
      <c r="AP337" s="407"/>
    </row>
    <row r="338" spans="1:42">
      <c r="A338" s="402"/>
      <c r="B338" s="77"/>
      <c r="D338" s="131"/>
      <c r="E338" s="113">
        <f t="shared" si="4"/>
        <v>320</v>
      </c>
      <c r="F338" s="408">
        <f>skemA7!$E$21*COS(RADIANS(skemA7!$E$28*E338-skemA7!$E$22))</f>
        <v>14.787973902825073</v>
      </c>
      <c r="G338" s="408">
        <f>skemA7!$F$21*COS(RADIANS(skemA7!$F$28*E338-skemA7!$F$22))</f>
        <v>4.7116383509439483</v>
      </c>
      <c r="H338" s="408">
        <f>skemA7!$G$21*COS(RADIANS(skemA7!$G$28*E338-skemA7!$G$22))</f>
        <v>3.363493112748619</v>
      </c>
      <c r="I338" s="408">
        <f>skemA7!$H$21*COS(RADIANS(skemA7!$H$28*E338-skemA7!$H$22))</f>
        <v>33.374082793031199</v>
      </c>
      <c r="J338" s="408">
        <f>skemA7!$I$21*COS(RADIANS(skemA7!$I$28*E338-skemA7!$I$22))</f>
        <v>-21.933630303821662</v>
      </c>
      <c r="K338" s="408">
        <f>skemA7!$J$21*COS(RADIANS(skemA7!$J$28*E338-skemA7!$J$22))</f>
        <v>-0.10126492490993153</v>
      </c>
      <c r="L338" s="408">
        <f>skemA7!$K$21*COS(RADIANS(skemA7!$K$28*E338-skemA7!$K$22))</f>
        <v>-3.1086125827094064</v>
      </c>
      <c r="M338" s="408">
        <f>skemA7!$L$21*COS(RADIANS(skemA7!$L$28*E338-skemA7!$L$22))</f>
        <v>3.827218166160824</v>
      </c>
      <c r="N338" s="408">
        <f>skemA7!$M$21*COS(RADIANS(skemA7!$M$28*E338-skemA7!$M$22))</f>
        <v>8.0058664103608468</v>
      </c>
      <c r="O338" s="409">
        <f>skemA7!$D$21+'Forcasting Pasut'!F338+'Forcasting Pasut'!G338+K338+L338+'Forcasting Pasut'!H338+'Forcasting Pasut'!I338+'Forcasting Pasut'!J338+'Forcasting Pasut'!M338+'Forcasting Pasut'!N338</f>
        <v>209.09508389014673</v>
      </c>
      <c r="P338" s="405"/>
      <c r="Q338" s="406">
        <f>Y330</f>
        <v>175.2</v>
      </c>
      <c r="R338" s="406"/>
      <c r="S338" s="406"/>
      <c r="T338" s="406"/>
      <c r="U338" s="406"/>
      <c r="V338" s="406"/>
      <c r="W338" s="406"/>
      <c r="X338" s="406"/>
      <c r="Y338" s="406"/>
      <c r="Z338" s="406"/>
      <c r="AA338" s="406"/>
      <c r="AB338" s="406"/>
      <c r="AC338" s="406"/>
      <c r="AD338" s="406"/>
      <c r="AE338" s="406"/>
      <c r="AF338" s="406"/>
      <c r="AG338" s="406"/>
      <c r="AH338" s="406"/>
      <c r="AI338" s="406"/>
      <c r="AJ338" s="406"/>
      <c r="AK338" s="406"/>
      <c r="AL338" s="406"/>
      <c r="AM338" s="406"/>
      <c r="AN338" s="406"/>
      <c r="AO338" s="407"/>
      <c r="AP338" s="407"/>
    </row>
    <row r="339" spans="1:42">
      <c r="A339" s="402"/>
      <c r="B339" s="77"/>
      <c r="D339" s="131"/>
      <c r="E339" s="113">
        <f t="shared" si="4"/>
        <v>321</v>
      </c>
      <c r="F339" s="408">
        <f>skemA7!$E$21*COS(RADIANS(skemA7!$E$28*E339-skemA7!$E$22))</f>
        <v>20.943355394955617</v>
      </c>
      <c r="G339" s="408">
        <f>skemA7!$F$21*COS(RADIANS(skemA7!$F$28*E339-skemA7!$F$22))</f>
        <v>15.331308956069185</v>
      </c>
      <c r="H339" s="408">
        <f>skemA7!$G$21*COS(RADIANS(skemA7!$G$28*E339-skemA7!$G$22))</f>
        <v>11.164035346330161</v>
      </c>
      <c r="I339" s="408">
        <f>skemA7!$H$21*COS(RADIANS(skemA7!$H$28*E339-skemA7!$H$22))</f>
        <v>35.561461569624214</v>
      </c>
      <c r="J339" s="408">
        <f>skemA7!$I$21*COS(RADIANS(skemA7!$I$28*E339-skemA7!$I$22))</f>
        <v>-17.292284503615619</v>
      </c>
      <c r="K339" s="408">
        <f>skemA7!$J$21*COS(RADIANS(skemA7!$J$28*E339-skemA7!$J$22))</f>
        <v>1.4539377350375937</v>
      </c>
      <c r="L339" s="408">
        <f>skemA7!$K$21*COS(RADIANS(skemA7!$K$28*E339-skemA7!$K$22))</f>
        <v>-0.63698997042116989</v>
      </c>
      <c r="M339" s="408">
        <f>skemA7!$L$21*COS(RADIANS(skemA7!$L$28*E339-skemA7!$L$22))</f>
        <v>5.7612589587546958</v>
      </c>
      <c r="N339" s="408">
        <f>skemA7!$M$21*COS(RADIANS(skemA7!$M$28*E339-skemA7!$M$22))</f>
        <v>9.9721132328690221</v>
      </c>
      <c r="O339" s="409">
        <f>skemA7!$D$21+'Forcasting Pasut'!F339+'Forcasting Pasut'!G339+K339+L339+'Forcasting Pasut'!H339+'Forcasting Pasut'!I339+'Forcasting Pasut'!J339+'Forcasting Pasut'!M339+'Forcasting Pasut'!N339</f>
        <v>248.42651568512096</v>
      </c>
      <c r="P339" s="405"/>
      <c r="Q339" s="406">
        <f>Z330</f>
        <v>172.3</v>
      </c>
      <c r="R339" s="406"/>
      <c r="S339" s="406"/>
      <c r="T339" s="406"/>
      <c r="U339" s="406"/>
      <c r="V339" s="406"/>
      <c r="W339" s="406"/>
      <c r="X339" s="406"/>
      <c r="Y339" s="406"/>
      <c r="Z339" s="406"/>
      <c r="AA339" s="406"/>
      <c r="AB339" s="406"/>
      <c r="AC339" s="406"/>
      <c r="AD339" s="406"/>
      <c r="AE339" s="406"/>
      <c r="AF339" s="406"/>
      <c r="AG339" s="406"/>
      <c r="AH339" s="406"/>
      <c r="AI339" s="406"/>
      <c r="AJ339" s="406"/>
      <c r="AK339" s="406"/>
      <c r="AL339" s="406"/>
      <c r="AM339" s="406"/>
      <c r="AN339" s="406"/>
      <c r="AO339" s="407"/>
      <c r="AP339" s="407"/>
    </row>
    <row r="340" spans="1:42">
      <c r="A340" s="402"/>
      <c r="B340" s="77"/>
      <c r="D340" s="131"/>
      <c r="E340" s="113">
        <f t="shared" ref="E340:E377" si="5">E339+1</f>
        <v>322</v>
      </c>
      <c r="F340" s="408">
        <f>skemA7!$E$21*COS(RADIANS(skemA7!$E$28*E340-skemA7!$E$22))</f>
        <v>21.852638199389247</v>
      </c>
      <c r="G340" s="408">
        <f>skemA7!$F$21*COS(RADIANS(skemA7!$F$28*E340-skemA7!$F$22))</f>
        <v>21.842967707503178</v>
      </c>
      <c r="H340" s="408">
        <f>skemA7!$G$21*COS(RADIANS(skemA7!$G$28*E340-skemA7!$G$22))</f>
        <v>16.269943622395417</v>
      </c>
      <c r="I340" s="408">
        <f>skemA7!$H$21*COS(RADIANS(skemA7!$H$28*E340-skemA7!$H$22))</f>
        <v>35.312195455297044</v>
      </c>
      <c r="J340" s="408">
        <f>skemA7!$I$21*COS(RADIANS(skemA7!$I$28*E340-skemA7!$I$22))</f>
        <v>-11.631936164300699</v>
      </c>
      <c r="K340" s="408">
        <f>skemA7!$J$21*COS(RADIANS(skemA7!$J$28*E340-skemA7!$J$22))</f>
        <v>1.6435811985067323</v>
      </c>
      <c r="L340" s="408">
        <f>skemA7!$K$21*COS(RADIANS(skemA7!$K$28*E340-skemA7!$K$22))</f>
        <v>2.4521594842700556</v>
      </c>
      <c r="M340" s="408">
        <f>skemA7!$L$21*COS(RADIANS(skemA7!$L$28*E340-skemA7!$L$22))</f>
        <v>6.1433195083536782</v>
      </c>
      <c r="N340" s="408">
        <f>skemA7!$M$21*COS(RADIANS(skemA7!$M$28*E340-skemA7!$M$22))</f>
        <v>11.262465896436714</v>
      </c>
      <c r="O340" s="409">
        <f>skemA7!$D$21+'Forcasting Pasut'!F340+'Forcasting Pasut'!G340+K340+L340+'Forcasting Pasut'!H340+'Forcasting Pasut'!I340+'Forcasting Pasut'!J340+'Forcasting Pasut'!M340+'Forcasting Pasut'!N340</f>
        <v>271.3156538733686</v>
      </c>
      <c r="P340" s="405"/>
      <c r="Q340" s="406">
        <f>AA330</f>
        <v>171.5</v>
      </c>
      <c r="R340" s="406"/>
      <c r="S340" s="406"/>
      <c r="T340" s="406"/>
      <c r="U340" s="406"/>
      <c r="V340" s="406"/>
      <c r="W340" s="406"/>
      <c r="X340" s="406"/>
      <c r="Y340" s="406"/>
      <c r="Z340" s="406"/>
      <c r="AA340" s="406"/>
      <c r="AB340" s="406"/>
      <c r="AC340" s="406"/>
      <c r="AD340" s="406"/>
      <c r="AE340" s="406"/>
      <c r="AF340" s="406"/>
      <c r="AG340" s="406"/>
      <c r="AH340" s="406"/>
      <c r="AI340" s="406"/>
      <c r="AJ340" s="406"/>
      <c r="AK340" s="406"/>
      <c r="AL340" s="406"/>
      <c r="AM340" s="406"/>
      <c r="AN340" s="406"/>
      <c r="AO340" s="407"/>
      <c r="AP340" s="407"/>
    </row>
    <row r="341" spans="1:42">
      <c r="A341" s="402"/>
      <c r="B341" s="77"/>
      <c r="D341" s="131"/>
      <c r="E341" s="113">
        <f t="shared" si="5"/>
        <v>323</v>
      </c>
      <c r="F341" s="408">
        <f>skemA7!$E$21*COS(RADIANS(skemA7!$E$28*E341-skemA7!$E$22))</f>
        <v>17.288056170867808</v>
      </c>
      <c r="G341" s="408">
        <f>skemA7!$F$21*COS(RADIANS(skemA7!$F$28*E341-skemA7!$F$22))</f>
        <v>22.501820901412714</v>
      </c>
      <c r="H341" s="408">
        <f>skemA7!$G$21*COS(RADIANS(skemA7!$G$28*E341-skemA7!$G$22))</f>
        <v>17.448818239776099</v>
      </c>
      <c r="I341" s="408">
        <f>skemA7!$H$21*COS(RADIANS(skemA7!$H$28*E341-skemA7!$H$22))</f>
        <v>32.643363978762558</v>
      </c>
      <c r="J341" s="408">
        <f>skemA7!$I$21*COS(RADIANS(skemA7!$I$28*E341-skemA7!$I$22))</f>
        <v>-5.2861392086563264</v>
      </c>
      <c r="K341" s="408">
        <f>skemA7!$J$21*COS(RADIANS(skemA7!$J$28*E341-skemA7!$J$22))</f>
        <v>0.28954960169428035</v>
      </c>
      <c r="L341" s="408">
        <f>skemA7!$K$21*COS(RADIANS(skemA7!$K$28*E341-skemA7!$K$22))</f>
        <v>3.1640748007396042</v>
      </c>
      <c r="M341" s="408">
        <f>skemA7!$L$21*COS(RADIANS(skemA7!$L$28*E341-skemA7!$L$22))</f>
        <v>4.8704795281159692</v>
      </c>
      <c r="N341" s="408">
        <f>skemA7!$M$21*COS(RADIANS(skemA7!$M$28*E341-skemA7!$M$22))</f>
        <v>11.789466325938283</v>
      </c>
      <c r="O341" s="409">
        <f>skemA7!$D$21+'Forcasting Pasut'!F341+'Forcasting Pasut'!G341+K341+L341+'Forcasting Pasut'!H341+'Forcasting Pasut'!I341+'Forcasting Pasut'!J341+'Forcasting Pasut'!M341+'Forcasting Pasut'!N341</f>
        <v>270.8778093041683</v>
      </c>
      <c r="P341" s="405"/>
      <c r="Q341" s="406">
        <f>AB330</f>
        <v>173.9</v>
      </c>
      <c r="R341" s="406"/>
      <c r="S341" s="406"/>
      <c r="T341" s="406"/>
      <c r="U341" s="406"/>
      <c r="V341" s="406"/>
      <c r="W341" s="406"/>
      <c r="X341" s="406"/>
      <c r="Y341" s="406"/>
      <c r="Z341" s="406"/>
      <c r="AA341" s="406"/>
      <c r="AB341" s="406"/>
      <c r="AC341" s="406"/>
      <c r="AD341" s="406"/>
      <c r="AE341" s="406"/>
      <c r="AF341" s="406"/>
      <c r="AG341" s="406"/>
      <c r="AH341" s="406"/>
      <c r="AI341" s="406"/>
      <c r="AJ341" s="406"/>
      <c r="AK341" s="406"/>
      <c r="AL341" s="406"/>
      <c r="AM341" s="406"/>
      <c r="AN341" s="406"/>
      <c r="AO341" s="407"/>
      <c r="AP341" s="407"/>
    </row>
    <row r="342" spans="1:42">
      <c r="A342" s="402"/>
      <c r="B342" s="77"/>
      <c r="D342" s="131"/>
      <c r="E342" s="113">
        <f t="shared" si="5"/>
        <v>324</v>
      </c>
      <c r="F342" s="408">
        <f>skemA7!$E$21*COS(RADIANS(skemA7!$E$28*E342-skemA7!$E$22))</f>
        <v>8.3929909375082197</v>
      </c>
      <c r="G342" s="408">
        <f>skemA7!$F$21*COS(RADIANS(skemA7!$F$28*E342-skemA7!$F$22))</f>
        <v>17.131329356559004</v>
      </c>
      <c r="H342" s="408">
        <f>skemA7!$G$21*COS(RADIANS(skemA7!$G$28*E342-skemA7!$G$22))</f>
        <v>14.416117321175689</v>
      </c>
      <c r="I342" s="408">
        <f>skemA7!$H$21*COS(RADIANS(skemA7!$H$28*E342-skemA7!$H$22))</f>
        <v>27.737833487324121</v>
      </c>
      <c r="J342" s="408">
        <f>skemA7!$I$21*COS(RADIANS(skemA7!$I$28*E342-skemA7!$I$22))</f>
        <v>1.3711602135690315</v>
      </c>
      <c r="K342" s="408">
        <f>skemA7!$J$21*COS(RADIANS(skemA7!$J$28*E342-skemA7!$J$22))</f>
        <v>-1.3364311384012244</v>
      </c>
      <c r="L342" s="408">
        <f>skemA7!$K$21*COS(RADIANS(skemA7!$K$28*E342-skemA7!$K$22))</f>
        <v>0.80859312266013916</v>
      </c>
      <c r="M342" s="408">
        <f>skemA7!$L$21*COS(RADIANS(skemA7!$L$28*E342-skemA7!$L$22))</f>
        <v>2.2856193704033143</v>
      </c>
      <c r="N342" s="408">
        <f>skemA7!$M$21*COS(RADIANS(skemA7!$M$28*E342-skemA7!$M$22))</f>
        <v>11.517395260697452</v>
      </c>
      <c r="O342" s="409">
        <f>skemA7!$D$21+'Forcasting Pasut'!F342+'Forcasting Pasut'!G342+K342+L342+'Forcasting Pasut'!H342+'Forcasting Pasut'!I342+'Forcasting Pasut'!J342+'Forcasting Pasut'!M342+'Forcasting Pasut'!N342</f>
        <v>248.49292689701295</v>
      </c>
      <c r="P342" s="405"/>
      <c r="Q342" s="406">
        <f>AC330</f>
        <v>178.5</v>
      </c>
      <c r="R342" s="406"/>
      <c r="S342" s="406"/>
      <c r="T342" s="406"/>
      <c r="U342" s="406"/>
      <c r="V342" s="406"/>
      <c r="W342" s="406"/>
      <c r="X342" s="406"/>
      <c r="Y342" s="406"/>
      <c r="Z342" s="406"/>
      <c r="AA342" s="406"/>
      <c r="AB342" s="406"/>
      <c r="AC342" s="406"/>
      <c r="AD342" s="406"/>
      <c r="AE342" s="406"/>
      <c r="AF342" s="406"/>
      <c r="AG342" s="406"/>
      <c r="AH342" s="406"/>
      <c r="AI342" s="406"/>
      <c r="AJ342" s="406"/>
      <c r="AK342" s="406"/>
      <c r="AL342" s="406"/>
      <c r="AM342" s="406"/>
      <c r="AN342" s="406"/>
      <c r="AO342" s="407"/>
      <c r="AP342" s="407"/>
    </row>
    <row r="343" spans="1:42">
      <c r="A343" s="402"/>
      <c r="B343" s="77"/>
      <c r="D343" s="131"/>
      <c r="E343" s="113">
        <f t="shared" si="5"/>
        <v>325</v>
      </c>
      <c r="F343" s="408">
        <f>skemA7!$E$21*COS(RADIANS(skemA7!$E$28*E343-skemA7!$E$22))</f>
        <v>-2.6044336319169301</v>
      </c>
      <c r="G343" s="408">
        <f>skemA7!$F$21*COS(RADIANS(skemA7!$F$28*E343-skemA7!$F$22))</f>
        <v>7.1705119453439199</v>
      </c>
      <c r="H343" s="408">
        <f>skemA7!$G$21*COS(RADIANS(skemA7!$G$28*E343-skemA7!$G$22))</f>
        <v>7.9038359404847274</v>
      </c>
      <c r="I343" s="408">
        <f>skemA7!$H$21*COS(RADIANS(skemA7!$H$28*E343-skemA7!$H$22))</f>
        <v>20.931727280803546</v>
      </c>
      <c r="J343" s="408">
        <f>skemA7!$I$21*COS(RADIANS(skemA7!$I$28*E343-skemA7!$I$22))</f>
        <v>7.9476596848760526</v>
      </c>
      <c r="K343" s="408">
        <f>skemA7!$J$21*COS(RADIANS(skemA7!$J$28*E343-skemA7!$J$22))</f>
        <v>-1.707216564746358</v>
      </c>
      <c r="L343" s="408">
        <f>skemA7!$K$21*COS(RADIANS(skemA7!$K$28*E343-skemA7!$K$22))</f>
        <v>-2.3307752428267046</v>
      </c>
      <c r="M343" s="408">
        <f>skemA7!$L$21*COS(RADIANS(skemA7!$L$28*E343-skemA7!$L$22))</f>
        <v>-0.9149458148505949</v>
      </c>
      <c r="N343" s="408">
        <f>skemA7!$M$21*COS(RADIANS(skemA7!$M$28*E343-skemA7!$M$22))</f>
        <v>10.464693249825309</v>
      </c>
      <c r="O343" s="409">
        <f>skemA7!$D$21+'Forcasting Pasut'!F343+'Forcasting Pasut'!G343+K343+L343+'Forcasting Pasut'!H343+'Forcasting Pasut'!I343+'Forcasting Pasut'!J343+'Forcasting Pasut'!M343+'Forcasting Pasut'!N343</f>
        <v>213.02937581251021</v>
      </c>
      <c r="P343" s="405"/>
      <c r="Q343" s="406">
        <f>AD330</f>
        <v>182.20000000000002</v>
      </c>
      <c r="R343" s="406"/>
      <c r="S343" s="406"/>
      <c r="T343" s="406"/>
      <c r="U343" s="406"/>
      <c r="V343" s="406"/>
      <c r="W343" s="406"/>
      <c r="X343" s="406"/>
      <c r="Y343" s="406"/>
      <c r="Z343" s="406"/>
      <c r="AA343" s="406"/>
      <c r="AB343" s="406"/>
      <c r="AC343" s="406"/>
      <c r="AD343" s="406"/>
      <c r="AE343" s="406"/>
      <c r="AF343" s="406"/>
      <c r="AG343" s="406"/>
      <c r="AH343" s="406"/>
      <c r="AI343" s="406"/>
      <c r="AJ343" s="406"/>
      <c r="AK343" s="406"/>
      <c r="AL343" s="406"/>
      <c r="AM343" s="406"/>
      <c r="AN343" s="406"/>
      <c r="AO343" s="407"/>
      <c r="AP343" s="407"/>
    </row>
    <row r="344" spans="1:42">
      <c r="A344" s="402"/>
      <c r="B344" s="77"/>
      <c r="D344" s="131"/>
      <c r="E344" s="113">
        <f t="shared" si="5"/>
        <v>326</v>
      </c>
      <c r="F344" s="408">
        <f>skemA7!$E$21*COS(RADIANS(skemA7!$E$28*E344-skemA7!$E$22))</f>
        <v>-12.94947391998212</v>
      </c>
      <c r="G344" s="408">
        <f>skemA7!$F$21*COS(RADIANS(skemA7!$F$28*E344-skemA7!$F$22))</f>
        <v>-4.7116383509443454</v>
      </c>
      <c r="H344" s="408">
        <f>skemA7!$G$21*COS(RADIANS(skemA7!$G$28*E344-skemA7!$G$22))</f>
        <v>-0.51617361009857132</v>
      </c>
      <c r="I344" s="408">
        <f>skemA7!$H$21*COS(RADIANS(skemA7!$H$28*E344-skemA7!$H$22))</f>
        <v>12.691394693090521</v>
      </c>
      <c r="J344" s="408">
        <f>skemA7!$I$21*COS(RADIANS(skemA7!$I$28*E344-skemA7!$I$22))</f>
        <v>14.055818180347631</v>
      </c>
      <c r="K344" s="408">
        <f>skemA7!$J$21*COS(RADIANS(skemA7!$J$28*E344-skemA7!$J$22))</f>
        <v>-0.47455968115688446</v>
      </c>
      <c r="L344" s="408">
        <f>skemA7!$K$21*COS(RADIANS(skemA7!$K$28*E344-skemA7!$K$22))</f>
        <v>-3.2105848351944761</v>
      </c>
      <c r="M344" s="408">
        <f>skemA7!$L$21*COS(RADIANS(skemA7!$L$28*E344-skemA7!$L$22))</f>
        <v>-3.8690409423926613</v>
      </c>
      <c r="N344" s="408">
        <f>skemA7!$M$21*COS(RADIANS(skemA7!$M$28*E344-skemA7!$M$22))</f>
        <v>8.7027107807903157</v>
      </c>
      <c r="O344" s="409">
        <f>skemA7!$D$21+'Forcasting Pasut'!F344+'Forcasting Pasut'!G344+K344+L344+'Forcasting Pasut'!H344+'Forcasting Pasut'!I344+'Forcasting Pasut'!J344+'Forcasting Pasut'!M344+'Forcasting Pasut'!N344</f>
        <v>175.88677127997664</v>
      </c>
      <c r="P344" s="405"/>
      <c r="Q344" s="406">
        <f>AE330</f>
        <v>182.29999999999998</v>
      </c>
      <c r="R344" s="406"/>
      <c r="S344" s="406"/>
      <c r="T344" s="406"/>
      <c r="U344" s="406"/>
      <c r="V344" s="406"/>
      <c r="W344" s="406"/>
      <c r="X344" s="406"/>
      <c r="Y344" s="406"/>
      <c r="Z344" s="406"/>
      <c r="AA344" s="406"/>
      <c r="AB344" s="406"/>
      <c r="AC344" s="406"/>
      <c r="AD344" s="406"/>
      <c r="AE344" s="406"/>
      <c r="AF344" s="406"/>
      <c r="AG344" s="406"/>
      <c r="AH344" s="406"/>
      <c r="AI344" s="406"/>
      <c r="AJ344" s="406"/>
      <c r="AK344" s="406"/>
      <c r="AL344" s="406"/>
      <c r="AM344" s="406"/>
      <c r="AN344" s="406"/>
      <c r="AO344" s="407"/>
      <c r="AP344" s="407"/>
    </row>
    <row r="345" spans="1:42">
      <c r="A345" s="402"/>
      <c r="B345" s="77"/>
      <c r="D345" s="131"/>
      <c r="E345" s="113">
        <f t="shared" si="5"/>
        <v>327</v>
      </c>
      <c r="F345" s="408">
        <f>skemA7!$E$21*COS(RADIANS(skemA7!$E$28*E345-skemA7!$E$22))</f>
        <v>-20.050801972980071</v>
      </c>
      <c r="G345" s="408">
        <f>skemA7!$F$21*COS(RADIANS(skemA7!$F$28*E345-skemA7!$F$22))</f>
        <v>-15.331308956069</v>
      </c>
      <c r="H345" s="408">
        <f>skemA7!$G$21*COS(RADIANS(skemA7!$G$28*E345-skemA7!$G$22))</f>
        <v>-8.8115956889843918</v>
      </c>
      <c r="I345" s="408">
        <f>skemA7!$H$21*COS(RADIANS(skemA7!$H$28*E345-skemA7!$H$22))</f>
        <v>3.5814571827265751</v>
      </c>
      <c r="J345" s="408">
        <f>skemA7!$I$21*COS(RADIANS(skemA7!$I$28*E345-skemA7!$I$22))</f>
        <v>19.335693147865726</v>
      </c>
      <c r="K345" s="408">
        <f>skemA7!$J$21*COS(RADIANS(skemA7!$J$28*E345-skemA7!$J$22))</f>
        <v>1.203810468733314</v>
      </c>
      <c r="L345" s="408">
        <f>skemA7!$K$21*COS(RADIANS(skemA7!$K$28*E345-skemA7!$K$22))</f>
        <v>-0.97790850532084828</v>
      </c>
      <c r="M345" s="408">
        <f>skemA7!$L$21*COS(RADIANS(skemA7!$L$28*E345-skemA7!$L$22))</f>
        <v>-5.7808855575170472</v>
      </c>
      <c r="N345" s="408">
        <f>skemA7!$M$21*COS(RADIANS(skemA7!$M$28*E345-skemA7!$M$22))</f>
        <v>6.3508722555383041</v>
      </c>
      <c r="O345" s="409">
        <f>skemA7!$D$21+'Forcasting Pasut'!F345+'Forcasting Pasut'!G345+K345+L345+'Forcasting Pasut'!H345+'Forcasting Pasut'!I345+'Forcasting Pasut'!J345+'Forcasting Pasut'!M345+'Forcasting Pasut'!N345</f>
        <v>145.68765133950978</v>
      </c>
      <c r="P345" s="405"/>
      <c r="Q345" s="406">
        <f>AF330</f>
        <v>176.6</v>
      </c>
      <c r="R345" s="406"/>
      <c r="S345" s="406"/>
      <c r="T345" s="406"/>
      <c r="U345" s="406"/>
      <c r="V345" s="406"/>
      <c r="W345" s="406"/>
      <c r="X345" s="406"/>
      <c r="Y345" s="406"/>
      <c r="Z345" s="406"/>
      <c r="AA345" s="406"/>
      <c r="AB345" s="406"/>
      <c r="AC345" s="406"/>
      <c r="AD345" s="406"/>
      <c r="AE345" s="406"/>
      <c r="AF345" s="406"/>
      <c r="AG345" s="406"/>
      <c r="AH345" s="406"/>
      <c r="AI345" s="406"/>
      <c r="AJ345" s="406"/>
      <c r="AK345" s="406"/>
      <c r="AL345" s="406"/>
      <c r="AM345" s="406"/>
      <c r="AN345" s="406"/>
      <c r="AO345" s="407"/>
      <c r="AP345" s="407"/>
    </row>
    <row r="346" spans="1:42">
      <c r="A346" s="402"/>
      <c r="B346" s="77"/>
      <c r="D346" s="131"/>
      <c r="E346" s="113">
        <f t="shared" si="5"/>
        <v>328</v>
      </c>
      <c r="F346" s="408">
        <f>skemA7!$E$21*COS(RADIANS(skemA7!$E$28*E346-skemA7!$E$22))</f>
        <v>-22.129606942449122</v>
      </c>
      <c r="G346" s="408">
        <f>skemA7!$F$21*COS(RADIANS(skemA7!$F$28*E346-skemA7!$F$22))</f>
        <v>-21.842967707503302</v>
      </c>
      <c r="H346" s="408">
        <f>skemA7!$G$21*COS(RADIANS(skemA7!$G$28*E346-skemA7!$G$22))</f>
        <v>-14.980186006158254</v>
      </c>
      <c r="I346" s="408">
        <f>skemA7!$H$21*COS(RADIANS(skemA7!$H$28*E346-skemA7!$H$22))</f>
        <v>-5.7738791093837492</v>
      </c>
      <c r="J346" s="408">
        <f>skemA7!$I$21*COS(RADIANS(skemA7!$I$28*E346-skemA7!$I$22))</f>
        <v>23.476151261064924</v>
      </c>
      <c r="K346" s="408">
        <f>skemA7!$J$21*COS(RADIANS(skemA7!$J$28*E346-skemA7!$J$22))</f>
        <v>1.751544542001487</v>
      </c>
      <c r="L346" s="408">
        <f>skemA7!$K$21*COS(RADIANS(skemA7!$K$28*E346-skemA7!$K$22))</f>
        <v>2.202796489824669</v>
      </c>
      <c r="M346" s="408">
        <f>skemA7!$L$21*COS(RADIANS(skemA7!$L$28*E346-skemA7!$L$22))</f>
        <v>-6.135462874554535</v>
      </c>
      <c r="N346" s="408">
        <f>skemA7!$M$21*COS(RADIANS(skemA7!$M$28*E346-skemA7!$M$22))</f>
        <v>3.5685815922637691</v>
      </c>
      <c r="O346" s="409">
        <f>skemA7!$D$21+'Forcasting Pasut'!F346+'Forcasting Pasut'!G346+K346+L346+'Forcasting Pasut'!H346+'Forcasting Pasut'!I346+'Forcasting Pasut'!J346+'Forcasting Pasut'!M346+'Forcasting Pasut'!N346</f>
        <v>126.30529021062311</v>
      </c>
      <c r="P346" s="405"/>
      <c r="Q346" s="406">
        <f>AG330</f>
        <v>168.4</v>
      </c>
      <c r="R346" s="406"/>
      <c r="S346" s="406"/>
      <c r="T346" s="406"/>
      <c r="U346" s="406"/>
      <c r="V346" s="406"/>
      <c r="W346" s="406"/>
      <c r="X346" s="406"/>
      <c r="Y346" s="406"/>
      <c r="Z346" s="406"/>
      <c r="AA346" s="406"/>
      <c r="AB346" s="406"/>
      <c r="AC346" s="406"/>
      <c r="AD346" s="406"/>
      <c r="AE346" s="406"/>
      <c r="AF346" s="406"/>
      <c r="AG346" s="406"/>
      <c r="AH346" s="406"/>
      <c r="AI346" s="406"/>
      <c r="AJ346" s="406"/>
      <c r="AK346" s="406"/>
      <c r="AL346" s="406"/>
      <c r="AM346" s="406"/>
      <c r="AN346" s="406"/>
      <c r="AO346" s="407"/>
      <c r="AP346" s="407"/>
    </row>
    <row r="347" spans="1:42">
      <c r="A347" s="402"/>
      <c r="B347" s="77"/>
      <c r="D347" s="131"/>
      <c r="E347" s="113">
        <f t="shared" si="5"/>
        <v>329</v>
      </c>
      <c r="F347" s="408">
        <f>skemA7!$E$21*COS(RADIANS(skemA7!$E$28*E347-skemA7!$E$22))</f>
        <v>-18.665169210321643</v>
      </c>
      <c r="G347" s="408">
        <f>skemA7!$F$21*COS(RADIANS(skemA7!$F$28*E347-skemA7!$F$22))</f>
        <v>-22.501820901412763</v>
      </c>
      <c r="H347" s="408">
        <f>skemA7!$G$21*COS(RADIANS(skemA7!$G$28*E347-skemA7!$G$22))</f>
        <v>-17.533048080822716</v>
      </c>
      <c r="I347" s="408">
        <f>skemA7!$H$21*COS(RADIANS(skemA7!$H$28*E347-skemA7!$H$22))</f>
        <v>-14.733593500377621</v>
      </c>
      <c r="J347" s="408">
        <f>skemA7!$I$21*COS(RADIANS(skemA7!$I$28*E347-skemA7!$I$22))</f>
        <v>26.233202934326908</v>
      </c>
      <c r="K347" s="408">
        <f>skemA7!$J$21*COS(RADIANS(skemA7!$J$28*E347-skemA7!$J$22))</f>
        <v>0.65420283263312351</v>
      </c>
      <c r="L347" s="408">
        <f>skemA7!$K$21*COS(RADIANS(skemA7!$K$28*E347-skemA7!$K$22))</f>
        <v>3.2480110942523122</v>
      </c>
      <c r="M347" s="408">
        <f>skemA7!$L$21*COS(RADIANS(skemA7!$L$28*E347-skemA7!$L$22))</f>
        <v>-4.8372560985481448</v>
      </c>
      <c r="N347" s="408">
        <f>skemA7!$M$21*COS(RADIANS(skemA7!$M$28*E347-skemA7!$M$22))</f>
        <v>0.54441807841125722</v>
      </c>
      <c r="O347" s="409">
        <f>skemA7!$D$21+'Forcasting Pasut'!F347+'Forcasting Pasut'!G347+K347+L347+'Forcasting Pasut'!H347+'Forcasting Pasut'!I347+'Forcasting Pasut'!J347+'Forcasting Pasut'!M347+'Forcasting Pasut'!N347</f>
        <v>118.57726611365796</v>
      </c>
      <c r="P347" s="405"/>
      <c r="Q347" s="406">
        <f>AH330</f>
        <v>154.80000000000001</v>
      </c>
      <c r="R347" s="406"/>
      <c r="S347" s="406"/>
      <c r="T347" s="406"/>
      <c r="U347" s="406"/>
      <c r="V347" s="406"/>
      <c r="W347" s="406"/>
      <c r="X347" s="406"/>
      <c r="Y347" s="406"/>
      <c r="Z347" s="406"/>
      <c r="AA347" s="406"/>
      <c r="AB347" s="406"/>
      <c r="AC347" s="406"/>
      <c r="AD347" s="406"/>
      <c r="AE347" s="406"/>
      <c r="AF347" s="406"/>
      <c r="AG347" s="406"/>
      <c r="AH347" s="406"/>
      <c r="AI347" s="406"/>
      <c r="AJ347" s="406"/>
      <c r="AK347" s="406"/>
      <c r="AL347" s="406"/>
      <c r="AM347" s="406"/>
      <c r="AN347" s="406"/>
      <c r="AO347" s="407"/>
      <c r="AP347" s="407"/>
    </row>
    <row r="348" spans="1:42">
      <c r="A348" s="402"/>
      <c r="B348" s="77"/>
      <c r="D348" s="131"/>
      <c r="E348" s="113">
        <f t="shared" si="5"/>
        <v>330</v>
      </c>
      <c r="F348" s="408">
        <f>skemA7!$E$21*COS(RADIANS(skemA7!$E$28*E348-skemA7!$E$22))</f>
        <v>-10.525295386253616</v>
      </c>
      <c r="G348" s="408">
        <f>skemA7!$F$21*COS(RADIANS(skemA7!$F$28*E348-skemA7!$F$22))</f>
        <v>-17.131329356559171</v>
      </c>
      <c r="H348" s="408">
        <f>skemA7!$G$21*COS(RADIANS(skemA7!$G$28*E348-skemA7!$G$22))</f>
        <v>-15.854004283486875</v>
      </c>
      <c r="I348" s="408">
        <f>skemA7!$H$21*COS(RADIANS(skemA7!$H$28*E348-skemA7!$H$22))</f>
        <v>-22.683773025732748</v>
      </c>
      <c r="J348" s="408">
        <f>skemA7!$I$21*COS(RADIANS(skemA7!$I$28*E348-skemA7!$I$22))</f>
        <v>27.444380180560906</v>
      </c>
      <c r="K348" s="408">
        <f>skemA7!$J$21*COS(RADIANS(skemA7!$J$28*E348-skemA7!$J$22))</f>
        <v>-1.057575570230503</v>
      </c>
      <c r="L348" s="408">
        <f>skemA7!$K$21*COS(RADIANS(skemA7!$K$28*E348-skemA7!$K$22))</f>
        <v>1.1444570708196742</v>
      </c>
      <c r="M348" s="408">
        <f>skemA7!$L$21*COS(RADIANS(skemA7!$L$28*E348-skemA7!$L$22))</f>
        <v>-2.2359789434811193</v>
      </c>
      <c r="N348" s="408">
        <f>skemA7!$M$21*COS(RADIANS(skemA7!$M$28*E348-skemA7!$M$22))</f>
        <v>-2.5166452369803558</v>
      </c>
      <c r="O348" s="409">
        <f>skemA7!$D$21+'Forcasting Pasut'!F348+'Forcasting Pasut'!G348+K348+L348+'Forcasting Pasut'!H348+'Forcasting Pasut'!I348+'Forcasting Pasut'!J348+'Forcasting Pasut'!M348+'Forcasting Pasut'!N348</f>
        <v>122.75255441417342</v>
      </c>
      <c r="P348" s="405"/>
      <c r="Q348" s="406">
        <f>AI330</f>
        <v>142.19999999999999</v>
      </c>
      <c r="R348" s="406"/>
      <c r="S348" s="406"/>
      <c r="T348" s="406"/>
      <c r="U348" s="406"/>
      <c r="V348" s="406"/>
      <c r="W348" s="406"/>
      <c r="X348" s="406"/>
      <c r="Y348" s="406"/>
      <c r="Z348" s="406"/>
      <c r="AA348" s="406"/>
      <c r="AB348" s="406"/>
      <c r="AC348" s="406"/>
      <c r="AD348" s="406"/>
      <c r="AE348" s="406"/>
      <c r="AF348" s="406"/>
      <c r="AG348" s="406"/>
      <c r="AH348" s="406"/>
      <c r="AI348" s="406"/>
      <c r="AJ348" s="406"/>
      <c r="AK348" s="406"/>
      <c r="AL348" s="406"/>
      <c r="AM348" s="406"/>
      <c r="AN348" s="406"/>
      <c r="AO348" s="407"/>
      <c r="AP348" s="407"/>
    </row>
    <row r="349" spans="1:42">
      <c r="A349" s="402"/>
      <c r="B349" s="77"/>
      <c r="D349" s="131"/>
      <c r="E349" s="113">
        <f t="shared" si="5"/>
        <v>331</v>
      </c>
      <c r="F349" s="408">
        <f>skemA7!$E$21*COS(RADIANS(skemA7!$E$28*E349-skemA7!$E$22))</f>
        <v>0.25105847036558193</v>
      </c>
      <c r="G349" s="408">
        <f>skemA7!$F$21*COS(RADIANS(skemA7!$F$28*E349-skemA7!$F$22))</f>
        <v>-7.1705119453435344</v>
      </c>
      <c r="H349" s="408">
        <f>skemA7!$G$21*COS(RADIANS(skemA7!$G$28*E349-skemA7!$G$22))</f>
        <v>-10.348321015778875</v>
      </c>
      <c r="I349" s="408">
        <f>skemA7!$H$21*COS(RADIANS(skemA7!$H$28*E349-skemA7!$H$22))</f>
        <v>-29.079677298881762</v>
      </c>
      <c r="J349" s="408">
        <f>skemA7!$I$21*COS(RADIANS(skemA7!$I$28*E349-skemA7!$I$22))</f>
        <v>27.038310551033284</v>
      </c>
      <c r="K349" s="408">
        <f>skemA7!$J$21*COS(RADIANS(skemA7!$J$28*E349-skemA7!$J$22))</f>
        <v>-1.7760638127958128</v>
      </c>
      <c r="L349" s="408">
        <f>skemA7!$K$21*COS(RADIANS(skemA7!$K$28*E349-skemA7!$K$22))</f>
        <v>-2.0685853182489486</v>
      </c>
      <c r="M349" s="408">
        <f>skemA7!$L$21*COS(RADIANS(skemA7!$L$28*E349-skemA7!$L$22))</f>
        <v>0.9676309949030083</v>
      </c>
      <c r="N349" s="408">
        <f>skemA7!$M$21*COS(RADIANS(skemA7!$M$28*E349-skemA7!$M$22))</f>
        <v>-5.4071342943303131</v>
      </c>
      <c r="O349" s="409">
        <f>skemA7!$D$21+'Forcasting Pasut'!F349+'Forcasting Pasut'!G349+K349+L349+'Forcasting Pasut'!H349+'Forcasting Pasut'!I349+'Forcasting Pasut'!J349+'Forcasting Pasut'!M349+'Forcasting Pasut'!N349</f>
        <v>138.57502529643983</v>
      </c>
      <c r="P349" s="405"/>
      <c r="Q349" s="406">
        <f>AJ330</f>
        <v>136.5</v>
      </c>
      <c r="R349" s="406"/>
      <c r="S349" s="406"/>
      <c r="T349" s="406"/>
      <c r="U349" s="406"/>
      <c r="V349" s="406"/>
      <c r="W349" s="406"/>
      <c r="X349" s="406"/>
      <c r="Y349" s="406"/>
      <c r="Z349" s="406"/>
      <c r="AA349" s="406"/>
      <c r="AB349" s="406"/>
      <c r="AC349" s="406"/>
      <c r="AD349" s="406"/>
      <c r="AE349" s="406"/>
      <c r="AF349" s="406"/>
      <c r="AG349" s="406"/>
      <c r="AH349" s="406"/>
      <c r="AI349" s="406"/>
      <c r="AJ349" s="406"/>
      <c r="AK349" s="406"/>
      <c r="AL349" s="406"/>
      <c r="AM349" s="406"/>
      <c r="AN349" s="406"/>
      <c r="AO349" s="407"/>
      <c r="AP349" s="407"/>
    </row>
    <row r="350" spans="1:42">
      <c r="A350" s="402"/>
      <c r="B350" s="77"/>
      <c r="D350" s="131"/>
      <c r="E350" s="113">
        <f t="shared" si="5"/>
        <v>332</v>
      </c>
      <c r="F350" s="408">
        <f>skemA7!$E$21*COS(RADIANS(skemA7!$E$28*E350-skemA7!$E$22))</f>
        <v>10.964524719576174</v>
      </c>
      <c r="G350" s="408">
        <f>skemA7!$F$21*COS(RADIANS(skemA7!$F$28*E350-skemA7!$F$22))</f>
        <v>4.7116383509441029</v>
      </c>
      <c r="H350" s="408">
        <f>skemA7!$G$21*COS(RADIANS(skemA7!$G$28*E350-skemA7!$G$22))</f>
        <v>-2.3448906210380343</v>
      </c>
      <c r="I350" s="408">
        <f>skemA7!$H$21*COS(RADIANS(skemA7!$H$28*E350-skemA7!$H$22))</f>
        <v>-33.483063717240462</v>
      </c>
      <c r="J350" s="408">
        <f>skemA7!$I$21*COS(RADIANS(skemA7!$I$28*E350-skemA7!$I$22))</f>
        <v>25.038922982574551</v>
      </c>
      <c r="K350" s="408">
        <f>skemA7!$J$21*COS(RADIANS(skemA7!$J$28*E350-skemA7!$J$22))</f>
        <v>-0.8264474215453621</v>
      </c>
      <c r="L350" s="408">
        <f>skemA7!$K$21*COS(RADIANS(skemA7!$K$28*E350-skemA7!$K$22))</f>
        <v>-3.2762476870089343</v>
      </c>
      <c r="M350" s="408">
        <f>skemA7!$L$21*COS(RADIANS(skemA7!$L$28*E350-skemA7!$L$22))</f>
        <v>3.9105784292490973</v>
      </c>
      <c r="N350" s="408">
        <f>skemA7!$M$21*COS(RADIANS(skemA7!$M$28*E350-skemA7!$M$22))</f>
        <v>-7.9311362891290118</v>
      </c>
      <c r="O350" s="409">
        <f>skemA7!$D$21+'Forcasting Pasut'!F350+'Forcasting Pasut'!G350+K350+L350+'Forcasting Pasut'!H350+'Forcasting Pasut'!I350+'Forcasting Pasut'!J350+'Forcasting Pasut'!M350+'Forcasting Pasut'!N350</f>
        <v>162.93219771189931</v>
      </c>
      <c r="P350" s="405"/>
      <c r="Q350" s="406">
        <f>AK330</f>
        <v>137.30000000000001</v>
      </c>
      <c r="R350" s="406"/>
      <c r="S350" s="406"/>
      <c r="T350" s="406"/>
      <c r="U350" s="406"/>
      <c r="V350" s="406"/>
      <c r="W350" s="406"/>
      <c r="X350" s="406"/>
      <c r="Y350" s="406"/>
      <c r="Z350" s="406"/>
      <c r="AA350" s="406"/>
      <c r="AB350" s="406"/>
      <c r="AC350" s="406"/>
      <c r="AD350" s="406"/>
      <c r="AE350" s="406"/>
      <c r="AF350" s="406"/>
      <c r="AG350" s="406"/>
      <c r="AH350" s="406"/>
      <c r="AI350" s="406"/>
      <c r="AJ350" s="406"/>
      <c r="AK350" s="406"/>
      <c r="AL350" s="406"/>
      <c r="AM350" s="406"/>
      <c r="AN350" s="406"/>
      <c r="AO350" s="407"/>
      <c r="AP350" s="407"/>
    </row>
    <row r="351" spans="1:42">
      <c r="A351" s="402"/>
      <c r="B351" s="77"/>
      <c r="D351" s="131"/>
      <c r="E351" s="113">
        <f t="shared" si="5"/>
        <v>333</v>
      </c>
      <c r="F351" s="408">
        <f>skemA7!$E$21*COS(RADIANS(skemA7!$E$28*E351-skemA7!$E$22))</f>
        <v>18.931488430972191</v>
      </c>
      <c r="G351" s="408">
        <f>skemA7!$F$21*COS(RADIANS(skemA7!$F$28*E351-skemA7!$F$22))</f>
        <v>15.331308956069302</v>
      </c>
      <c r="H351" s="408">
        <f>skemA7!$G$21*COS(RADIANS(skemA7!$G$28*E351-skemA7!$G$22))</f>
        <v>6.2245198783965199</v>
      </c>
      <c r="I351" s="408">
        <f>skemA7!$H$21*COS(RADIANS(skemA7!$H$28*E351-skemA7!$H$22))</f>
        <v>-35.592215519306521</v>
      </c>
      <c r="J351" s="408">
        <f>skemA7!$I$21*COS(RADIANS(skemA7!$I$28*E351-skemA7!$I$22))</f>
        <v>21.564037709318388</v>
      </c>
      <c r="K351" s="408">
        <f>skemA7!$J$21*COS(RADIANS(skemA7!$J$28*E351-skemA7!$J$22))</f>
        <v>0.89938025420555889</v>
      </c>
      <c r="L351" s="408">
        <f>skemA7!$K$21*COS(RADIANS(skemA7!$K$28*E351-skemA7!$K$22))</f>
        <v>-1.3077675997874991</v>
      </c>
      <c r="M351" s="408">
        <f>skemA7!$L$21*COS(RADIANS(skemA7!$L$28*E351-skemA7!$L$22))</f>
        <v>5.8000858942544173</v>
      </c>
      <c r="N351" s="408">
        <f>skemA7!$M$21*COS(RADIANS(skemA7!$M$28*E351-skemA7!$M$22))</f>
        <v>-9.9175783338543511</v>
      </c>
      <c r="O351" s="409">
        <f>skemA7!$D$21+'Forcasting Pasut'!F351+'Forcasting Pasut'!G351+K351+L351+'Forcasting Pasut'!H351+'Forcasting Pasut'!I351+'Forcasting Pasut'!J351+'Forcasting Pasut'!M351+'Forcasting Pasut'!N351</f>
        <v>188.10157863578524</v>
      </c>
      <c r="P351" s="405"/>
      <c r="Q351" s="406">
        <f>AL330</f>
        <v>139.30000000000001</v>
      </c>
      <c r="R351" s="406"/>
      <c r="S351" s="406"/>
      <c r="T351" s="406"/>
      <c r="U351" s="406"/>
      <c r="V351" s="406"/>
      <c r="W351" s="406"/>
      <c r="X351" s="406"/>
      <c r="Y351" s="406"/>
      <c r="Z351" s="406"/>
      <c r="AA351" s="406"/>
      <c r="AB351" s="406"/>
      <c r="AC351" s="406"/>
      <c r="AD351" s="406"/>
      <c r="AE351" s="406"/>
      <c r="AF351" s="406"/>
      <c r="AG351" s="406"/>
      <c r="AH351" s="406"/>
      <c r="AI351" s="406"/>
      <c r="AJ351" s="406"/>
      <c r="AK351" s="406"/>
      <c r="AL351" s="406"/>
      <c r="AM351" s="406"/>
      <c r="AN351" s="406"/>
      <c r="AO351" s="407"/>
      <c r="AP351" s="407"/>
    </row>
    <row r="352" spans="1:42">
      <c r="A352" s="402"/>
      <c r="B352" s="77"/>
      <c r="D352" s="131"/>
      <c r="E352" s="113">
        <f t="shared" si="5"/>
        <v>334</v>
      </c>
      <c r="F352" s="408">
        <f>skemA7!$E$21*COS(RADIANS(skemA7!$E$28*E352-skemA7!$E$22))</f>
        <v>22.156305779432191</v>
      </c>
      <c r="G352" s="408">
        <f>skemA7!$F$21*COS(RADIANS(skemA7!$F$28*E352-skemA7!$F$22))</f>
        <v>21.842967707503227</v>
      </c>
      <c r="H352" s="408">
        <f>skemA7!$G$21*COS(RADIANS(skemA7!$G$28*E352-skemA7!$G$22))</f>
        <v>13.291534325396372</v>
      </c>
      <c r="I352" s="408">
        <f>skemA7!$H$21*COS(RADIANS(skemA7!$H$28*E352-skemA7!$H$22))</f>
        <v>-35.262615192699442</v>
      </c>
      <c r="J352" s="408">
        <f>skemA7!$I$21*COS(RADIANS(skemA7!$I$28*E352-skemA7!$I$22))</f>
        <v>16.818423332881245</v>
      </c>
      <c r="K352" s="408">
        <f>skemA7!$J$21*COS(RADIANS(skemA7!$J$28*E352-skemA7!$J$22))</f>
        <v>1.7804970818472625</v>
      </c>
      <c r="L352" s="408">
        <f>skemA7!$K$21*COS(RADIANS(skemA7!$K$28*E352-skemA7!$K$22))</f>
        <v>1.9285214545984126</v>
      </c>
      <c r="M352" s="408">
        <f>skemA7!$L$21*COS(RADIANS(skemA7!$L$28*E352-skemA7!$L$22))</f>
        <v>6.1271538334548241</v>
      </c>
      <c r="N352" s="408">
        <f>skemA7!$M$21*COS(RADIANS(skemA7!$M$28*E352-skemA7!$M$22))</f>
        <v>-11.231822509366538</v>
      </c>
      <c r="O352" s="409">
        <f>skemA7!$D$21+'Forcasting Pasut'!F352+'Forcasting Pasut'!G352+K352+L352+'Forcasting Pasut'!H352+'Forcasting Pasut'!I352+'Forcasting Pasut'!J352+'Forcasting Pasut'!M352+'Forcasting Pasut'!N352</f>
        <v>203.61928477856483</v>
      </c>
      <c r="P352" s="405"/>
      <c r="Q352" s="406">
        <f>AM330</f>
        <v>145.79999999999998</v>
      </c>
      <c r="R352" s="406"/>
      <c r="S352" s="406"/>
      <c r="T352" s="406"/>
      <c r="U352" s="406"/>
      <c r="V352" s="406"/>
      <c r="W352" s="406"/>
      <c r="X352" s="406"/>
      <c r="Y352" s="406"/>
      <c r="Z352" s="406"/>
      <c r="AA352" s="406"/>
      <c r="AB352" s="406"/>
      <c r="AC352" s="406"/>
      <c r="AD352" s="406"/>
      <c r="AE352" s="406"/>
      <c r="AF352" s="406"/>
      <c r="AG352" s="406"/>
      <c r="AH352" s="406"/>
      <c r="AI352" s="406"/>
      <c r="AJ352" s="406"/>
      <c r="AK352" s="406"/>
      <c r="AL352" s="406"/>
      <c r="AM352" s="406"/>
      <c r="AN352" s="406"/>
      <c r="AO352" s="407"/>
      <c r="AP352" s="407"/>
    </row>
    <row r="353" spans="1:42">
      <c r="A353" s="402"/>
      <c r="B353" s="77"/>
      <c r="D353" s="131"/>
      <c r="E353" s="113">
        <f t="shared" si="5"/>
        <v>335</v>
      </c>
      <c r="F353" s="408">
        <f>skemA7!$E$21*COS(RADIANS(skemA7!$E$28*E353-skemA7!$E$22))</f>
        <v>19.831192637685945</v>
      </c>
      <c r="G353" s="408">
        <f>skemA7!$F$21*COS(RADIANS(skemA7!$F$28*E353-skemA7!$F$22))</f>
        <v>22.501820901412817</v>
      </c>
      <c r="H353" s="408">
        <f>skemA7!$G$21*COS(RADIANS(skemA7!$G$28*E353-skemA7!$G$22))</f>
        <v>17.150405961160878</v>
      </c>
      <c r="I353" s="408">
        <f>skemA7!$H$21*COS(RADIANS(skemA7!$H$28*E353-skemA7!$H$22))</f>
        <v>-32.516846706593178</v>
      </c>
      <c r="J353" s="408">
        <f>skemA7!$I$21*COS(RADIANS(skemA7!$I$28*E353-skemA7!$I$22))</f>
        <v>11.081730185074907</v>
      </c>
      <c r="K353" s="408">
        <f>skemA7!$J$21*COS(RADIANS(skemA7!$J$28*E353-skemA7!$J$22))</f>
        <v>0.98934548572684722</v>
      </c>
      <c r="L353" s="408">
        <f>skemA7!$K$21*COS(RADIANS(skemA7!$K$28*E353-skemA7!$K$22))</f>
        <v>3.2952147230769211</v>
      </c>
      <c r="M353" s="408">
        <f>skemA7!$L$21*COS(RADIANS(skemA7!$L$28*E353-skemA7!$L$22))</f>
        <v>4.8036759868491288</v>
      </c>
      <c r="N353" s="408">
        <f>skemA7!$M$21*COS(RADIANS(skemA7!$M$28*E353-skemA7!$M$22))</f>
        <v>-11.784791411417379</v>
      </c>
      <c r="O353" s="409">
        <f>skemA7!$D$21+'Forcasting Pasut'!F353+'Forcasting Pasut'!G353+K353+L353+'Forcasting Pasut'!H353+'Forcasting Pasut'!I353+'Forcasting Pasut'!J353+'Forcasting Pasut'!M353+'Forcasting Pasut'!N353</f>
        <v>201.52006672849416</v>
      </c>
      <c r="P353" s="405"/>
      <c r="Q353" s="406">
        <f>AN330</f>
        <v>156.1</v>
      </c>
      <c r="R353" s="406"/>
      <c r="S353" s="406"/>
      <c r="T353" s="406"/>
      <c r="U353" s="406"/>
      <c r="V353" s="406"/>
      <c r="W353" s="406"/>
      <c r="X353" s="406"/>
      <c r="Y353" s="406"/>
      <c r="Z353" s="406"/>
      <c r="AA353" s="406"/>
      <c r="AB353" s="406"/>
      <c r="AC353" s="406"/>
      <c r="AD353" s="406"/>
      <c r="AE353" s="406"/>
      <c r="AF353" s="406"/>
      <c r="AG353" s="406"/>
      <c r="AH353" s="406"/>
      <c r="AI353" s="406"/>
      <c r="AJ353" s="406"/>
      <c r="AK353" s="406"/>
      <c r="AL353" s="406"/>
      <c r="AM353" s="406"/>
      <c r="AN353" s="406"/>
      <c r="AO353" s="407"/>
      <c r="AP353" s="407"/>
    </row>
    <row r="354" spans="1:42">
      <c r="A354" s="402">
        <v>15</v>
      </c>
      <c r="B354" s="77">
        <f>skemA1!B19</f>
        <v>44723</v>
      </c>
      <c r="C354" s="43" t="e">
        <f>skemA1!#REF!</f>
        <v>#REF!</v>
      </c>
      <c r="D354" s="139" t="e">
        <f>skemA1!#REF!</f>
        <v>#REF!</v>
      </c>
      <c r="E354" s="113">
        <f t="shared" si="5"/>
        <v>336</v>
      </c>
      <c r="F354" s="408">
        <f>skemA7!$E$21*COS(RADIANS(skemA7!$E$28*E354-skemA7!$E$22))</f>
        <v>12.538566329588154</v>
      </c>
      <c r="G354" s="408">
        <f>skemA7!$F$21*COS(RADIANS(skemA7!$F$28*E354-skemA7!$F$22))</f>
        <v>17.131329356558901</v>
      </c>
      <c r="H354" s="408">
        <f>skemA7!$G$21*COS(RADIANS(skemA7!$G$28*E354-skemA7!$G$22))</f>
        <v>16.869729050679936</v>
      </c>
      <c r="I354" s="408">
        <f>skemA7!$H$21*COS(RADIANS(skemA7!$H$28*E354-skemA7!$H$22))</f>
        <v>-27.543048074950864</v>
      </c>
      <c r="J354" s="408">
        <f>skemA7!$I$21*COS(RADIANS(skemA7!$I$28*E354-skemA7!$I$22))</f>
        <v>4.6920110479062576</v>
      </c>
      <c r="K354" s="408">
        <f>skemA7!$J$21*COS(RADIANS(skemA7!$J$28*E354-skemA7!$J$22))</f>
        <v>-0.73101359567395408</v>
      </c>
      <c r="L354" s="408">
        <f>skemA7!$K$21*COS(RADIANS(skemA7!$K$28*E354-skemA7!$K$22))</f>
        <v>1.4673780342997294</v>
      </c>
      <c r="M354" s="408">
        <f>skemA7!$L$21*COS(RADIANS(skemA7!$L$28*E354-skemA7!$L$22))</f>
        <v>2.1861736433909527</v>
      </c>
      <c r="N354" s="408">
        <f>skemA7!$M$21*COS(RADIANS(skemA7!$M$28*E354-skemA7!$M$22))</f>
        <v>-11.539005677083134</v>
      </c>
      <c r="O354" s="409">
        <f>skemA7!$D$21+'Forcasting Pasut'!F354+'Forcasting Pasut'!G354+K354+L354+'Forcasting Pasut'!H354+'Forcasting Pasut'!I354+'Forcasting Pasut'!J354+'Forcasting Pasut'!M354+'Forcasting Pasut'!N354</f>
        <v>181.24043908023322</v>
      </c>
      <c r="P354" s="405"/>
      <c r="Q354" s="406">
        <f>skemA1!C19</f>
        <v>169.6</v>
      </c>
      <c r="R354" s="406">
        <f>skemA1!D19</f>
        <v>181.6</v>
      </c>
      <c r="S354" s="406">
        <f>skemA1!E19</f>
        <v>190.3</v>
      </c>
      <c r="T354" s="406">
        <f>skemA1!F19</f>
        <v>196.8</v>
      </c>
      <c r="U354" s="406">
        <f>skemA1!G19</f>
        <v>201.2</v>
      </c>
      <c r="V354" s="406">
        <f>skemA1!H19</f>
        <v>200</v>
      </c>
      <c r="W354" s="406">
        <f>skemA1!I19</f>
        <v>191.3</v>
      </c>
      <c r="X354" s="406">
        <f>skemA1!J19</f>
        <v>182</v>
      </c>
      <c r="Y354" s="406">
        <f>skemA1!K19</f>
        <v>172.2</v>
      </c>
      <c r="Z354" s="406">
        <f>skemA1!L19</f>
        <v>164.79999999999998</v>
      </c>
      <c r="AA354" s="406">
        <f>skemA1!M19</f>
        <v>160</v>
      </c>
      <c r="AB354" s="406">
        <f>skemA1!N19</f>
        <v>158.1</v>
      </c>
      <c r="AC354" s="406">
        <f>skemA1!O19</f>
        <v>160.80000000000001</v>
      </c>
      <c r="AD354" s="406">
        <f>skemA1!P19</f>
        <v>166.4</v>
      </c>
      <c r="AE354" s="406">
        <f>skemA1!Q19</f>
        <v>174.3</v>
      </c>
      <c r="AF354" s="406">
        <f>skemA1!R19</f>
        <v>178</v>
      </c>
      <c r="AG354" s="406">
        <f>skemA1!S19</f>
        <v>171.8</v>
      </c>
      <c r="AH354" s="406">
        <f>skemA1!T19</f>
        <v>161.69999999999999</v>
      </c>
      <c r="AI354" s="406">
        <f>skemA1!U19</f>
        <v>149.30000000000001</v>
      </c>
      <c r="AJ354" s="406">
        <f>skemA1!V19</f>
        <v>136.80000000000001</v>
      </c>
      <c r="AK354" s="406">
        <f>skemA1!W19</f>
        <v>124.30000000000001</v>
      </c>
      <c r="AL354" s="406">
        <f>skemA1!X19</f>
        <v>119.8</v>
      </c>
      <c r="AM354" s="406">
        <f>skemA1!Y19</f>
        <v>123.8</v>
      </c>
      <c r="AN354" s="406">
        <f>skemA1!Z19</f>
        <v>138.79999999999998</v>
      </c>
      <c r="AO354" s="407">
        <f>SUM(Q354:AN354)</f>
        <v>3973.7000000000016</v>
      </c>
      <c r="AP354" s="407">
        <f>AVERAGE(Q354:AN354)</f>
        <v>165.57083333333341</v>
      </c>
    </row>
    <row r="355" spans="1:42">
      <c r="A355" s="402"/>
      <c r="B355" s="77"/>
      <c r="D355" s="131"/>
      <c r="E355" s="113">
        <f t="shared" si="5"/>
        <v>337</v>
      </c>
      <c r="F355" s="408">
        <f>skemA7!$E$21*COS(RADIANS(skemA7!$E$28*E355-skemA7!$E$22))</f>
        <v>2.1051559815512815</v>
      </c>
      <c r="G355" s="408">
        <f>skemA7!$F$21*COS(RADIANS(skemA7!$F$28*E355-skemA7!$F$22))</f>
        <v>7.1705119453437707</v>
      </c>
      <c r="H355" s="408">
        <f>skemA7!$G$21*COS(RADIANS(skemA7!$G$28*E355-skemA7!$G$22))</f>
        <v>12.517249844355501</v>
      </c>
      <c r="I355" s="408">
        <f>skemA7!$H$21*COS(RADIANS(skemA7!$H$28*E355-skemA7!$H$22))</f>
        <v>-20.682020279770413</v>
      </c>
      <c r="J355" s="408">
        <f>skemA7!$I$21*COS(RADIANS(skemA7!$I$28*E355-skemA7!$I$22))</f>
        <v>-1.974199675457917</v>
      </c>
      <c r="K355" s="408">
        <f>skemA7!$J$21*COS(RADIANS(skemA7!$J$28*E355-skemA7!$J$22))</f>
        <v>-1.7647942120778706</v>
      </c>
      <c r="L355" s="408">
        <f>skemA7!$K$21*COS(RADIANS(skemA7!$K$28*E355-skemA7!$K$22))</f>
        <v>-1.7830011845169369</v>
      </c>
      <c r="M355" s="408">
        <f>skemA7!$L$21*COS(RADIANS(skemA7!$L$28*E355-skemA7!$L$22))</f>
        <v>-1.0202448252730227</v>
      </c>
      <c r="N355" s="408">
        <f>skemA7!$M$21*COS(RADIANS(skemA7!$M$28*E355-skemA7!$M$22))</f>
        <v>-10.511124277066161</v>
      </c>
      <c r="O355" s="409">
        <f>skemA7!$D$21+'Forcasting Pasut'!F355+'Forcasting Pasut'!G355+K355+L355+'Forcasting Pasut'!H355+'Forcasting Pasut'!I355+'Forcasting Pasut'!J355+'Forcasting Pasut'!M355+'Forcasting Pasut'!N355</f>
        <v>150.22585228260547</v>
      </c>
      <c r="P355" s="405"/>
      <c r="Q355" s="406">
        <f>R354</f>
        <v>181.6</v>
      </c>
      <c r="R355" s="406"/>
      <c r="S355" s="406"/>
      <c r="T355" s="406"/>
      <c r="U355" s="406"/>
      <c r="V355" s="406"/>
      <c r="W355" s="406"/>
      <c r="X355" s="406"/>
      <c r="Y355" s="406"/>
      <c r="Z355" s="406"/>
      <c r="AA355" s="406"/>
      <c r="AB355" s="406"/>
      <c r="AC355" s="406"/>
      <c r="AD355" s="406"/>
      <c r="AE355" s="406"/>
      <c r="AF355" s="406"/>
      <c r="AG355" s="406"/>
      <c r="AH355" s="406"/>
      <c r="AI355" s="406"/>
      <c r="AJ355" s="406"/>
      <c r="AK355" s="406"/>
      <c r="AL355" s="406"/>
      <c r="AM355" s="406"/>
      <c r="AN355" s="406"/>
      <c r="AO355" s="407"/>
      <c r="AP355" s="407"/>
    </row>
    <row r="356" spans="1:42">
      <c r="A356" s="402"/>
      <c r="B356" s="77"/>
      <c r="D356" s="131"/>
      <c r="E356" s="113">
        <f t="shared" si="5"/>
        <v>338</v>
      </c>
      <c r="F356" s="408">
        <f>skemA7!$E$21*COS(RADIANS(skemA7!$E$28*E356-skemA7!$E$22))</f>
        <v>-8.8555746465437153</v>
      </c>
      <c r="G356" s="408">
        <f>skemA7!$F$21*COS(RADIANS(skemA7!$F$28*E356-skemA7!$F$22))</f>
        <v>-4.7116383509444999</v>
      </c>
      <c r="H356" s="408">
        <f>skemA7!$G$21*COS(RADIANS(skemA7!$G$28*E356-skemA7!$G$22))</f>
        <v>5.1435148430642625</v>
      </c>
      <c r="I356" s="408">
        <f>skemA7!$H$21*COS(RADIANS(skemA7!$H$28*E356-skemA7!$H$22))</f>
        <v>-12.403875841340582</v>
      </c>
      <c r="J356" s="408">
        <f>skemA7!$I$21*COS(RADIANS(skemA7!$I$28*E356-skemA7!$I$22))</f>
        <v>-8.5240744409218205</v>
      </c>
      <c r="K356" s="408">
        <f>skemA7!$J$21*COS(RADIANS(skemA7!$J$28*E356-skemA7!$J$22))</f>
        <v>-1.1410547654698824</v>
      </c>
      <c r="L356" s="408">
        <f>skemA7!$K$21*COS(RADIANS(skemA7!$K$28*E356-skemA7!$K$22))</f>
        <v>-3.3048585386209668</v>
      </c>
      <c r="M356" s="408">
        <f>skemA7!$L$21*COS(RADIANS(skemA7!$L$28*E356-skemA7!$L$22))</f>
        <v>-3.9518275639036635</v>
      </c>
      <c r="N356" s="408">
        <f>skemA7!$M$21*COS(RADIANS(skemA7!$M$28*E356-skemA7!$M$22))</f>
        <v>-8.7708153968486897</v>
      </c>
      <c r="O356" s="409">
        <f>skemA7!$D$21+'Forcasting Pasut'!F356+'Forcasting Pasut'!G356+K356+L356+'Forcasting Pasut'!H356+'Forcasting Pasut'!I356+'Forcasting Pasut'!J356+'Forcasting Pasut'!M356+'Forcasting Pasut'!N356</f>
        <v>119.64811426398768</v>
      </c>
      <c r="P356" s="405"/>
      <c r="Q356" s="406">
        <f>S354</f>
        <v>190.3</v>
      </c>
      <c r="R356" s="406"/>
      <c r="S356" s="406"/>
      <c r="T356" s="406"/>
      <c r="U356" s="406"/>
      <c r="V356" s="406"/>
      <c r="W356" s="406"/>
      <c r="X356" s="406"/>
      <c r="Y356" s="406"/>
      <c r="Z356" s="406"/>
      <c r="AA356" s="406"/>
      <c r="AB356" s="406"/>
      <c r="AC356" s="406"/>
      <c r="AD356" s="406"/>
      <c r="AE356" s="406"/>
      <c r="AF356" s="406"/>
      <c r="AG356" s="406"/>
      <c r="AH356" s="406"/>
      <c r="AI356" s="406"/>
      <c r="AJ356" s="406"/>
      <c r="AK356" s="406"/>
      <c r="AL356" s="406"/>
      <c r="AM356" s="406"/>
      <c r="AN356" s="406"/>
      <c r="AO356" s="407"/>
      <c r="AP356" s="407"/>
    </row>
    <row r="357" spans="1:42">
      <c r="A357" s="402"/>
      <c r="B357" s="77"/>
      <c r="D357" s="131"/>
      <c r="E357" s="113">
        <f t="shared" si="5"/>
        <v>339</v>
      </c>
      <c r="F357" s="408">
        <f>skemA7!$E$21*COS(RADIANS(skemA7!$E$28*E357-skemA7!$E$22))</f>
        <v>-17.598073398421082</v>
      </c>
      <c r="G357" s="408">
        <f>skemA7!$F$21*COS(RADIANS(skemA7!$F$28*E357-skemA7!$F$22))</f>
        <v>-15.331308956069117</v>
      </c>
      <c r="H357" s="408">
        <f>skemA7!$G$21*COS(RADIANS(skemA7!$G$28*E357-skemA7!$G$22))</f>
        <v>-3.4716968579282215</v>
      </c>
      <c r="I357" s="408">
        <f>skemA7!$H$21*COS(RADIANS(skemA7!$H$28*E357-skemA7!$H$22))</f>
        <v>-3.2758270580830438</v>
      </c>
      <c r="J357" s="408">
        <f>skemA7!$I$21*COS(RADIANS(skemA7!$I$28*E357-skemA7!$I$22))</f>
        <v>-14.57164116854217</v>
      </c>
      <c r="K357" s="408">
        <f>skemA7!$J$21*COS(RADIANS(skemA7!$J$28*E357-skemA7!$J$22))</f>
        <v>0.55437970020488703</v>
      </c>
      <c r="L357" s="408">
        <f>skemA7!$K$21*COS(RADIANS(skemA7!$K$28*E357-skemA7!$K$22))</f>
        <v>-1.6228367851872423</v>
      </c>
      <c r="M357" s="408">
        <f>skemA7!$L$21*COS(RADIANS(skemA7!$L$28*E357-skemA7!$L$22))</f>
        <v>-5.8188585532016033</v>
      </c>
      <c r="N357" s="408">
        <f>skemA7!$M$21*COS(RADIANS(skemA7!$M$28*E357-skemA7!$M$22))</f>
        <v>-6.4360344365971454</v>
      </c>
      <c r="O357" s="409">
        <f>skemA7!$D$21+'Forcasting Pasut'!F357+'Forcasting Pasut'!G357+K357+L357+'Forcasting Pasut'!H357+'Forcasting Pasut'!I357+'Forcasting Pasut'!J357+'Forcasting Pasut'!M357+'Forcasting Pasut'!N357</f>
        <v>98.596421451692521</v>
      </c>
      <c r="P357" s="405"/>
      <c r="Q357" s="406">
        <f>T354</f>
        <v>196.8</v>
      </c>
      <c r="R357" s="406"/>
      <c r="S357" s="406"/>
      <c r="T357" s="406"/>
      <c r="U357" s="406"/>
      <c r="V357" s="406"/>
      <c r="W357" s="406"/>
      <c r="X357" s="406"/>
      <c r="Y357" s="406"/>
      <c r="Z357" s="406"/>
      <c r="AA357" s="406"/>
      <c r="AB357" s="406"/>
      <c r="AC357" s="406"/>
      <c r="AD357" s="406"/>
      <c r="AE357" s="406"/>
      <c r="AF357" s="406"/>
      <c r="AG357" s="406"/>
      <c r="AH357" s="406"/>
      <c r="AI357" s="406"/>
      <c r="AJ357" s="406"/>
      <c r="AK357" s="406"/>
      <c r="AL357" s="406"/>
      <c r="AM357" s="406"/>
      <c r="AN357" s="406"/>
      <c r="AO357" s="407"/>
      <c r="AP357" s="407"/>
    </row>
    <row r="358" spans="1:42">
      <c r="A358" s="402"/>
      <c r="B358" s="77"/>
      <c r="D358" s="131"/>
      <c r="E358" s="113">
        <f t="shared" si="5"/>
        <v>340</v>
      </c>
      <c r="F358" s="408">
        <f>skemA7!$E$21*COS(RADIANS(skemA7!$E$28*E358-skemA7!$E$22))</f>
        <v>-21.932432765733605</v>
      </c>
      <c r="G358" s="408">
        <f>skemA7!$F$21*COS(RADIANS(skemA7!$F$28*E358-skemA7!$F$22))</f>
        <v>-21.842967707503149</v>
      </c>
      <c r="H358" s="408">
        <f>skemA7!$G$21*COS(RADIANS(skemA7!$G$28*E358-skemA7!$G$22))</f>
        <v>-11.248954185491465</v>
      </c>
      <c r="I358" s="408">
        <f>skemA7!$H$21*COS(RADIANS(skemA7!$H$28*E358-skemA7!$H$22))</f>
        <v>6.0766789581523035</v>
      </c>
      <c r="J358" s="408">
        <f>skemA7!$I$21*COS(RADIANS(skemA7!$I$28*E358-skemA7!$I$22))</f>
        <v>-19.760527867701558</v>
      </c>
      <c r="K358" s="408">
        <f>skemA7!$J$21*COS(RADIANS(skemA7!$J$28*E358-skemA7!$J$22))</f>
        <v>1.7291327916279224</v>
      </c>
      <c r="L358" s="408">
        <f>skemA7!$K$21*COS(RADIANS(skemA7!$K$28*E358-skemA7!$K$22))</f>
        <v>1.6324362315742083</v>
      </c>
      <c r="M358" s="408">
        <f>skemA7!$L$21*COS(RADIANS(skemA7!$L$28*E358-skemA7!$L$22))</f>
        <v>-6.1183929977336664</v>
      </c>
      <c r="N358" s="408">
        <f>skemA7!$M$21*COS(RADIANS(skemA7!$M$28*E358-skemA7!$M$22))</f>
        <v>-3.6650291795640562</v>
      </c>
      <c r="O358" s="409">
        <f>skemA7!$D$21+'Forcasting Pasut'!F358+'Forcasting Pasut'!G358+K358+L358+'Forcasting Pasut'!H358+'Forcasting Pasut'!I358+'Forcasting Pasut'!J358+'Forcasting Pasut'!M358+'Forcasting Pasut'!N358</f>
        <v>91.03826224314416</v>
      </c>
      <c r="P358" s="405"/>
      <c r="Q358" s="406">
        <f>U354</f>
        <v>201.2</v>
      </c>
      <c r="R358" s="406"/>
      <c r="S358" s="406"/>
      <c r="T358" s="406"/>
      <c r="U358" s="406"/>
      <c r="V358" s="406"/>
      <c r="W358" s="406"/>
      <c r="X358" s="406"/>
      <c r="Y358" s="406"/>
      <c r="Z358" s="406"/>
      <c r="AA358" s="406"/>
      <c r="AB358" s="406"/>
      <c r="AC358" s="406"/>
      <c r="AD358" s="406"/>
      <c r="AE358" s="406"/>
      <c r="AF358" s="406"/>
      <c r="AG358" s="406"/>
      <c r="AH358" s="406"/>
      <c r="AI358" s="406"/>
      <c r="AJ358" s="406"/>
      <c r="AK358" s="406"/>
      <c r="AL358" s="406"/>
      <c r="AM358" s="406"/>
      <c r="AN358" s="406"/>
      <c r="AO358" s="407"/>
      <c r="AP358" s="407"/>
    </row>
    <row r="359" spans="1:42">
      <c r="A359" s="402"/>
      <c r="B359" s="77"/>
      <c r="D359" s="131"/>
      <c r="E359" s="113">
        <f t="shared" si="5"/>
        <v>341</v>
      </c>
      <c r="F359" s="408">
        <f>skemA7!$E$21*COS(RADIANS(skemA7!$E$28*E359-skemA7!$E$22))</f>
        <v>-20.772939568331285</v>
      </c>
      <c r="G359" s="408">
        <f>skemA7!$F$21*COS(RADIANS(skemA7!$F$28*E359-skemA7!$F$22))</f>
        <v>-22.501820901412732</v>
      </c>
      <c r="H359" s="408">
        <f>skemA7!$G$21*COS(RADIANS(skemA7!$G$28*E359-skemA7!$G$22))</f>
        <v>-16.311080917849967</v>
      </c>
      <c r="I359" s="408">
        <f>skemA7!$H$21*COS(RADIANS(skemA7!$H$28*E359-skemA7!$H$22))</f>
        <v>15.012815452900556</v>
      </c>
      <c r="J359" s="408">
        <f>skemA7!$I$21*COS(RADIANS(skemA7!$I$28*E359-skemA7!$I$22))</f>
        <v>-23.784962983433065</v>
      </c>
      <c r="K359" s="408">
        <f>skemA7!$J$21*COS(RADIANS(skemA7!$J$28*E359-skemA7!$J$22))</f>
        <v>1.2798595381546944</v>
      </c>
      <c r="L359" s="408">
        <f>skemA7!$K$21*COS(RADIANS(skemA7!$K$28*E359-skemA7!$K$22))</f>
        <v>3.3051518481903606</v>
      </c>
      <c r="M359" s="408">
        <f>skemA7!$L$21*COS(RADIANS(skemA7!$L$28*E359-skemA7!$L$22))</f>
        <v>-4.7697416690970789</v>
      </c>
      <c r="N359" s="408">
        <f>skemA7!$M$21*COS(RADIANS(skemA7!$M$28*E359-skemA7!$M$22))</f>
        <v>-0.64561400609996344</v>
      </c>
      <c r="O359" s="409">
        <f>skemA7!$D$21+'Forcasting Pasut'!F359+'Forcasting Pasut'!G359+K359+L359+'Forcasting Pasut'!H359+'Forcasting Pasut'!I359+'Forcasting Pasut'!J359+'Forcasting Pasut'!M359+'Forcasting Pasut'!N359</f>
        <v>96.979985758538788</v>
      </c>
      <c r="P359" s="405"/>
      <c r="Q359" s="406">
        <f>V354</f>
        <v>200</v>
      </c>
      <c r="R359" s="406"/>
      <c r="S359" s="406"/>
      <c r="T359" s="406"/>
      <c r="U359" s="406"/>
      <c r="V359" s="406"/>
      <c r="W359" s="406"/>
      <c r="X359" s="406"/>
      <c r="Y359" s="406"/>
      <c r="Z359" s="406"/>
      <c r="AA359" s="406"/>
      <c r="AB359" s="406"/>
      <c r="AC359" s="406"/>
      <c r="AD359" s="406"/>
      <c r="AE359" s="406"/>
      <c r="AF359" s="406"/>
      <c r="AG359" s="406"/>
      <c r="AH359" s="406"/>
      <c r="AI359" s="406"/>
      <c r="AJ359" s="406"/>
      <c r="AK359" s="406"/>
      <c r="AL359" s="406"/>
      <c r="AM359" s="406"/>
      <c r="AN359" s="406"/>
      <c r="AO359" s="407"/>
      <c r="AP359" s="407"/>
    </row>
    <row r="360" spans="1:42">
      <c r="A360" s="402"/>
      <c r="B360" s="77"/>
      <c r="D360" s="131"/>
      <c r="E360" s="113">
        <f t="shared" si="5"/>
        <v>342</v>
      </c>
      <c r="F360" s="408">
        <f>skemA7!$E$21*COS(RADIANS(skemA7!$E$28*E360-skemA7!$E$22))</f>
        <v>-14.410035124072184</v>
      </c>
      <c r="G360" s="408">
        <f>skemA7!$F$21*COS(RADIANS(skemA7!$F$28*E360-skemA7!$F$22))</f>
        <v>-17.131329356559064</v>
      </c>
      <c r="H360" s="408">
        <f>skemA7!$G$21*COS(RADIANS(skemA7!$G$28*E360-skemA7!$G$22))</f>
        <v>-17.436244790315154</v>
      </c>
      <c r="I360" s="408">
        <f>skemA7!$H$21*COS(RADIANS(skemA7!$H$28*E360-skemA7!$H$22))</f>
        <v>22.920285001550706</v>
      </c>
      <c r="J360" s="408">
        <f>skemA7!$I$21*COS(RADIANS(skemA7!$I$28*E360-skemA7!$I$22))</f>
        <v>-26.407793952086408</v>
      </c>
      <c r="K360" s="408">
        <f>skemA7!$J$21*COS(RADIANS(skemA7!$J$28*E360-skemA7!$J$22))</f>
        <v>-0.37147616985860588</v>
      </c>
      <c r="L360" s="408">
        <f>skemA7!$K$21*COS(RADIANS(skemA7!$K$28*E360-skemA7!$K$22))</f>
        <v>1.7737040097269683</v>
      </c>
      <c r="M360" s="408">
        <f>skemA7!$L$21*COS(RADIANS(skemA7!$L$28*E360-skemA7!$L$22))</f>
        <v>-2.1362071426002234</v>
      </c>
      <c r="N360" s="408">
        <f>skemA7!$M$21*COS(RADIANS(skemA7!$M$28*E360-skemA7!$M$22))</f>
        <v>2.4175598698041116</v>
      </c>
      <c r="O360" s="409">
        <f>skemA7!$D$21+'Forcasting Pasut'!F360+'Forcasting Pasut'!G360+K360+L360+'Forcasting Pasut'!H360+'Forcasting Pasut'!I360+'Forcasting Pasut'!J360+'Forcasting Pasut'!M360+'Forcasting Pasut'!N360</f>
        <v>115.38678131110738</v>
      </c>
      <c r="P360" s="405"/>
      <c r="Q360" s="406">
        <f>W354</f>
        <v>191.3</v>
      </c>
      <c r="R360" s="406"/>
      <c r="S360" s="406"/>
      <c r="T360" s="406"/>
      <c r="U360" s="406"/>
      <c r="V360" s="406"/>
      <c r="W360" s="406"/>
      <c r="X360" s="406"/>
      <c r="Y360" s="406"/>
      <c r="Z360" s="406"/>
      <c r="AA360" s="406"/>
      <c r="AB360" s="406"/>
      <c r="AC360" s="406"/>
      <c r="AD360" s="406"/>
      <c r="AE360" s="406"/>
      <c r="AF360" s="406"/>
      <c r="AG360" s="406"/>
      <c r="AH360" s="406"/>
      <c r="AI360" s="406"/>
      <c r="AJ360" s="406"/>
      <c r="AK360" s="406"/>
      <c r="AL360" s="406"/>
      <c r="AM360" s="406"/>
      <c r="AN360" s="406"/>
      <c r="AO360" s="407"/>
      <c r="AP360" s="407"/>
    </row>
    <row r="361" spans="1:42">
      <c r="A361" s="402"/>
      <c r="B361" s="77"/>
      <c r="D361" s="131"/>
      <c r="E361" s="113">
        <f t="shared" si="5"/>
        <v>343</v>
      </c>
      <c r="F361" s="408">
        <f>skemA7!$E$21*COS(RADIANS(skemA7!$E$28*E361-skemA7!$E$22))</f>
        <v>-4.4375626364673337</v>
      </c>
      <c r="G361" s="408">
        <f>skemA7!$F$21*COS(RADIANS(skemA7!$F$28*E361-skemA7!$F$22))</f>
        <v>-7.1705119453433852</v>
      </c>
      <c r="H361" s="408">
        <f>skemA7!$G$21*COS(RADIANS(skemA7!$G$28*E361-skemA7!$G$22))</f>
        <v>-14.352867947348487</v>
      </c>
      <c r="I361" s="408">
        <f>skemA7!$H$21*COS(RADIANS(skemA7!$H$28*E361-skemA7!$H$22))</f>
        <v>29.257273673362782</v>
      </c>
      <c r="J361" s="408">
        <f>skemA7!$I$21*COS(RADIANS(skemA7!$I$28*E361-skemA7!$I$22))</f>
        <v>-27.47446216596855</v>
      </c>
      <c r="K361" s="408">
        <f>skemA7!$J$21*COS(RADIANS(skemA7!$J$28*E361-skemA7!$J$22))</f>
        <v>-1.6739161254621102</v>
      </c>
      <c r="L361" s="408">
        <f>skemA7!$K$21*COS(RADIANS(skemA7!$K$28*E361-skemA7!$K$22))</f>
        <v>-1.477252592367543</v>
      </c>
      <c r="M361" s="408">
        <f>skemA7!$L$21*COS(RADIANS(skemA7!$L$28*E361-skemA7!$L$22))</f>
        <v>1.0727834264034923</v>
      </c>
      <c r="N361" s="408">
        <f>skemA7!$M$21*COS(RADIANS(skemA7!$M$28*E361-skemA7!$M$22))</f>
        <v>5.3168753380929985</v>
      </c>
      <c r="O361" s="409">
        <f>skemA7!$D$21+'Forcasting Pasut'!F361+'Forcasting Pasut'!G361+K361+L361+'Forcasting Pasut'!H361+'Forcasting Pasut'!I361+'Forcasting Pasut'!J361+'Forcasting Pasut'!M361+'Forcasting Pasut'!N361</f>
        <v>145.2286779904191</v>
      </c>
      <c r="P361" s="405"/>
      <c r="Q361" s="406">
        <f>X354</f>
        <v>182</v>
      </c>
      <c r="R361" s="406"/>
      <c r="S361" s="406"/>
      <c r="T361" s="406"/>
      <c r="U361" s="406"/>
      <c r="V361" s="406"/>
      <c r="W361" s="406"/>
      <c r="X361" s="406"/>
      <c r="Y361" s="406"/>
      <c r="Z361" s="406"/>
      <c r="AA361" s="406"/>
      <c r="AB361" s="406"/>
      <c r="AC361" s="406"/>
      <c r="AD361" s="406"/>
      <c r="AE361" s="406"/>
      <c r="AF361" s="406"/>
      <c r="AG361" s="406"/>
      <c r="AH361" s="406"/>
      <c r="AI361" s="406"/>
      <c r="AJ361" s="406"/>
      <c r="AK361" s="406"/>
      <c r="AL361" s="406"/>
      <c r="AM361" s="406"/>
      <c r="AN361" s="406"/>
      <c r="AO361" s="407"/>
      <c r="AP361" s="407"/>
    </row>
    <row r="362" spans="1:42">
      <c r="A362" s="402"/>
      <c r="B362" s="77"/>
      <c r="D362" s="131"/>
      <c r="E362" s="113">
        <f t="shared" si="5"/>
        <v>344</v>
      </c>
      <c r="F362" s="408">
        <f>skemA7!$E$21*COS(RADIANS(skemA7!$E$28*E362-skemA7!$E$22))</f>
        <v>6.646474406325253</v>
      </c>
      <c r="G362" s="408">
        <f>skemA7!$F$21*COS(RADIANS(skemA7!$F$28*E362-skemA7!$F$22))</f>
        <v>4.7116383509442574</v>
      </c>
      <c r="H362" s="408">
        <f>skemA7!$G$21*COS(RADIANS(skemA7!$G$28*E362-skemA7!$G$22))</f>
        <v>-7.8051769779145399</v>
      </c>
      <c r="I362" s="408">
        <f>skemA7!$H$21*COS(RADIANS(skemA7!$H$28*E362-skemA7!$H$22))</f>
        <v>33.589575718927719</v>
      </c>
      <c r="J362" s="408">
        <f>skemA7!$I$21*COS(RADIANS(skemA7!$I$28*E362-skemA7!$I$22))</f>
        <v>-26.922110827985676</v>
      </c>
      <c r="K362" s="408">
        <f>skemA7!$J$21*COS(RADIANS(skemA7!$J$28*E362-skemA7!$J$22))</f>
        <v>-1.4041900218365484</v>
      </c>
      <c r="L362" s="408">
        <f>skemA7!$K$21*COS(RADIANS(skemA7!$K$28*E362-skemA7!$K$22))</f>
        <v>-3.2960938219181357</v>
      </c>
      <c r="M362" s="408">
        <f>skemA7!$L$21*COS(RADIANS(skemA7!$L$28*E362-skemA7!$L$22))</f>
        <v>3.992785304790865</v>
      </c>
      <c r="N362" s="408">
        <f>skemA7!$M$21*COS(RADIANS(skemA7!$M$28*E362-skemA7!$M$22))</f>
        <v>7.8558213539992225</v>
      </c>
      <c r="O362" s="409">
        <f>skemA7!$D$21+'Forcasting Pasut'!F362+'Forcasting Pasut'!G362+K362+L362+'Forcasting Pasut'!H362+'Forcasting Pasut'!I362+'Forcasting Pasut'!J362+'Forcasting Pasut'!M362+'Forcasting Pasut'!N362</f>
        <v>183.5370424508497</v>
      </c>
      <c r="P362" s="405"/>
      <c r="Q362" s="406">
        <f>Y354</f>
        <v>172.2</v>
      </c>
      <c r="R362" s="406"/>
      <c r="S362" s="406"/>
      <c r="T362" s="406"/>
      <c r="U362" s="406"/>
      <c r="V362" s="406"/>
      <c r="W362" s="406"/>
      <c r="X362" s="406"/>
      <c r="Y362" s="406"/>
      <c r="Z362" s="406"/>
      <c r="AA362" s="406"/>
      <c r="AB362" s="406"/>
      <c r="AC362" s="406"/>
      <c r="AD362" s="406"/>
      <c r="AE362" s="406"/>
      <c r="AF362" s="406"/>
      <c r="AG362" s="406"/>
      <c r="AH362" s="406"/>
      <c r="AI362" s="406"/>
      <c r="AJ362" s="406"/>
      <c r="AK362" s="406"/>
      <c r="AL362" s="406"/>
      <c r="AM362" s="406"/>
      <c r="AN362" s="406"/>
      <c r="AO362" s="407"/>
      <c r="AP362" s="407"/>
    </row>
    <row r="363" spans="1:42">
      <c r="A363" s="402"/>
      <c r="B363" s="77"/>
      <c r="D363" s="131"/>
      <c r="E363" s="113">
        <f t="shared" si="5"/>
        <v>345</v>
      </c>
      <c r="F363" s="408">
        <f>skemA7!$E$21*COS(RADIANS(skemA7!$E$28*E363-skemA7!$E$22))</f>
        <v>16.065636838375148</v>
      </c>
      <c r="G363" s="408">
        <f>skemA7!$F$21*COS(RADIANS(skemA7!$F$28*E363-skemA7!$F$22))</f>
        <v>15.331308956068931</v>
      </c>
      <c r="H363" s="408">
        <f>skemA7!$G$21*COS(RADIANS(skemA7!$G$28*E363-skemA7!$G$22))</f>
        <v>0.62642910614076208</v>
      </c>
      <c r="I363" s="408">
        <f>skemA7!$H$21*COS(RADIANS(skemA7!$H$28*E363-skemA7!$H$22))</f>
        <v>35.620345025083694</v>
      </c>
      <c r="J363" s="408">
        <f>skemA7!$I$21*COS(RADIANS(skemA7!$I$28*E363-skemA7!$I$22))</f>
        <v>-24.783288987152336</v>
      </c>
      <c r="K363" s="408">
        <f>skemA7!$J$21*COS(RADIANS(skemA7!$J$28*E363-skemA7!$J$22))</f>
        <v>0.18437151174816191</v>
      </c>
      <c r="L363" s="408">
        <f>skemA7!$K$21*COS(RADIANS(skemA7!$K$28*E363-skemA7!$K$22))</f>
        <v>-1.9195528560981849</v>
      </c>
      <c r="M363" s="408">
        <f>skemA7!$L$21*COS(RADIANS(skemA7!$L$28*E363-skemA7!$L$22))</f>
        <v>5.8372021501295972</v>
      </c>
      <c r="N363" s="408">
        <f>skemA7!$M$21*COS(RADIANS(skemA7!$M$28*E363-skemA7!$M$22))</f>
        <v>9.8623121477413029</v>
      </c>
      <c r="O363" s="409">
        <f>skemA7!$D$21+'Forcasting Pasut'!F363+'Forcasting Pasut'!G363+K363+L363+'Forcasting Pasut'!H363+'Forcasting Pasut'!I363+'Forcasting Pasut'!J363+'Forcasting Pasut'!M363+'Forcasting Pasut'!N363</f>
        <v>222.99308285755433</v>
      </c>
      <c r="P363" s="405"/>
      <c r="Q363" s="406">
        <f>Z354</f>
        <v>164.79999999999998</v>
      </c>
      <c r="R363" s="406"/>
      <c r="S363" s="406"/>
      <c r="T363" s="406"/>
      <c r="U363" s="406"/>
      <c r="V363" s="406"/>
      <c r="W363" s="406"/>
      <c r="X363" s="406"/>
      <c r="Y363" s="406"/>
      <c r="Z363" s="406"/>
      <c r="AA363" s="406"/>
      <c r="AB363" s="406"/>
      <c r="AC363" s="406"/>
      <c r="AD363" s="406"/>
      <c r="AE363" s="406"/>
      <c r="AF363" s="406"/>
      <c r="AG363" s="406"/>
      <c r="AH363" s="406"/>
      <c r="AI363" s="406"/>
      <c r="AJ363" s="406"/>
      <c r="AK363" s="406"/>
      <c r="AL363" s="406"/>
      <c r="AM363" s="406"/>
      <c r="AN363" s="406"/>
      <c r="AO363" s="407"/>
      <c r="AP363" s="407"/>
    </row>
    <row r="364" spans="1:42">
      <c r="A364" s="402"/>
      <c r="B364" s="77"/>
      <c r="D364" s="131"/>
      <c r="E364" s="113">
        <f t="shared" si="5"/>
        <v>346</v>
      </c>
      <c r="F364" s="408">
        <f>skemA7!$E$21*COS(RADIANS(skemA7!$E$28*E364-skemA7!$E$22))</f>
        <v>21.46051974379651</v>
      </c>
      <c r="G364" s="408">
        <f>skemA7!$F$21*COS(RADIANS(skemA7!$F$28*E364-skemA7!$F$22))</f>
        <v>21.842967707503274</v>
      </c>
      <c r="H364" s="408">
        <f>skemA7!$G$21*COS(RADIANS(skemA7!$G$28*E364-skemA7!$G$22))</f>
        <v>8.9068356383289924</v>
      </c>
      <c r="I364" s="408">
        <f>skemA7!$H$21*COS(RADIANS(skemA7!$H$28*E364-skemA7!$H$22))</f>
        <v>35.210434789757528</v>
      </c>
      <c r="J364" s="408">
        <f>skemA7!$I$21*COS(RADIANS(skemA7!$I$28*E364-skemA7!$I$22))</f>
        <v>-21.184033482965283</v>
      </c>
      <c r="K364" s="408">
        <f>skemA7!$J$21*COS(RADIANS(skemA7!$J$28*E364-skemA7!$J$22))</f>
        <v>1.5997686742810295</v>
      </c>
      <c r="L364" s="408">
        <f>skemA7!$K$21*COS(RADIANS(skemA7!$K$28*E364-skemA7!$K$22))</f>
        <v>1.3178893312407294</v>
      </c>
      <c r="M364" s="408">
        <f>skemA7!$L$21*COS(RADIANS(skemA7!$L$28*E364-skemA7!$L$22))</f>
        <v>6.109181013384231</v>
      </c>
      <c r="N364" s="408">
        <f>skemA7!$M$21*COS(RADIANS(skemA7!$M$28*E364-skemA7!$M$22))</f>
        <v>11.200350927487523</v>
      </c>
      <c r="O364" s="409">
        <f>skemA7!$D$21+'Forcasting Pasut'!F364+'Forcasting Pasut'!G364+K364+L364+'Forcasting Pasut'!H364+'Forcasting Pasut'!I364+'Forcasting Pasut'!J364+'Forcasting Pasut'!M364+'Forcasting Pasut'!N364</f>
        <v>252.63223330833185</v>
      </c>
      <c r="P364" s="405"/>
      <c r="Q364" s="406">
        <f>AA354</f>
        <v>160</v>
      </c>
      <c r="R364" s="406"/>
      <c r="S364" s="406"/>
      <c r="T364" s="406"/>
      <c r="U364" s="406"/>
      <c r="V364" s="406"/>
      <c r="W364" s="406"/>
      <c r="X364" s="406"/>
      <c r="Y364" s="406"/>
      <c r="Z364" s="406"/>
      <c r="AA364" s="406"/>
      <c r="AB364" s="406"/>
      <c r="AC364" s="406"/>
      <c r="AD364" s="406"/>
      <c r="AE364" s="406"/>
      <c r="AF364" s="406"/>
      <c r="AG364" s="406"/>
      <c r="AH364" s="406"/>
      <c r="AI364" s="406"/>
      <c r="AJ364" s="406"/>
      <c r="AK364" s="406"/>
      <c r="AL364" s="406"/>
      <c r="AM364" s="406"/>
      <c r="AN364" s="406"/>
      <c r="AO364" s="407"/>
      <c r="AP364" s="407"/>
    </row>
    <row r="365" spans="1:42">
      <c r="A365" s="402"/>
      <c r="B365" s="77"/>
      <c r="D365" s="131"/>
      <c r="E365" s="113">
        <f t="shared" si="5"/>
        <v>347</v>
      </c>
      <c r="F365" s="408">
        <f>skemA7!$E$21*COS(RADIANS(skemA7!$E$28*E365-skemA7!$E$22))</f>
        <v>21.479759523172852</v>
      </c>
      <c r="G365" s="408">
        <f>skemA7!$F$21*COS(RADIANS(skemA7!$F$28*E365-skemA7!$F$22))</f>
        <v>22.501820901412781</v>
      </c>
      <c r="H365" s="408">
        <f>skemA7!$G$21*COS(RADIANS(skemA7!$G$28*E365-skemA7!$G$22))</f>
        <v>15.037422591798441</v>
      </c>
      <c r="I365" s="408">
        <f>skemA7!$H$21*COS(RADIANS(skemA7!$H$28*E365-skemA7!$H$22))</f>
        <v>32.387931757322207</v>
      </c>
      <c r="J365" s="408">
        <f>skemA7!$I$21*COS(RADIANS(skemA7!$I$28*E365-skemA7!$I$22))</f>
        <v>-16.336441826132521</v>
      </c>
      <c r="K365" s="408">
        <f>skemA7!$J$21*COS(RADIANS(skemA7!$J$28*E365-skemA7!$J$22))</f>
        <v>1.5126401283481143</v>
      </c>
      <c r="L365" s="408">
        <f>skemA7!$K$21*COS(RADIANS(skemA7!$K$28*E365-skemA7!$K$22))</f>
        <v>3.2777100878691297</v>
      </c>
      <c r="M365" s="408">
        <f>skemA7!$L$21*COS(RADIANS(skemA7!$L$28*E365-skemA7!$L$22))</f>
        <v>4.735455647489065</v>
      </c>
      <c r="N365" s="408">
        <f>skemA7!$M$21*COS(RADIANS(skemA7!$M$28*E365-skemA7!$M$22))</f>
        <v>11.779247528119395</v>
      </c>
      <c r="O365" s="409">
        <f>skemA7!$D$21+'Forcasting Pasut'!F365+'Forcasting Pasut'!G365+K365+L365+'Forcasting Pasut'!H365+'Forcasting Pasut'!I365+'Forcasting Pasut'!J365+'Forcasting Pasut'!M365+'Forcasting Pasut'!N365</f>
        <v>262.54386530491666</v>
      </c>
      <c r="P365" s="405"/>
      <c r="Q365" s="406">
        <f>AB354</f>
        <v>158.1</v>
      </c>
      <c r="R365" s="406"/>
      <c r="S365" s="406"/>
      <c r="T365" s="406"/>
      <c r="U365" s="406"/>
      <c r="V365" s="406"/>
      <c r="W365" s="406"/>
      <c r="X365" s="406"/>
      <c r="Y365" s="406"/>
      <c r="Z365" s="406"/>
      <c r="AA365" s="406"/>
      <c r="AB365" s="406"/>
      <c r="AC365" s="406"/>
      <c r="AD365" s="406"/>
      <c r="AE365" s="406"/>
      <c r="AF365" s="406"/>
      <c r="AG365" s="406"/>
      <c r="AH365" s="406"/>
      <c r="AI365" s="406"/>
      <c r="AJ365" s="406"/>
      <c r="AK365" s="406"/>
      <c r="AL365" s="406"/>
      <c r="AM365" s="406"/>
      <c r="AN365" s="406"/>
      <c r="AO365" s="407"/>
      <c r="AP365" s="407"/>
    </row>
    <row r="366" spans="1:42">
      <c r="A366" s="402"/>
      <c r="B366" s="77"/>
      <c r="D366" s="131"/>
      <c r="E366" s="113">
        <f t="shared" si="5"/>
        <v>348</v>
      </c>
      <c r="F366" s="408">
        <f>skemA7!$E$21*COS(RADIANS(skemA7!$E$28*E366-skemA7!$E$22))</f>
        <v>16.1185368063773</v>
      </c>
      <c r="G366" s="408">
        <f>skemA7!$F$21*COS(RADIANS(skemA7!$F$28*E366-skemA7!$F$22))</f>
        <v>17.131329356558794</v>
      </c>
      <c r="H366" s="408">
        <f>skemA7!$G$21*COS(RADIANS(skemA7!$G$28*E366-skemA7!$G$22))</f>
        <v>17.538466258063295</v>
      </c>
      <c r="I366" s="408">
        <f>skemA7!$H$21*COS(RADIANS(skemA7!$H$28*E366-skemA7!$H$22))</f>
        <v>27.346231735768804</v>
      </c>
      <c r="J366" s="408">
        <f>skemA7!$I$21*COS(RADIANS(skemA7!$I$28*E366-skemA7!$I$22))</f>
        <v>-10.526173682143913</v>
      </c>
      <c r="K366" s="408">
        <f>skemA7!$J$21*COS(RADIANS(skemA7!$J$28*E366-skemA7!$J$22))</f>
        <v>4.8182552867490425E-3</v>
      </c>
      <c r="L366" s="408">
        <f>skemA7!$K$21*COS(RADIANS(skemA7!$K$28*E366-skemA7!$K$22))</f>
        <v>2.0599706710833794</v>
      </c>
      <c r="M366" s="408">
        <f>skemA7!$L$21*COS(RADIANS(skemA7!$L$28*E366-skemA7!$L$22))</f>
        <v>2.0860831254607253</v>
      </c>
      <c r="N366" s="408">
        <f>skemA7!$M$21*COS(RADIANS(skemA7!$M$28*E366-skemA7!$M$22))</f>
        <v>11.559765248061231</v>
      </c>
      <c r="O366" s="409">
        <f>skemA7!$D$21+'Forcasting Pasut'!F366+'Forcasting Pasut'!G366+K366+L366+'Forcasting Pasut'!H366+'Forcasting Pasut'!I366+'Forcasting Pasut'!J366+'Forcasting Pasut'!M366+'Forcasting Pasut'!N366</f>
        <v>249.48734674003364</v>
      </c>
      <c r="P366" s="405"/>
      <c r="Q366" s="406">
        <f>AC354</f>
        <v>160.80000000000001</v>
      </c>
      <c r="R366" s="406"/>
      <c r="S366" s="406"/>
      <c r="T366" s="406"/>
      <c r="U366" s="406"/>
      <c r="V366" s="406"/>
      <c r="W366" s="406"/>
      <c r="X366" s="406"/>
      <c r="Y366" s="406"/>
      <c r="Z366" s="406"/>
      <c r="AA366" s="406"/>
      <c r="AB366" s="406"/>
      <c r="AC366" s="406"/>
      <c r="AD366" s="406"/>
      <c r="AE366" s="406"/>
      <c r="AF366" s="406"/>
      <c r="AG366" s="406"/>
      <c r="AH366" s="406"/>
      <c r="AI366" s="406"/>
      <c r="AJ366" s="406"/>
      <c r="AK366" s="406"/>
      <c r="AL366" s="406"/>
      <c r="AM366" s="406"/>
      <c r="AN366" s="406"/>
      <c r="AO366" s="407"/>
      <c r="AP366" s="407"/>
    </row>
    <row r="367" spans="1:42">
      <c r="A367" s="402"/>
      <c r="B367" s="77"/>
      <c r="D367" s="131"/>
      <c r="E367" s="113">
        <f t="shared" si="5"/>
        <v>349</v>
      </c>
      <c r="F367" s="408">
        <f>skemA7!$E$21*COS(RADIANS(skemA7!$E$28*E367-skemA7!$E$22))</f>
        <v>6.7197836560436759</v>
      </c>
      <c r="G367" s="408">
        <f>skemA7!$F$21*COS(RADIANS(skemA7!$F$28*E367-skemA7!$F$22))</f>
        <v>7.1705119453436197</v>
      </c>
      <c r="H367" s="408">
        <f>skemA7!$G$21*COS(RADIANS(skemA7!$G$28*E367-skemA7!$G$22))</f>
        <v>15.806296281085022</v>
      </c>
      <c r="I367" s="408">
        <f>skemA7!$H$21*COS(RADIANS(skemA7!$H$28*E367-skemA7!$H$22))</f>
        <v>20.430788259817358</v>
      </c>
      <c r="J367" s="408">
        <f>skemA7!$I$21*COS(RADIANS(skemA7!$I$28*E367-skemA7!$I$22))</f>
        <v>-4.0956174722866816</v>
      </c>
      <c r="K367" s="408">
        <f>skemA7!$J$21*COS(RADIANS(skemA7!$J$28*E367-skemA7!$J$22))</f>
        <v>-1.5075289923206954</v>
      </c>
      <c r="L367" s="408">
        <f>skemA7!$K$21*COS(RADIANS(skemA7!$K$28*E367-skemA7!$K$22))</f>
        <v>-1.1547973380301928</v>
      </c>
      <c r="M367" s="408">
        <f>skemA7!$L$21*COS(RADIANS(skemA7!$L$28*E367-skemA7!$L$22))</f>
        <v>-1.1252429242835396</v>
      </c>
      <c r="N367" s="408">
        <f>skemA7!$M$21*COS(RADIANS(skemA7!$M$28*E367-skemA7!$M$22))</f>
        <v>10.556780251233118</v>
      </c>
      <c r="O367" s="409">
        <f>skemA7!$D$21+'Forcasting Pasut'!F367+'Forcasting Pasut'!G367+K367+L367+'Forcasting Pasut'!H367+'Forcasting Pasut'!I367+'Forcasting Pasut'!J367+'Forcasting Pasut'!M367+'Forcasting Pasut'!N367</f>
        <v>218.96929263211896</v>
      </c>
      <c r="P367" s="405"/>
      <c r="Q367" s="406">
        <f>AD354</f>
        <v>166.4</v>
      </c>
      <c r="R367" s="406"/>
      <c r="S367" s="406"/>
      <c r="T367" s="406"/>
      <c r="U367" s="406"/>
      <c r="V367" s="406"/>
      <c r="W367" s="406"/>
      <c r="X367" s="406"/>
      <c r="Y367" s="406"/>
      <c r="Z367" s="406"/>
      <c r="AA367" s="406"/>
      <c r="AB367" s="406"/>
      <c r="AC367" s="406"/>
      <c r="AD367" s="406"/>
      <c r="AE367" s="406"/>
      <c r="AF367" s="406"/>
      <c r="AG367" s="406"/>
      <c r="AH367" s="406"/>
      <c r="AI367" s="406"/>
      <c r="AJ367" s="406"/>
      <c r="AK367" s="406"/>
      <c r="AL367" s="406"/>
      <c r="AM367" s="406"/>
      <c r="AN367" s="406"/>
      <c r="AO367" s="407"/>
      <c r="AP367" s="407"/>
    </row>
    <row r="368" spans="1:42">
      <c r="A368" s="402"/>
      <c r="B368" s="77"/>
      <c r="D368" s="131"/>
      <c r="E368" s="113">
        <f t="shared" si="5"/>
        <v>350</v>
      </c>
      <c r="F368" s="408">
        <f>skemA7!$E$21*COS(RADIANS(skemA7!$E$28*E368-skemA7!$E$22))</f>
        <v>-4.3622073305755951</v>
      </c>
      <c r="G368" s="408">
        <f>skemA7!$F$21*COS(RADIANS(skemA7!$F$28*E368-skemA7!$F$22))</f>
        <v>-4.711638350944015</v>
      </c>
      <c r="H368" s="408">
        <f>skemA7!$G$21*COS(RADIANS(skemA7!$G$28*E368-skemA7!$G$22))</f>
        <v>10.259001989261961</v>
      </c>
      <c r="I368" s="408">
        <f>skemA7!$H$21*COS(RADIANS(skemA7!$H$28*E368-skemA7!$H$22))</f>
        <v>12.115442371720503</v>
      </c>
      <c r="J368" s="408">
        <f>skemA7!$I$21*COS(RADIANS(skemA7!$I$28*E368-skemA7!$I$22))</f>
        <v>2.5762859466455104</v>
      </c>
      <c r="K368" s="408">
        <f>skemA7!$J$21*COS(RADIANS(skemA7!$J$28*E368-skemA7!$J$22))</f>
        <v>-1.6039833651427173</v>
      </c>
      <c r="L368" s="408">
        <f>skemA7!$K$21*COS(RADIANS(skemA7!$K$28*E368-skemA7!$K$22))</f>
        <v>-3.2500526595298225</v>
      </c>
      <c r="M368" s="408">
        <f>skemA7!$L$21*COS(RADIANS(skemA7!$L$28*E368-skemA7!$L$22))</f>
        <v>-4.0334486318322318</v>
      </c>
      <c r="N368" s="408">
        <f>skemA7!$M$21*COS(RADIANS(skemA7!$M$28*E368-skemA7!$M$22))</f>
        <v>8.8382732840458438</v>
      </c>
      <c r="O368" s="409">
        <f>skemA7!$D$21+'Forcasting Pasut'!F368+'Forcasting Pasut'!G368+K368+L368+'Forcasting Pasut'!H368+'Forcasting Pasut'!I368+'Forcasting Pasut'!J368+'Forcasting Pasut'!M368+'Forcasting Pasut'!N368</f>
        <v>181.99599221916665</v>
      </c>
      <c r="P368" s="405"/>
      <c r="Q368" s="406">
        <f>AE354</f>
        <v>174.3</v>
      </c>
      <c r="R368" s="406"/>
      <c r="S368" s="406"/>
      <c r="T368" s="406"/>
      <c r="U368" s="406"/>
      <c r="V368" s="406"/>
      <c r="W368" s="406"/>
      <c r="X368" s="406"/>
      <c r="Y368" s="406"/>
      <c r="Z368" s="406"/>
      <c r="AA368" s="406"/>
      <c r="AB368" s="406"/>
      <c r="AC368" s="406"/>
      <c r="AD368" s="406"/>
      <c r="AE368" s="406"/>
      <c r="AF368" s="406"/>
      <c r="AG368" s="406"/>
      <c r="AH368" s="406"/>
      <c r="AI368" s="406"/>
      <c r="AJ368" s="406"/>
      <c r="AK368" s="406"/>
      <c r="AL368" s="406"/>
      <c r="AM368" s="406"/>
      <c r="AN368" s="406"/>
      <c r="AO368" s="407"/>
      <c r="AP368" s="407"/>
    </row>
    <row r="369" spans="1:42">
      <c r="A369" s="402"/>
      <c r="B369" s="77"/>
      <c r="D369" s="131"/>
      <c r="E369" s="113">
        <f t="shared" si="5"/>
        <v>351</v>
      </c>
      <c r="F369" s="408">
        <f>skemA7!$E$21*COS(RADIANS(skemA7!$E$28*E369-skemA7!$E$22))</f>
        <v>-14.351509503925486</v>
      </c>
      <c r="G369" s="408">
        <f>skemA7!$F$21*COS(RADIANS(skemA7!$F$28*E369-skemA7!$F$22))</f>
        <v>-15.331308956069234</v>
      </c>
      <c r="H369" s="408">
        <f>skemA7!$G$21*COS(RADIANS(skemA7!$G$28*E369-skemA7!$G$22))</f>
        <v>2.2355192697851347</v>
      </c>
      <c r="I369" s="408">
        <f>skemA7!$H$21*COS(RADIANS(skemA7!$H$28*E369-skemA7!$H$22))</f>
        <v>2.9699553855557013</v>
      </c>
      <c r="J369" s="408">
        <f>skemA7!$I$21*COS(RADIANS(skemA7!$I$28*E369-skemA7!$I$22))</f>
        <v>9.0963735704725064</v>
      </c>
      <c r="K369" s="408">
        <f>skemA7!$J$21*COS(RADIANS(skemA7!$J$28*E369-skemA7!$J$22))</f>
        <v>-0.19395353132690452</v>
      </c>
      <c r="L369" s="408">
        <f>skemA7!$K$21*COS(RADIANS(skemA7!$K$28*E369-skemA7!$K$22))</f>
        <v>-2.1945601675965558</v>
      </c>
      <c r="M369" s="408">
        <f>skemA7!$L$21*COS(RADIANS(skemA7!$L$28*E369-skemA7!$L$22))</f>
        <v>-5.8551153324461724</v>
      </c>
      <c r="N369" s="408">
        <f>skemA7!$M$21*COS(RADIANS(skemA7!$M$28*E369-skemA7!$M$22))</f>
        <v>6.5207220472728622</v>
      </c>
      <c r="O369" s="409">
        <f>skemA7!$D$21+'Forcasting Pasut'!F369+'Forcasting Pasut'!G369+K369+L369+'Forcasting Pasut'!H369+'Forcasting Pasut'!I369+'Forcasting Pasut'!J369+'Forcasting Pasut'!M369+'Forcasting Pasut'!N369</f>
        <v>149.0644417472391</v>
      </c>
      <c r="P369" s="405"/>
      <c r="Q369" s="406">
        <f>AF354</f>
        <v>178</v>
      </c>
      <c r="R369" s="406"/>
      <c r="S369" s="406"/>
      <c r="T369" s="406"/>
      <c r="U369" s="406"/>
      <c r="V369" s="406"/>
      <c r="W369" s="406"/>
      <c r="X369" s="406"/>
      <c r="Y369" s="406"/>
      <c r="Z369" s="406"/>
      <c r="AA369" s="406"/>
      <c r="AB369" s="406"/>
      <c r="AC369" s="406"/>
      <c r="AD369" s="406"/>
      <c r="AE369" s="406"/>
      <c r="AF369" s="406"/>
      <c r="AG369" s="406"/>
      <c r="AH369" s="406"/>
      <c r="AI369" s="406"/>
      <c r="AJ369" s="406"/>
      <c r="AK369" s="406"/>
      <c r="AL369" s="406"/>
      <c r="AM369" s="406"/>
      <c r="AN369" s="406"/>
      <c r="AO369" s="407"/>
      <c r="AP369" s="407"/>
    </row>
    <row r="370" spans="1:42">
      <c r="A370" s="402"/>
      <c r="B370" s="77"/>
      <c r="D370" s="131"/>
      <c r="E370" s="113">
        <f t="shared" si="5"/>
        <v>352</v>
      </c>
      <c r="F370" s="408">
        <f>skemA7!$E$21*COS(RADIANS(skemA7!$E$28*E370-skemA7!$E$22))</f>
        <v>-20.745903709799347</v>
      </c>
      <c r="G370" s="408">
        <f>skemA7!$F$21*COS(RADIANS(skemA7!$F$28*E370-skemA7!$F$22))</f>
        <v>-21.842967707503199</v>
      </c>
      <c r="H370" s="408">
        <f>skemA7!$G$21*COS(RADIANS(skemA7!$G$28*E370-skemA7!$G$22))</f>
        <v>-6.3275448779268411</v>
      </c>
      <c r="I370" s="408">
        <f>skemA7!$H$21*COS(RADIANS(skemA7!$H$28*E370-skemA7!$H$22))</f>
        <v>-6.37903073413852</v>
      </c>
      <c r="J370" s="408">
        <f>skemA7!$I$21*COS(RADIANS(skemA7!$I$28*E370-skemA7!$I$22))</f>
        <v>15.080428620751796</v>
      </c>
      <c r="K370" s="408">
        <f>skemA7!$J$21*COS(RADIANS(skemA7!$J$28*E370-skemA7!$J$22))</f>
        <v>1.3982402439084629</v>
      </c>
      <c r="L370" s="408">
        <f>skemA7!$K$21*COS(RADIANS(skemA7!$K$28*E370-skemA7!$K$22))</f>
        <v>0.98843805235217153</v>
      </c>
      <c r="M370" s="408">
        <f>skemA7!$L$21*COS(RADIANS(skemA7!$L$28*E370-skemA7!$L$22))</f>
        <v>-6.0995185596655297</v>
      </c>
      <c r="N370" s="408">
        <f>skemA7!$M$21*COS(RADIANS(skemA7!$M$28*E370-skemA7!$M$22))</f>
        <v>3.761206520593821</v>
      </c>
      <c r="O370" s="409">
        <f>skemA7!$D$21+'Forcasting Pasut'!F370+'Forcasting Pasut'!G370+K370+L370+'Forcasting Pasut'!H370+'Forcasting Pasut'!I370+'Forcasting Pasut'!J370+'Forcasting Pasut'!M370+'Forcasting Pasut'!N370</f>
        <v>126.00166681409006</v>
      </c>
      <c r="P370" s="405"/>
      <c r="Q370" s="406">
        <f>AG354</f>
        <v>171.8</v>
      </c>
      <c r="R370" s="406"/>
      <c r="S370" s="406"/>
      <c r="T370" s="406"/>
      <c r="U370" s="406"/>
      <c r="V370" s="406"/>
      <c r="W370" s="406"/>
      <c r="X370" s="406"/>
      <c r="Y370" s="406"/>
      <c r="Z370" s="406"/>
      <c r="AA370" s="406"/>
      <c r="AB370" s="406"/>
      <c r="AC370" s="406"/>
      <c r="AD370" s="406"/>
      <c r="AE370" s="406"/>
      <c r="AF370" s="406"/>
      <c r="AG370" s="406"/>
      <c r="AH370" s="406"/>
      <c r="AI370" s="406"/>
      <c r="AJ370" s="406"/>
      <c r="AK370" s="406"/>
      <c r="AL370" s="406"/>
      <c r="AM370" s="406"/>
      <c r="AN370" s="406"/>
      <c r="AO370" s="407"/>
      <c r="AP370" s="407"/>
    </row>
    <row r="371" spans="1:42">
      <c r="A371" s="402"/>
      <c r="B371" s="77"/>
      <c r="D371" s="131"/>
      <c r="E371" s="113">
        <f t="shared" si="5"/>
        <v>353</v>
      </c>
      <c r="F371" s="408">
        <f>skemA7!$E$21*COS(RADIANS(skemA7!$E$28*E371-skemA7!$E$22))</f>
        <v>-21.943658877915521</v>
      </c>
      <c r="G371" s="408">
        <f>skemA7!$F$21*COS(RADIANS(skemA7!$F$28*E371-skemA7!$F$22))</f>
        <v>-22.5018209014127</v>
      </c>
      <c r="H371" s="408">
        <f>skemA7!$G$21*COS(RADIANS(skemA7!$G$28*E371-skemA7!$G$22))</f>
        <v>-13.363346099032739</v>
      </c>
      <c r="I371" s="408">
        <f>skemA7!$H$21*COS(RADIANS(skemA7!$H$28*E371-skemA7!$H$22))</f>
        <v>-15.290930413588157</v>
      </c>
      <c r="J371" s="408">
        <f>skemA7!$I$21*COS(RADIANS(skemA7!$I$28*E371-skemA7!$I$22))</f>
        <v>20.175821733264591</v>
      </c>
      <c r="K371" s="408">
        <f>skemA7!$J$21*COS(RADIANS(skemA7!$J$28*E371-skemA7!$J$22))</f>
        <v>1.6771867060419661</v>
      </c>
      <c r="L371" s="408">
        <f>skemA7!$K$21*COS(RADIANS(skemA7!$K$28*E371-skemA7!$K$22))</f>
        <v>3.213199788645579</v>
      </c>
      <c r="M371" s="408">
        <f>skemA7!$L$21*COS(RADIANS(skemA7!$L$28*E371-skemA7!$L$22))</f>
        <v>-4.700820450154314</v>
      </c>
      <c r="N371" s="408">
        <f>skemA7!$M$21*COS(RADIANS(skemA7!$M$28*E371-skemA7!$M$22))</f>
        <v>0.74676232849845048</v>
      </c>
      <c r="O371" s="409">
        <f>skemA7!$D$21+'Forcasting Pasut'!F371+'Forcasting Pasut'!G371+K371+L371+'Forcasting Pasut'!H371+'Forcasting Pasut'!I371+'Forcasting Pasut'!J371+'Forcasting Pasut'!M371+'Forcasting Pasut'!N371</f>
        <v>114.18071277986442</v>
      </c>
      <c r="P371" s="405"/>
      <c r="Q371" s="406">
        <f>AH354</f>
        <v>161.69999999999999</v>
      </c>
      <c r="R371" s="406"/>
      <c r="S371" s="406"/>
      <c r="T371" s="406"/>
      <c r="U371" s="406"/>
      <c r="V371" s="406"/>
      <c r="W371" s="406"/>
      <c r="X371" s="406"/>
      <c r="Y371" s="406"/>
      <c r="Z371" s="406"/>
      <c r="AA371" s="406"/>
      <c r="AB371" s="406"/>
      <c r="AC371" s="406"/>
      <c r="AD371" s="406"/>
      <c r="AE371" s="406"/>
      <c r="AF371" s="406"/>
      <c r="AG371" s="406"/>
      <c r="AH371" s="406"/>
      <c r="AI371" s="406"/>
      <c r="AJ371" s="406"/>
      <c r="AK371" s="406"/>
      <c r="AL371" s="406"/>
      <c r="AM371" s="406"/>
      <c r="AN371" s="406"/>
      <c r="AO371" s="407"/>
      <c r="AP371" s="407"/>
    </row>
    <row r="372" spans="1:42">
      <c r="A372" s="402"/>
      <c r="B372" s="77"/>
      <c r="D372" s="131"/>
      <c r="E372" s="113">
        <f t="shared" si="5"/>
        <v>354</v>
      </c>
      <c r="F372" s="408">
        <f>skemA7!$E$21*COS(RADIANS(skemA7!$E$28*E372-skemA7!$E$22))</f>
        <v>-17.644749453765201</v>
      </c>
      <c r="G372" s="408">
        <f>skemA7!$F$21*COS(RADIANS(skemA7!$F$28*E372-skemA7!$F$22))</f>
        <v>-17.131329356558961</v>
      </c>
      <c r="H372" s="408">
        <f>skemA7!$G$21*COS(RADIANS(skemA7!$G$28*E372-skemA7!$G$22))</f>
        <v>-17.173671489274899</v>
      </c>
      <c r="I372" s="408">
        <f>skemA7!$H$21*COS(RADIANS(skemA7!$H$28*E372-skemA7!$H$22))</f>
        <v>-23.155106916736067</v>
      </c>
      <c r="J372" s="408">
        <f>skemA7!$I$21*COS(RADIANS(skemA7!$I$28*E372-skemA7!$I$22))</f>
        <v>24.082290758245868</v>
      </c>
      <c r="K372" s="408">
        <f>skemA7!$J$21*COS(RADIANS(skemA7!$J$28*E372-skemA7!$J$22))</f>
        <v>0.38089533270665954</v>
      </c>
      <c r="L372" s="408">
        <f>skemA7!$K$21*COS(RADIANS(skemA7!$K$28*E372-skemA7!$K$22))</f>
        <v>2.3229405487366761</v>
      </c>
      <c r="M372" s="408">
        <f>skemA7!$L$21*COS(RADIANS(skemA7!$L$28*E372-skemA7!$L$22))</f>
        <v>-2.0358052879409394</v>
      </c>
      <c r="N372" s="408">
        <f>skemA7!$M$21*COS(RADIANS(skemA7!$M$28*E372-skemA7!$M$22))</f>
        <v>-2.3182962403258767</v>
      </c>
      <c r="O372" s="409">
        <f>skemA7!$D$21+'Forcasting Pasut'!F372+'Forcasting Pasut'!G372+K372+L372+'Forcasting Pasut'!H372+'Forcasting Pasut'!I372+'Forcasting Pasut'!J372+'Forcasting Pasut'!M372+'Forcasting Pasut'!N372</f>
        <v>113.49548686060453</v>
      </c>
      <c r="P372" s="405"/>
      <c r="Q372" s="406">
        <f>AI354</f>
        <v>149.30000000000001</v>
      </c>
      <c r="R372" s="406"/>
      <c r="S372" s="406"/>
      <c r="T372" s="406"/>
      <c r="U372" s="406"/>
      <c r="V372" s="406"/>
      <c r="W372" s="406"/>
      <c r="X372" s="406"/>
      <c r="Y372" s="406"/>
      <c r="Z372" s="406"/>
      <c r="AA372" s="406"/>
      <c r="AB372" s="406"/>
      <c r="AC372" s="406"/>
      <c r="AD372" s="406"/>
      <c r="AE372" s="406"/>
      <c r="AF372" s="406"/>
      <c r="AG372" s="406"/>
      <c r="AH372" s="406"/>
      <c r="AI372" s="406"/>
      <c r="AJ372" s="406"/>
      <c r="AK372" s="406"/>
      <c r="AL372" s="406"/>
      <c r="AM372" s="406"/>
      <c r="AN372" s="406"/>
      <c r="AO372" s="407"/>
      <c r="AP372" s="407"/>
    </row>
    <row r="373" spans="1:42">
      <c r="A373" s="402"/>
      <c r="B373" s="77"/>
      <c r="D373" s="131"/>
      <c r="E373" s="113">
        <f t="shared" si="5"/>
        <v>355</v>
      </c>
      <c r="F373" s="408">
        <f>skemA7!$E$21*COS(RADIANS(skemA7!$E$28*E373-skemA7!$E$22))</f>
        <v>-8.9260087653072748</v>
      </c>
      <c r="G373" s="408">
        <f>skemA7!$F$21*COS(RADIANS(skemA7!$F$28*E373-skemA7!$F$22))</f>
        <v>-7.1705119453438559</v>
      </c>
      <c r="H373" s="408">
        <f>skemA7!$G$21*COS(RADIANS(skemA7!$G$28*E373-skemA7!$G$22))</f>
        <v>-16.838832793715138</v>
      </c>
      <c r="I373" s="408">
        <f>skemA7!$H$21*COS(RADIANS(skemA7!$H$28*E373-skemA7!$H$22))</f>
        <v>-29.432712720112391</v>
      </c>
      <c r="J373" s="408">
        <f>skemA7!$I$21*COS(RADIANS(skemA7!$I$28*E373-skemA7!$I$22))</f>
        <v>26.569634656927015</v>
      </c>
      <c r="K373" s="408">
        <f>skemA7!$J$21*COS(RADIANS(skemA7!$J$28*E373-skemA7!$J$22))</f>
        <v>-1.2731384060262789</v>
      </c>
      <c r="L373" s="408">
        <f>skemA7!$K$21*COS(RADIANS(skemA7!$K$28*E373-skemA7!$K$22))</f>
        <v>-0.81928215804273918</v>
      </c>
      <c r="M373" s="408">
        <f>skemA7!$L$21*COS(RADIANS(skemA7!$L$28*E373-skemA7!$L$22))</f>
        <v>1.1776194507364697</v>
      </c>
      <c r="N373" s="408">
        <f>skemA7!$M$21*COS(RADIANS(skemA7!$M$28*E373-skemA7!$M$22))</f>
        <v>-5.2262243343007215</v>
      </c>
      <c r="O373" s="409">
        <f>skemA7!$D$21+'Forcasting Pasut'!F373+'Forcasting Pasut'!G373+K373+L373+'Forcasting Pasut'!H373+'Forcasting Pasut'!I373+'Forcasting Pasut'!J373+'Forcasting Pasut'!M373+'Forcasting Pasut'!N373</f>
        <v>124.22886195033232</v>
      </c>
      <c r="P373" s="405"/>
      <c r="Q373" s="406">
        <f>AJ354</f>
        <v>136.80000000000001</v>
      </c>
      <c r="R373" s="406"/>
      <c r="S373" s="406"/>
      <c r="T373" s="406"/>
      <c r="U373" s="406"/>
      <c r="V373" s="406"/>
      <c r="W373" s="406"/>
      <c r="X373" s="406"/>
      <c r="Y373" s="406"/>
      <c r="Z373" s="406"/>
      <c r="AA373" s="406"/>
      <c r="AB373" s="406"/>
      <c r="AC373" s="406"/>
      <c r="AD373" s="406"/>
      <c r="AE373" s="406"/>
      <c r="AF373" s="406"/>
      <c r="AG373" s="406"/>
      <c r="AH373" s="406"/>
      <c r="AI373" s="406"/>
      <c r="AJ373" s="406"/>
      <c r="AK373" s="406"/>
      <c r="AL373" s="406"/>
      <c r="AM373" s="406"/>
      <c r="AN373" s="406"/>
      <c r="AO373" s="407"/>
      <c r="AP373" s="407"/>
    </row>
    <row r="374" spans="1:42">
      <c r="A374" s="402"/>
      <c r="B374" s="77"/>
      <c r="D374" s="131"/>
      <c r="E374" s="113">
        <f t="shared" si="5"/>
        <v>356</v>
      </c>
      <c r="F374" s="408">
        <f>skemA7!$E$21*COS(RADIANS(skemA7!$E$28*E374-skemA7!$E$22))</f>
        <v>2.0286068336879124</v>
      </c>
      <c r="G374" s="408">
        <f>skemA7!$F$21*COS(RADIANS(skemA7!$F$28*E374-skemA7!$F$22))</f>
        <v>4.711638350944412</v>
      </c>
      <c r="H374" s="408">
        <f>skemA7!$G$21*COS(RADIANS(skemA7!$G$28*E374-skemA7!$G$22))</f>
        <v>-12.439649150895752</v>
      </c>
      <c r="I374" s="408">
        <f>skemA7!$H$21*COS(RADIANS(skemA7!$H$28*E374-skemA7!$H$22))</f>
        <v>-33.693610944275569</v>
      </c>
      <c r="J374" s="408">
        <f>skemA7!$I$21*COS(RADIANS(skemA7!$I$28*E374-skemA7!$I$22))</f>
        <v>27.491278825596591</v>
      </c>
      <c r="K374" s="408">
        <f>skemA7!$J$21*COS(RADIANS(skemA7!$J$28*E374-skemA7!$J$22))</f>
        <v>-1.7314222740165983</v>
      </c>
      <c r="L374" s="408">
        <f>skemA7!$K$21*COS(RADIANS(skemA7!$K$28*E374-skemA7!$K$22))</f>
        <v>-3.1672557438214839</v>
      </c>
      <c r="M374" s="408">
        <f>skemA7!$L$21*COS(RADIANS(skemA7!$L$28*E374-skemA7!$L$22))</f>
        <v>4.0738145466576539</v>
      </c>
      <c r="N374" s="408">
        <f>skemA7!$M$21*COS(RADIANS(skemA7!$M$28*E374-skemA7!$M$22))</f>
        <v>-7.7799271584279026</v>
      </c>
      <c r="O374" s="409">
        <f>skemA7!$D$21+'Forcasting Pasut'!F374+'Forcasting Pasut'!G374+K374+L374+'Forcasting Pasut'!H374+'Forcasting Pasut'!I374+'Forcasting Pasut'!J374+'Forcasting Pasut'!M374+'Forcasting Pasut'!N374</f>
        <v>145.6617922509665</v>
      </c>
      <c r="P374" s="405"/>
      <c r="Q374" s="406">
        <f>AK354</f>
        <v>124.30000000000001</v>
      </c>
      <c r="R374" s="406"/>
      <c r="S374" s="406"/>
      <c r="T374" s="406"/>
      <c r="U374" s="406"/>
      <c r="V374" s="406"/>
      <c r="W374" s="406"/>
      <c r="X374" s="406"/>
      <c r="Y374" s="406"/>
      <c r="Z374" s="406"/>
      <c r="AA374" s="406"/>
      <c r="AB374" s="406"/>
      <c r="AC374" s="406"/>
      <c r="AD374" s="406"/>
      <c r="AE374" s="406"/>
      <c r="AF374" s="406"/>
      <c r="AG374" s="406"/>
      <c r="AH374" s="406"/>
      <c r="AI374" s="406"/>
      <c r="AJ374" s="406"/>
      <c r="AK374" s="406"/>
      <c r="AL374" s="406"/>
      <c r="AM374" s="406"/>
      <c r="AN374" s="406"/>
      <c r="AO374" s="407"/>
      <c r="AP374" s="407"/>
    </row>
    <row r="375" spans="1:42">
      <c r="A375" s="402"/>
      <c r="B375" s="77"/>
      <c r="D375" s="131"/>
      <c r="E375" s="113">
        <f t="shared" si="5"/>
        <v>357</v>
      </c>
      <c r="F375" s="408">
        <f>skemA7!$E$21*COS(RADIANS(skemA7!$E$28*E375-skemA7!$E$22))</f>
        <v>12.475076939882758</v>
      </c>
      <c r="G375" s="408">
        <f>skemA7!$F$21*COS(RADIANS(skemA7!$F$28*E375-skemA7!$F$22))</f>
        <v>15.331308956069051</v>
      </c>
      <c r="H375" s="408">
        <f>skemA7!$G$21*COS(RADIANS(skemA7!$G$28*E375-skemA7!$G$22))</f>
        <v>-5.0379399891464152</v>
      </c>
      <c r="I375" s="408">
        <f>skemA7!$H$21*COS(RADIANS(skemA7!$H$28*E375-skemA7!$H$22))</f>
        <v>-35.645848012785621</v>
      </c>
      <c r="J375" s="408">
        <f>skemA7!$I$21*COS(RADIANS(skemA7!$I$28*E375-skemA7!$I$22))</f>
        <v>26.792912467561582</v>
      </c>
      <c r="K375" s="408">
        <f>skemA7!$J$21*COS(RADIANS(skemA7!$J$28*E375-skemA7!$J$22))</f>
        <v>-0.56352948237857914</v>
      </c>
      <c r="L375" s="408">
        <f>skemA7!$K$21*COS(RADIANS(skemA7!$K$28*E375-skemA7!$K$22))</f>
        <v>-2.4447485851829556</v>
      </c>
      <c r="M375" s="408">
        <f>skemA7!$L$21*COS(RADIANS(skemA7!$L$28*E375-skemA7!$L$22))</f>
        <v>5.8725967792968961</v>
      </c>
      <c r="N375" s="408">
        <f>skemA7!$M$21*COS(RADIANS(skemA7!$M$28*E375-skemA7!$M$22))</f>
        <v>-9.8063187496628785</v>
      </c>
      <c r="O375" s="409">
        <f>skemA7!$D$21+'Forcasting Pasut'!F375+'Forcasting Pasut'!G375+K375+L375+'Forcasting Pasut'!H375+'Forcasting Pasut'!I375+'Forcasting Pasut'!J375+'Forcasting Pasut'!M375+'Forcasting Pasut'!N375</f>
        <v>173.14182928917108</v>
      </c>
      <c r="P375" s="405"/>
      <c r="Q375" s="406">
        <f>AL354</f>
        <v>119.8</v>
      </c>
      <c r="R375" s="406"/>
      <c r="S375" s="406"/>
      <c r="T375" s="406"/>
      <c r="U375" s="406"/>
      <c r="V375" s="406"/>
      <c r="W375" s="406"/>
      <c r="X375" s="406"/>
      <c r="Y375" s="406"/>
      <c r="Z375" s="406"/>
      <c r="AA375" s="406"/>
      <c r="AB375" s="406"/>
      <c r="AC375" s="406"/>
      <c r="AD375" s="406"/>
      <c r="AE375" s="406"/>
      <c r="AF375" s="406"/>
      <c r="AG375" s="406"/>
      <c r="AH375" s="406"/>
      <c r="AI375" s="406"/>
      <c r="AJ375" s="406"/>
      <c r="AK375" s="406"/>
      <c r="AL375" s="406"/>
      <c r="AM375" s="406"/>
      <c r="AN375" s="406"/>
      <c r="AO375" s="407"/>
      <c r="AP375" s="407"/>
    </row>
    <row r="376" spans="1:42">
      <c r="A376" s="402"/>
      <c r="B376" s="77"/>
      <c r="D376" s="131"/>
      <c r="E376" s="113">
        <f t="shared" si="5"/>
        <v>358</v>
      </c>
      <c r="F376" s="408">
        <f>skemA7!$E$21*COS(RADIANS(skemA7!$E$28*E376-skemA7!$E$22))</f>
        <v>19.796666456074838</v>
      </c>
      <c r="G376" s="408">
        <f>skemA7!$F$21*COS(RADIANS(skemA7!$F$28*E376-skemA7!$F$22))</f>
        <v>21.842967707503323</v>
      </c>
      <c r="H376" s="408">
        <f>skemA7!$G$21*COS(RADIANS(skemA7!$G$28*E376-skemA7!$G$22))</f>
        <v>3.5797635464603705</v>
      </c>
      <c r="I376" s="408">
        <f>skemA7!$H$21*COS(RADIANS(skemA7!$H$28*E376-skemA7!$H$22))</f>
        <v>-35.155658094069146</v>
      </c>
      <c r="J376" s="408">
        <f>skemA7!$I$21*COS(RADIANS(skemA7!$I$28*E376-skemA7!$I$22))</f>
        <v>24.515689028563539</v>
      </c>
      <c r="K376" s="408">
        <f>skemA7!$J$21*COS(RADIANS(skemA7!$J$28*E376-skemA7!$J$22))</f>
        <v>1.1336382903017621</v>
      </c>
      <c r="L376" s="408">
        <f>skemA7!$K$21*COS(RADIANS(skemA7!$K$28*E376-skemA7!$K$22))</f>
        <v>0.6478082514423168</v>
      </c>
      <c r="M376" s="408">
        <f>skemA7!$L$21*COS(RADIANS(skemA7!$L$28*E376-skemA7!$L$22))</f>
        <v>6.0894063490525747</v>
      </c>
      <c r="N376" s="408">
        <f>skemA7!$M$21*COS(RADIANS(skemA7!$M$28*E376-skemA7!$M$22))</f>
        <v>-11.168053471402592</v>
      </c>
      <c r="O376" s="409">
        <f>skemA7!$D$21+'Forcasting Pasut'!F376+'Forcasting Pasut'!G376+K376+L376+'Forcasting Pasut'!H376+'Forcasting Pasut'!I376+'Forcasting Pasut'!J376+'Forcasting Pasut'!M376+'Forcasting Pasut'!N376</f>
        <v>197.45054702944427</v>
      </c>
      <c r="P376" s="405"/>
      <c r="Q376" s="406">
        <f>AM354</f>
        <v>123.8</v>
      </c>
      <c r="R376" s="406"/>
      <c r="S376" s="406"/>
      <c r="T376" s="406"/>
      <c r="U376" s="406"/>
      <c r="V376" s="406"/>
      <c r="W376" s="406"/>
      <c r="X376" s="406"/>
      <c r="Y376" s="406"/>
      <c r="Z376" s="406"/>
      <c r="AA376" s="406"/>
      <c r="AB376" s="406"/>
      <c r="AC376" s="406"/>
      <c r="AD376" s="406"/>
      <c r="AE376" s="406"/>
      <c r="AF376" s="406"/>
      <c r="AG376" s="406"/>
      <c r="AH376" s="406"/>
      <c r="AI376" s="406"/>
      <c r="AJ376" s="406"/>
      <c r="AK376" s="406"/>
      <c r="AL376" s="406"/>
      <c r="AM376" s="406"/>
      <c r="AN376" s="406"/>
      <c r="AO376" s="407"/>
      <c r="AP376" s="407"/>
    </row>
    <row r="377" spans="1:42">
      <c r="A377" s="411"/>
      <c r="B377" s="412"/>
      <c r="C377" s="413"/>
      <c r="D377" s="122"/>
      <c r="E377" s="414">
        <f t="shared" si="5"/>
        <v>359</v>
      </c>
      <c r="F377" s="415">
        <f>skemA7!$E$21*COS(RADIANS(skemA7!$E$28*E377-skemA7!$E$22))</f>
        <v>22.15939126518154</v>
      </c>
      <c r="G377" s="415">
        <f>skemA7!$F$21*COS(RADIANS(skemA7!$F$28*E377-skemA7!$F$22))</f>
        <v>22.501820901412749</v>
      </c>
      <c r="H377" s="415">
        <f>skemA7!$G$21*COS(RADIANS(skemA7!$G$28*E377-skemA7!$G$22))</f>
        <v>11.333428935203203</v>
      </c>
      <c r="I377" s="415">
        <f>skemA7!$H$21*COS(RADIANS(skemA7!$H$28*E377-skemA7!$H$22))</f>
        <v>-32.256628636680965</v>
      </c>
      <c r="J377" s="415">
        <f>skemA7!$I$21*COS(RADIANS(skemA7!$I$28*E377-skemA7!$I$22))</f>
        <v>20.793801099868919</v>
      </c>
      <c r="K377" s="415">
        <f>skemA7!$J$21*COS(RADIANS(skemA7!$J$28*E377-skemA7!$J$22))</f>
        <v>1.7660767038795291</v>
      </c>
      <c r="L377" s="415">
        <f>skemA7!$K$21*COS(RADIANS(skemA7!$K$28*E377-skemA7!$K$22))</f>
        <v>3.112350515512551</v>
      </c>
      <c r="M377" s="415">
        <f>skemA7!$L$21*COS(RADIANS(skemA7!$L$28*E377-skemA7!$L$22))</f>
        <v>4.665838630969942</v>
      </c>
      <c r="N377" s="415">
        <f>skemA7!$M$21*COS(RADIANS(skemA7!$M$28*E377-skemA7!$M$22))</f>
        <v>-11.772835084830664</v>
      </c>
      <c r="O377" s="416">
        <f>skemA7!$D$21+'Forcasting Pasut'!F377+'Forcasting Pasut'!G377+K377+L377+'Forcasting Pasut'!H377+'Forcasting Pasut'!I377+'Forcasting Pasut'!J377+'Forcasting Pasut'!M377+'Forcasting Pasut'!N377</f>
        <v>208.47156329603405</v>
      </c>
      <c r="P377" s="405"/>
      <c r="Q377" s="406">
        <f>AN354</f>
        <v>138.79999999999998</v>
      </c>
      <c r="R377" s="406"/>
      <c r="S377" s="406"/>
      <c r="T377" s="406"/>
      <c r="U377" s="406"/>
      <c r="V377" s="406"/>
      <c r="W377" s="406"/>
      <c r="X377" s="406"/>
      <c r="Y377" s="406"/>
      <c r="Z377" s="406"/>
      <c r="AA377" s="406"/>
      <c r="AB377" s="406"/>
      <c r="AC377" s="406"/>
      <c r="AD377" s="406"/>
      <c r="AE377" s="406"/>
      <c r="AF377" s="406"/>
      <c r="AG377" s="406"/>
      <c r="AH377" s="406"/>
      <c r="AI377" s="406"/>
      <c r="AJ377" s="406"/>
      <c r="AK377" s="406"/>
      <c r="AL377" s="406"/>
      <c r="AM377" s="406"/>
      <c r="AN377" s="406"/>
      <c r="AO377" s="407"/>
      <c r="AP377" s="407"/>
    </row>
    <row r="378" spans="1:42"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  <c r="AA378" s="406"/>
      <c r="AB378" s="406"/>
      <c r="AC378" s="406"/>
      <c r="AD378" s="406"/>
      <c r="AE378" s="406"/>
      <c r="AF378" s="406"/>
      <c r="AG378" s="406"/>
      <c r="AH378" s="406"/>
      <c r="AI378" s="406"/>
      <c r="AJ378" s="406"/>
      <c r="AK378" s="406"/>
      <c r="AL378" s="406"/>
      <c r="AM378" s="406"/>
      <c r="AN378" s="406"/>
      <c r="AO378" s="407"/>
      <c r="AP378" s="407"/>
    </row>
    <row r="379" spans="1:42">
      <c r="P379" s="134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  <c r="AA379" s="406"/>
      <c r="AB379" s="406"/>
      <c r="AC379" s="406"/>
      <c r="AD379" s="406"/>
      <c r="AE379" s="406"/>
      <c r="AF379" s="406"/>
      <c r="AG379" s="406"/>
      <c r="AH379" s="406"/>
      <c r="AI379" s="406"/>
      <c r="AJ379" s="406"/>
      <c r="AK379" s="406"/>
      <c r="AL379" s="406"/>
      <c r="AM379" s="406"/>
      <c r="AN379" s="406"/>
      <c r="AO379" s="232"/>
      <c r="AP379" s="232"/>
    </row>
    <row r="380" spans="1:42">
      <c r="A380" s="1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</row>
    <row r="381" spans="1:42">
      <c r="A381" s="1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</row>
    <row r="382" spans="1:42">
      <c r="A382" s="1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</row>
  </sheetData>
  <sheetProtection password="CC31" sheet="1" objects="1" scenarios="1" formatCells="0" formatColumns="0" formatRows="0" insertColumns="0" insertRows="0" insertHyperlinks="0" deleteColumns="0" deleteRows="0" autoFilter="0" pivotTables="0"/>
  <mergeCells count="11">
    <mergeCell ref="AO16:AO17"/>
    <mergeCell ref="K11:O12"/>
    <mergeCell ref="F11:F12"/>
    <mergeCell ref="G11:G12"/>
    <mergeCell ref="I11:I12"/>
    <mergeCell ref="J11:J12"/>
    <mergeCell ref="A16:A17"/>
    <mergeCell ref="B16:D17"/>
    <mergeCell ref="E16:E17"/>
    <mergeCell ref="F16:O16"/>
    <mergeCell ref="Q16:AN16"/>
  </mergeCells>
  <phoneticPr fontId="26" type="noConversion"/>
  <pageMargins left="0.74791666666666667" right="0.74791666666666667" top="0.72013888888888888" bottom="0.6" header="0.51180555555555551" footer="0.51180555555555551"/>
  <pageSetup scale="69" firstPageNumber="0" orientation="portrait" horizontalDpi="300" verticalDpi="300"/>
  <headerFooter alignWithMargins="0"/>
  <rowBreaks count="5" manualBreakCount="5">
    <brk id="65" max="16383" man="1"/>
    <brk id="137" max="16383" man="1"/>
    <brk id="209" max="16383" man="1"/>
    <brk id="281" max="16383" man="1"/>
    <brk id="353" max="16383" man="1"/>
  </rowBrea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O35"/>
  <sheetViews>
    <sheetView showGridLines="0" zoomScaleSheetLayoutView="85" workbookViewId="0">
      <pane ySplit="4" topLeftCell="A5" activePane="bottomLeft" state="frozen"/>
      <selection pane="bottomLeft" activeCell="H21" sqref="H21"/>
    </sheetView>
  </sheetViews>
  <sheetFormatPr defaultColWidth="9.140625" defaultRowHeight="14.25"/>
  <cols>
    <col min="1" max="1" width="2.85546875" style="1" customWidth="1"/>
    <col min="2" max="2" width="10.140625" style="1" customWidth="1"/>
    <col min="3" max="3" width="9.140625" style="1" customWidth="1"/>
    <col min="4" max="4" width="10.5703125" style="1" customWidth="1"/>
    <col min="5" max="5" width="10" style="1" customWidth="1"/>
    <col min="6" max="6" width="10.5703125" style="1" customWidth="1"/>
    <col min="7" max="7" width="9.7109375" style="1" customWidth="1"/>
    <col min="8" max="8" width="10.7109375" style="1" customWidth="1"/>
    <col min="9" max="9" width="8.7109375" style="1" customWidth="1"/>
    <col min="10" max="10" width="9" style="1" customWidth="1"/>
    <col min="11" max="11" width="8.7109375" style="1" customWidth="1"/>
    <col min="12" max="12" width="5.7109375" style="1" customWidth="1"/>
    <col min="13" max="13" width="5.28515625" style="1" customWidth="1"/>
    <col min="14" max="16384" width="9.140625" style="1"/>
  </cols>
  <sheetData>
    <row r="2" spans="2:13" ht="15">
      <c r="B2" s="52" t="s">
        <v>552</v>
      </c>
      <c r="C2" s="52" t="s">
        <v>321</v>
      </c>
    </row>
    <row r="3" spans="2:13" ht="17.25">
      <c r="B3" s="52"/>
      <c r="C3" s="114" t="s">
        <v>322</v>
      </c>
    </row>
    <row r="4" spans="2:13" s="45" customFormat="1" ht="18" customHeight="1">
      <c r="B4" s="706" t="s">
        <v>323</v>
      </c>
      <c r="C4" s="706"/>
      <c r="D4" s="612" t="s">
        <v>639</v>
      </c>
      <c r="E4" s="612" t="s">
        <v>538</v>
      </c>
      <c r="F4" s="612" t="s">
        <v>640</v>
      </c>
      <c r="G4" s="612" t="s">
        <v>641</v>
      </c>
      <c r="H4" s="612" t="s">
        <v>539</v>
      </c>
      <c r="I4" s="612" t="s">
        <v>540</v>
      </c>
      <c r="J4" s="612" t="s">
        <v>642</v>
      </c>
      <c r="K4" s="612" t="s">
        <v>643</v>
      </c>
      <c r="L4" s="612" t="s">
        <v>541</v>
      </c>
      <c r="M4" s="612" t="s">
        <v>644</v>
      </c>
    </row>
    <row r="5" spans="2:13" s="45" customFormat="1" ht="18" customHeight="1">
      <c r="B5" s="586" t="s">
        <v>326</v>
      </c>
      <c r="C5" s="584"/>
      <c r="D5" s="581">
        <f>'skemA5&amp;6'!D26</f>
        <v>115653.15</v>
      </c>
      <c r="E5" s="579">
        <f>'skemA5&amp;6'!E26</f>
        <v>825.84700000000225</v>
      </c>
      <c r="F5" s="579">
        <f>'skemA5&amp;6'!F26</f>
        <v>-10123.250250000005</v>
      </c>
      <c r="G5" s="579">
        <f>'skemA5&amp;6'!G26</f>
        <v>-7564.500799999998</v>
      </c>
      <c r="H5" s="579">
        <f>'skemA5&amp;6'!H26</f>
        <v>4916.4003000000012</v>
      </c>
      <c r="I5" s="579">
        <f>'skemA5&amp;6'!I26</f>
        <v>-4897.5843000000004</v>
      </c>
      <c r="J5" s="579">
        <f>'skemA5&amp;6'!J26</f>
        <v>262.10000000000127</v>
      </c>
      <c r="K5" s="579">
        <f>'skemA5&amp;6'!K26</f>
        <v>69.35775000000109</v>
      </c>
      <c r="L5" s="579"/>
      <c r="M5" s="581"/>
    </row>
    <row r="6" spans="2:13" s="45" customFormat="1" ht="18" customHeight="1">
      <c r="B6" s="642" t="s">
        <v>327</v>
      </c>
      <c r="C6" s="643"/>
      <c r="D6" s="644">
        <f>'skemA5&amp;6'!D27</f>
        <v>0</v>
      </c>
      <c r="E6" s="645">
        <f>'skemA5&amp;6'!E27</f>
        <v>12130.568499999999</v>
      </c>
      <c r="F6" s="645">
        <f>'skemA5&amp;6'!F27</f>
        <v>-7071.3912500000006</v>
      </c>
      <c r="G6" s="645">
        <f>'skemA5&amp;6'!G27</f>
        <v>4695.6785000000009</v>
      </c>
      <c r="H6" s="645">
        <f>'skemA5&amp;6'!H27</f>
        <v>-19300.009000000005</v>
      </c>
      <c r="I6" s="645">
        <f>'skemA5&amp;6'!I27</f>
        <v>805.79724999999848</v>
      </c>
      <c r="J6" s="645">
        <f>'skemA5&amp;6'!J27</f>
        <v>456.15549999999899</v>
      </c>
      <c r="K6" s="645">
        <f>'skemA5&amp;6'!K27</f>
        <v>1234.423250000001</v>
      </c>
      <c r="L6" s="645"/>
      <c r="M6" s="644"/>
    </row>
    <row r="7" spans="2:13" s="45" customFormat="1" ht="18" customHeight="1">
      <c r="B7" s="587" t="s">
        <v>328</v>
      </c>
      <c r="C7" s="585"/>
      <c r="D7" s="583">
        <f>((D5^2)+(D6^2))^0.5</f>
        <v>115653.15</v>
      </c>
      <c r="E7" s="580">
        <f>((E5^2)+(E6^2))^0.5</f>
        <v>12158.647762008784</v>
      </c>
      <c r="F7" s="580">
        <f t="shared" ref="F7:K7" si="0">((F5^2)+(F6^2))^0.5</f>
        <v>12348.472368463305</v>
      </c>
      <c r="G7" s="580">
        <f>((G5^2)+(G6^2))^0.5</f>
        <v>8903.4301776653956</v>
      </c>
      <c r="H7" s="580">
        <f t="shared" si="0"/>
        <v>19916.358585592934</v>
      </c>
      <c r="I7" s="580">
        <f t="shared" si="0"/>
        <v>4963.4303846950506</v>
      </c>
      <c r="J7" s="580">
        <f t="shared" si="0"/>
        <v>526.09338541769341</v>
      </c>
      <c r="K7" s="580">
        <f t="shared" si="0"/>
        <v>1236.3701944100835</v>
      </c>
      <c r="L7" s="580"/>
      <c r="M7" s="583"/>
    </row>
    <row r="8" spans="2:13" s="45" customFormat="1" ht="18" customHeight="1">
      <c r="B8" s="642" t="s">
        <v>329</v>
      </c>
      <c r="C8" s="643"/>
      <c r="D8" s="644">
        <f>'Tabel 30'!D21</f>
        <v>696</v>
      </c>
      <c r="E8" s="645">
        <f>'Tabel 30'!E21</f>
        <v>333</v>
      </c>
      <c r="F8" s="645">
        <f>'Tabel 30'!F21</f>
        <v>345</v>
      </c>
      <c r="G8" s="645">
        <f>'Tabel 30'!G21</f>
        <v>327</v>
      </c>
      <c r="H8" s="645">
        <f>'Tabel 30'!H21</f>
        <v>173</v>
      </c>
      <c r="I8" s="645">
        <f>'Tabel 30'!I21</f>
        <v>160</v>
      </c>
      <c r="J8" s="645">
        <f>'Tabel 30'!J21</f>
        <v>307</v>
      </c>
      <c r="K8" s="645">
        <f>'Tabel 30'!K21</f>
        <v>318</v>
      </c>
      <c r="L8" s="645">
        <f>'Tabel 30'!L21</f>
        <v>0</v>
      </c>
      <c r="M8" s="644">
        <f>'Tabel 30'!M21</f>
        <v>0</v>
      </c>
    </row>
    <row r="9" spans="2:13" s="45" customFormat="1" ht="18" customHeight="1">
      <c r="B9" s="587" t="s">
        <v>330</v>
      </c>
      <c r="C9" s="585"/>
      <c r="D9" s="583"/>
      <c r="E9" s="580">
        <f>'Hitung f'!F39</f>
        <v>0.98083333333333333</v>
      </c>
      <c r="F9" s="580">
        <f>'Tabel 34'!E7</f>
        <v>1</v>
      </c>
      <c r="G9" s="580">
        <f>'Hitung f'!F45</f>
        <v>0.98083333333333333</v>
      </c>
      <c r="H9" s="580">
        <f>'Hitung f'!F40</f>
        <v>1.0738333333333332</v>
      </c>
      <c r="I9" s="580">
        <f>'Hitung f'!F41</f>
        <v>1.12825</v>
      </c>
      <c r="J9" s="580">
        <f>'Hitung f'!F47</f>
        <v>0.9620340277777778</v>
      </c>
      <c r="K9" s="580">
        <f>'Hitung f'!F46</f>
        <v>0.98083333333333333</v>
      </c>
      <c r="L9" s="580">
        <f>'Hitung f'!F42</f>
        <v>1.1974166666666666</v>
      </c>
      <c r="M9" s="583"/>
    </row>
    <row r="10" spans="2:13" s="45" customFormat="1" ht="18" customHeight="1">
      <c r="B10" s="642" t="s">
        <v>331</v>
      </c>
      <c r="C10" s="643"/>
      <c r="D10" s="644"/>
      <c r="E10" s="645">
        <f>VLOOKUP('Hitung f'!D3,'Tabel 40 (V)'!$B$4:$F$110,2)</f>
        <v>328.8</v>
      </c>
      <c r="F10" s="645"/>
      <c r="G10" s="645">
        <f>VLOOKUP('Hitung f'!D3,'Tabel 40 (V)'!$B$4:$F$110,3)</f>
        <v>365.2</v>
      </c>
      <c r="H10" s="645">
        <f>VLOOKUP('Hitung f'!D3,'Tabel 40 (V)'!$B$4:$F$110,4)</f>
        <v>10.6</v>
      </c>
      <c r="I10" s="645">
        <f>VLOOKUP('Hitung f'!D3,'Tabel 40 (V)'!$B$4:$F$110,5)</f>
        <v>321.7</v>
      </c>
      <c r="J10" s="645"/>
      <c r="K10" s="645"/>
      <c r="L10" s="645"/>
      <c r="M10" s="644"/>
    </row>
    <row r="11" spans="2:13" s="45" customFormat="1" ht="18" customHeight="1">
      <c r="B11" s="587" t="s">
        <v>332</v>
      </c>
      <c r="C11" s="585"/>
      <c r="D11" s="583"/>
      <c r="E11" s="580">
        <f>VLOOKUP('Hitung f'!H3,'Tabel 41 (V'''')'!$B$4:$F$15,2,FALSE)</f>
        <v>314.2</v>
      </c>
      <c r="F11" s="580"/>
      <c r="G11" s="580">
        <f>VLOOKUP('Hitung f'!H3,'Tabel 41 (V'''')'!$B$4:$F$15,3,FALSE)</f>
        <v>186.4</v>
      </c>
      <c r="H11" s="580">
        <f>VLOOKUP('Hitung f'!H3,'Tabel 41 (V'''')'!$B$4:$F$15,4,FALSE)</f>
        <v>118.3</v>
      </c>
      <c r="I11" s="580">
        <f>VLOOKUP('Hitung f'!H3,'Tabel 41 (V'''')'!$B$4:$F$15,5,FALSE)</f>
        <v>195.9</v>
      </c>
      <c r="J11" s="580"/>
      <c r="K11" s="580"/>
      <c r="L11" s="580"/>
      <c r="M11" s="583"/>
    </row>
    <row r="12" spans="2:13" s="45" customFormat="1" ht="18" customHeight="1">
      <c r="B12" s="642" t="s">
        <v>333</v>
      </c>
      <c r="C12" s="643"/>
      <c r="D12" s="644"/>
      <c r="E12" s="645">
        <f>'V'''''' Hitungan'!F32</f>
        <v>116.2</v>
      </c>
      <c r="F12" s="645"/>
      <c r="G12" s="645">
        <f>'V'''''' Hitungan'!F33</f>
        <v>345.5</v>
      </c>
      <c r="H12" s="645">
        <f>'V'''''' Hitungan'!F34</f>
        <v>9.9</v>
      </c>
      <c r="I12" s="645">
        <f>'V'''''' Hitungan'!F35</f>
        <v>106.3</v>
      </c>
      <c r="J12" s="645"/>
      <c r="K12" s="645"/>
      <c r="L12" s="645"/>
      <c r="M12" s="644"/>
    </row>
    <row r="13" spans="2:13" s="45" customFormat="1" ht="18" customHeight="1">
      <c r="B13" s="587" t="s">
        <v>334</v>
      </c>
      <c r="C13" s="585"/>
      <c r="D13" s="583"/>
      <c r="E13" s="580">
        <f>SUM(E10:E12)</f>
        <v>759.2</v>
      </c>
      <c r="F13" s="580">
        <f>'Tabel 34'!E8</f>
        <v>0</v>
      </c>
      <c r="G13" s="580">
        <f>SUM(G10:G12)</f>
        <v>897.1</v>
      </c>
      <c r="H13" s="580">
        <f>SUM(H10:H12)</f>
        <v>138.80000000000001</v>
      </c>
      <c r="I13" s="580">
        <f>SUM(I10:I12)</f>
        <v>623.9</v>
      </c>
      <c r="J13" s="580">
        <f>2*E13</f>
        <v>1518.4</v>
      </c>
      <c r="K13" s="580">
        <f>E13</f>
        <v>759.2</v>
      </c>
      <c r="L13" s="580"/>
      <c r="M13" s="583"/>
    </row>
    <row r="14" spans="2:13" s="45" customFormat="1" ht="18" customHeight="1">
      <c r="B14" s="642" t="s">
        <v>335</v>
      </c>
      <c r="C14" s="643"/>
      <c r="D14" s="644"/>
      <c r="E14" s="645">
        <f>'Hitung u'!F31</f>
        <v>-1.25</v>
      </c>
      <c r="F14" s="645">
        <f>'Hitung u'!F38</f>
        <v>0</v>
      </c>
      <c r="G14" s="645">
        <f>'Hitung u'!F36</f>
        <v>-1.25</v>
      </c>
      <c r="H14" s="645">
        <f>'Hitung u'!F32</f>
        <v>-6.458333333333333</v>
      </c>
      <c r="I14" s="645">
        <f>'Hitung u'!F33</f>
        <v>5.1166666666666671</v>
      </c>
      <c r="J14" s="645">
        <f>'Hitung u'!F35</f>
        <v>-2.5</v>
      </c>
      <c r="K14" s="645">
        <f>'Hitung u'!F37</f>
        <v>-1.25</v>
      </c>
      <c r="L14" s="645"/>
      <c r="M14" s="644"/>
    </row>
    <row r="15" spans="2:13" s="45" customFormat="1" ht="18" customHeight="1">
      <c r="B15" s="587" t="s">
        <v>336</v>
      </c>
      <c r="C15" s="585"/>
      <c r="D15" s="583"/>
      <c r="E15" s="580">
        <f>'Tabel 30'!E20</f>
        <v>559</v>
      </c>
      <c r="F15" s="580">
        <f>'Tabel 30'!F20</f>
        <v>448</v>
      </c>
      <c r="G15" s="580">
        <f>'Tabel 30'!G20</f>
        <v>566</v>
      </c>
      <c r="H15" s="580">
        <f>'Tabel 30'!H20</f>
        <v>439</v>
      </c>
      <c r="I15" s="580">
        <f>'Tabel 30'!I20</f>
        <v>565</v>
      </c>
      <c r="J15" s="580">
        <f>'Tabel 30'!J20</f>
        <v>507</v>
      </c>
      <c r="K15" s="580">
        <f>'Tabel 30'!K20</f>
        <v>535</v>
      </c>
      <c r="L15" s="580">
        <f>'Tabel 30'!L20</f>
        <v>0</v>
      </c>
      <c r="M15" s="583">
        <f>'Tabel 30'!M20</f>
        <v>0</v>
      </c>
    </row>
    <row r="16" spans="2:13" s="45" customFormat="1" ht="18" customHeight="1">
      <c r="B16" s="642" t="s">
        <v>337</v>
      </c>
      <c r="C16" s="643"/>
      <c r="D16" s="644"/>
      <c r="E16" s="645">
        <f>'Hitung r'!G8</f>
        <v>86.105322945031645</v>
      </c>
      <c r="F16" s="645">
        <f>'Hitung r'!H8</f>
        <v>214.93544399423433</v>
      </c>
      <c r="G16" s="645">
        <f>'Hitung r'!I8</f>
        <v>148.16997757805152</v>
      </c>
      <c r="H16" s="645">
        <f>'Hitung r'!J8</f>
        <v>284.29132944863488</v>
      </c>
      <c r="I16" s="645">
        <f>'Hitung r'!K8</f>
        <v>170.65685832533885</v>
      </c>
      <c r="J16" s="645">
        <f>'Hitung r'!L8</f>
        <v>60.118981170375129</v>
      </c>
      <c r="K16" s="645">
        <f>'Hitung r'!M8</f>
        <v>86.784139877916843</v>
      </c>
      <c r="L16" s="645"/>
      <c r="M16" s="644"/>
    </row>
    <row r="17" spans="2:15" s="45" customFormat="1" ht="18" customHeight="1">
      <c r="B17" s="587" t="s">
        <v>338</v>
      </c>
      <c r="C17" s="585"/>
      <c r="D17" s="583"/>
      <c r="E17" s="580"/>
      <c r="F17" s="580">
        <f>'Hitung w dan 1+W'!N6</f>
        <v>15.238298932384339</v>
      </c>
      <c r="G17" s="580">
        <f>'Hitung w dan 1+W'!J18</f>
        <v>9.7352941176470829</v>
      </c>
      <c r="H17" s="580">
        <f>'Hitung w dan 1+W'!N12</f>
        <v>18.522449270073032</v>
      </c>
      <c r="I17" s="580"/>
      <c r="J17" s="580"/>
      <c r="K17" s="580">
        <f>'Hitung w dan 1+W'!O6</f>
        <v>15.238298932384339</v>
      </c>
      <c r="L17" s="580"/>
      <c r="M17" s="583"/>
    </row>
    <row r="18" spans="2:15" s="45" customFormat="1" ht="18" customHeight="1">
      <c r="B18" s="642" t="s">
        <v>339</v>
      </c>
      <c r="C18" s="643"/>
      <c r="D18" s="644"/>
      <c r="E18" s="645">
        <f>'Tabel 34'!I4+1</f>
        <v>1</v>
      </c>
      <c r="F18" s="645">
        <f>'Hitung w dan 1+W'!N7</f>
        <v>1.1989464623368919</v>
      </c>
      <c r="G18" s="645">
        <f>'Hitung w dan 1+W'!J19</f>
        <v>0.91347058823529492</v>
      </c>
      <c r="H18" s="645">
        <f>'Hitung w dan 1+W'!N13</f>
        <v>1.1815380328467133</v>
      </c>
      <c r="I18" s="645">
        <f>E18</f>
        <v>1</v>
      </c>
      <c r="J18" s="645">
        <f>E18</f>
        <v>1</v>
      </c>
      <c r="K18" s="645">
        <f>'Hitung w dan 1+W'!O7</f>
        <v>1.1989464623368919</v>
      </c>
      <c r="L18" s="645"/>
      <c r="M18" s="644"/>
    </row>
    <row r="19" spans="2:15" s="45" customFormat="1" ht="18" customHeight="1">
      <c r="B19" s="587" t="s">
        <v>340</v>
      </c>
      <c r="C19" s="585"/>
      <c r="D19" s="583"/>
      <c r="E19" s="580">
        <f t="shared" ref="E19:K19" si="1">SUM(E13:E17)</f>
        <v>1403.0553229450318</v>
      </c>
      <c r="F19" s="580">
        <f>SUM(F13:F17)</f>
        <v>678.17374292661862</v>
      </c>
      <c r="G19" s="580">
        <f t="shared" si="1"/>
        <v>1619.7552716956984</v>
      </c>
      <c r="H19" s="580">
        <f t="shared" si="1"/>
        <v>874.15544538537461</v>
      </c>
      <c r="I19" s="580">
        <f t="shared" si="1"/>
        <v>1364.6735249920055</v>
      </c>
      <c r="J19" s="580">
        <f t="shared" si="1"/>
        <v>2083.0189811703754</v>
      </c>
      <c r="K19" s="580">
        <f t="shared" si="1"/>
        <v>1394.9724388103014</v>
      </c>
      <c r="L19" s="580"/>
      <c r="M19" s="583"/>
    </row>
    <row r="20" spans="2:15" s="45" customFormat="1" ht="18" customHeight="1">
      <c r="B20" s="646" t="s">
        <v>341</v>
      </c>
      <c r="C20" s="647"/>
      <c r="D20" s="648"/>
      <c r="E20" s="649">
        <f t="shared" ref="E20:K20" si="2">ROUNDDOWN(E19/360,0)*360</f>
        <v>1080</v>
      </c>
      <c r="F20" s="649">
        <f t="shared" si="2"/>
        <v>360</v>
      </c>
      <c r="G20" s="649">
        <f t="shared" si="2"/>
        <v>1440</v>
      </c>
      <c r="H20" s="649">
        <f t="shared" si="2"/>
        <v>720</v>
      </c>
      <c r="I20" s="649">
        <f t="shared" si="2"/>
        <v>1080</v>
      </c>
      <c r="J20" s="649">
        <f t="shared" si="2"/>
        <v>1800</v>
      </c>
      <c r="K20" s="649">
        <f t="shared" si="2"/>
        <v>1080</v>
      </c>
      <c r="L20" s="649"/>
      <c r="M20" s="648"/>
    </row>
    <row r="21" spans="2:15" s="45" customFormat="1" ht="18" customHeight="1">
      <c r="B21" s="706" t="s">
        <v>342</v>
      </c>
      <c r="C21" s="706"/>
      <c r="D21" s="650">
        <f>D7/D8</f>
        <v>166.16831896551724</v>
      </c>
      <c r="E21" s="650">
        <f>E7/(E15*E9*E18)</f>
        <v>22.175746705125732</v>
      </c>
      <c r="F21" s="650">
        <f>F7/(F15*F9*F18)</f>
        <v>22.989812522709808</v>
      </c>
      <c r="G21" s="650">
        <f t="shared" ref="G21" si="3">G7/(G15*G9*G18)</f>
        <v>17.557033616124922</v>
      </c>
      <c r="H21" s="650">
        <f>H7/(H15*H9*H18)</f>
        <v>35.75697986506146</v>
      </c>
      <c r="I21" s="650">
        <f>I7/(I8*I9*I18)</f>
        <v>27.49518272044677</v>
      </c>
      <c r="J21" s="650">
        <f t="shared" ref="J21:K21" si="4">J7/(J8*J9*J18)</f>
        <v>1.7812875495128471</v>
      </c>
      <c r="K21" s="650">
        <f t="shared" si="4"/>
        <v>3.3061792774433885</v>
      </c>
      <c r="L21" s="650">
        <f>F21*0.27</f>
        <v>6.2072493811316489</v>
      </c>
      <c r="M21" s="650">
        <f>H21*0.33</f>
        <v>11.799803355470283</v>
      </c>
      <c r="O21" s="265">
        <f>(I8*I9*I18)</f>
        <v>180.51999999999998</v>
      </c>
    </row>
    <row r="22" spans="2:15" s="45" customFormat="1" ht="18" customHeight="1">
      <c r="B22" s="706" t="s">
        <v>647</v>
      </c>
      <c r="C22" s="706"/>
      <c r="D22" s="650"/>
      <c r="E22" s="650">
        <f t="shared" ref="E22:K22" si="5">E19-E20</f>
        <v>323.05532294503178</v>
      </c>
      <c r="F22" s="650">
        <f t="shared" si="5"/>
        <v>318.17374292661862</v>
      </c>
      <c r="G22" s="650">
        <f t="shared" si="5"/>
        <v>179.75527169569841</v>
      </c>
      <c r="H22" s="650">
        <f t="shared" si="5"/>
        <v>154.15544538537461</v>
      </c>
      <c r="I22" s="650">
        <f t="shared" si="5"/>
        <v>284.67352499200547</v>
      </c>
      <c r="J22" s="650">
        <f t="shared" si="5"/>
        <v>283.01898117037535</v>
      </c>
      <c r="K22" s="650">
        <f t="shared" si="5"/>
        <v>314.97243881030136</v>
      </c>
      <c r="L22" s="650">
        <f>F22</f>
        <v>318.17374292661862</v>
      </c>
      <c r="M22" s="650">
        <f>H22</f>
        <v>154.15544538537461</v>
      </c>
      <c r="O22" s="45">
        <f>O21*4</f>
        <v>722.07999999999993</v>
      </c>
    </row>
    <row r="23" spans="2:15">
      <c r="D23" s="1" t="s">
        <v>639</v>
      </c>
      <c r="E23" s="1" t="s">
        <v>538</v>
      </c>
      <c r="F23" s="1" t="s">
        <v>640</v>
      </c>
      <c r="G23" s="1" t="s">
        <v>641</v>
      </c>
      <c r="H23" s="1" t="s">
        <v>539</v>
      </c>
      <c r="I23" s="1" t="s">
        <v>540</v>
      </c>
      <c r="J23" s="1" t="s">
        <v>642</v>
      </c>
      <c r="K23" s="1" t="s">
        <v>643</v>
      </c>
      <c r="L23" s="1" t="s">
        <v>541</v>
      </c>
      <c r="M23" s="1" t="s">
        <v>644</v>
      </c>
    </row>
    <row r="24" spans="2:15">
      <c r="D24" s="43"/>
      <c r="E24" s="43">
        <f>E19/360</f>
        <v>3.8973758970695327</v>
      </c>
      <c r="F24" s="43">
        <f t="shared" ref="F24:K24" si="6">F19/360</f>
        <v>1.8838159525739406</v>
      </c>
      <c r="G24" s="43">
        <f t="shared" si="6"/>
        <v>4.4993201991547176</v>
      </c>
      <c r="H24" s="43">
        <f t="shared" si="6"/>
        <v>2.4282095705149294</v>
      </c>
      <c r="I24" s="43">
        <f t="shared" si="6"/>
        <v>3.7907597916444598</v>
      </c>
      <c r="J24" s="43">
        <f t="shared" si="6"/>
        <v>5.7861638365843762</v>
      </c>
      <c r="K24" s="43">
        <f t="shared" si="6"/>
        <v>3.874923441139726</v>
      </c>
      <c r="L24" s="43"/>
      <c r="M24" s="43"/>
    </row>
    <row r="26" spans="2:15">
      <c r="D26" s="1">
        <f>245*D8</f>
        <v>170520</v>
      </c>
      <c r="E26" s="1">
        <f>360*INT(E24)</f>
        <v>1080</v>
      </c>
      <c r="F26" s="1">
        <f t="shared" ref="F26:K26" si="7">360*INT(F24)</f>
        <v>360</v>
      </c>
      <c r="G26" s="1">
        <f t="shared" si="7"/>
        <v>1440</v>
      </c>
      <c r="H26" s="1">
        <f t="shared" si="7"/>
        <v>720</v>
      </c>
      <c r="I26" s="1">
        <f t="shared" si="7"/>
        <v>1080</v>
      </c>
      <c r="J26" s="1">
        <f t="shared" si="7"/>
        <v>1800</v>
      </c>
      <c r="K26" s="1">
        <f t="shared" si="7"/>
        <v>1080</v>
      </c>
    </row>
    <row r="27" spans="2:15">
      <c r="D27" s="1">
        <f>D7-D26</f>
        <v>-54866.850000000006</v>
      </c>
      <c r="E27" s="43"/>
      <c r="G27" s="43"/>
      <c r="H27" s="43"/>
    </row>
    <row r="28" spans="2:15" ht="20.25">
      <c r="D28" s="266" t="s">
        <v>298</v>
      </c>
      <c r="E28" s="267">
        <v>28.984000000000002</v>
      </c>
      <c r="F28" s="267">
        <v>30</v>
      </c>
      <c r="G28" s="267">
        <v>28.44</v>
      </c>
      <c r="H28" s="267">
        <v>15.041</v>
      </c>
      <c r="I28" s="267">
        <v>13.943</v>
      </c>
      <c r="J28" s="267">
        <f>2*E28</f>
        <v>57.968000000000004</v>
      </c>
      <c r="K28" s="267">
        <f>E28+F28</f>
        <v>58.984000000000002</v>
      </c>
      <c r="L28" s="267">
        <v>30.082000000000001</v>
      </c>
      <c r="M28" s="267">
        <v>14.959</v>
      </c>
    </row>
    <row r="35" spans="5:5">
      <c r="E35" s="232"/>
    </row>
  </sheetData>
  <sheetProtection selectLockedCells="1" selectUnlockedCells="1"/>
  <mergeCells count="3">
    <mergeCell ref="B4:C4"/>
    <mergeCell ref="B21:C21"/>
    <mergeCell ref="B22:C22"/>
  </mergeCells>
  <phoneticPr fontId="26" type="noConversion"/>
  <printOptions horizontalCentered="1" verticalCentered="1"/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L3:S26"/>
  <sheetViews>
    <sheetView zoomScale="85" zoomScaleNormal="85" workbookViewId="0">
      <selection activeCell="R10" sqref="R10"/>
    </sheetView>
  </sheetViews>
  <sheetFormatPr defaultColWidth="11.5703125" defaultRowHeight="12.75"/>
  <cols>
    <col min="1" max="1" width="11.5703125" customWidth="1"/>
    <col min="12" max="12" width="15.7109375" bestFit="1" customWidth="1"/>
    <col min="13" max="13" width="8.5703125" bestFit="1" customWidth="1"/>
    <col min="14" max="15" width="8.28515625" bestFit="1" customWidth="1"/>
    <col min="16" max="16" width="4.85546875" bestFit="1" customWidth="1"/>
    <col min="17" max="18" width="7.7109375" bestFit="1" customWidth="1"/>
    <col min="19" max="19" width="4.28515625" bestFit="1" customWidth="1"/>
  </cols>
  <sheetData>
    <row r="3" spans="12:19">
      <c r="L3" s="504">
        <v>44213</v>
      </c>
    </row>
    <row r="4" spans="12:19">
      <c r="L4" s="504">
        <v>44241.958333333336</v>
      </c>
    </row>
    <row r="9" spans="12:19">
      <c r="M9" t="s">
        <v>492</v>
      </c>
      <c r="N9" t="s">
        <v>648</v>
      </c>
      <c r="O9" t="s">
        <v>649</v>
      </c>
      <c r="P9" t="s">
        <v>479</v>
      </c>
      <c r="Q9" t="s">
        <v>650</v>
      </c>
      <c r="R9" t="s">
        <v>651</v>
      </c>
      <c r="S9" t="s">
        <v>518</v>
      </c>
    </row>
    <row r="10" spans="12:19" ht="16.5">
      <c r="L10" s="503">
        <f>'data asli x100'!B8</f>
        <v>44709</v>
      </c>
      <c r="M10">
        <f t="array" ref="M10:S10">TRANSPOSE('HasiL Edit komnetar perencana'!R69:S75)</f>
        <v>335.38423382986963</v>
      </c>
      <c r="N10">
        <v>292.75776980177898</v>
      </c>
      <c r="O10">
        <v>230.30829491683608</v>
      </c>
      <c r="P10">
        <v>166.16831896551724</v>
      </c>
      <c r="Q10">
        <v>87.140552568349534</v>
      </c>
      <c r="R10">
        <v>55.888942901025047</v>
      </c>
      <c r="S10">
        <v>28.393760180578276</v>
      </c>
    </row>
    <row r="11" spans="12:19" ht="16.5">
      <c r="L11" s="503">
        <f>'data asli x100'!B703</f>
        <v>44737.95835572917</v>
      </c>
      <c r="M11">
        <f t="array" ref="M11:S11">TRANSPOSE('HasiL Edit komnetar perencana'!R69:S75)</f>
        <v>335.38423382986963</v>
      </c>
      <c r="N11">
        <v>292.75776980177898</v>
      </c>
      <c r="O11">
        <v>230.30829491683608</v>
      </c>
      <c r="P11">
        <v>166.16831896551724</v>
      </c>
      <c r="Q11">
        <v>87.140552568349534</v>
      </c>
      <c r="R11">
        <v>55.888942901025047</v>
      </c>
      <c r="S11">
        <v>28.393760180578276</v>
      </c>
    </row>
    <row r="14" spans="12:19">
      <c r="M14" t="str">
        <f>M9</f>
        <v>HAT</v>
      </c>
      <c r="N14" t="str">
        <f t="shared" ref="N14:S14" si="0">N9</f>
        <v>HHWS</v>
      </c>
      <c r="O14" t="str">
        <f t="shared" si="0"/>
        <v>MHWN</v>
      </c>
      <c r="P14" t="str">
        <f t="shared" si="0"/>
        <v>MSL</v>
      </c>
      <c r="Q14" t="str">
        <f t="shared" si="0"/>
        <v>MLWN</v>
      </c>
      <c r="R14" t="str">
        <f t="shared" si="0"/>
        <v>LLWS</v>
      </c>
      <c r="S14" t="str">
        <f t="shared" si="0"/>
        <v>LAT</v>
      </c>
    </row>
    <row r="15" spans="12:19" ht="16.5">
      <c r="L15" s="417">
        <f>L10</f>
        <v>44709</v>
      </c>
      <c r="M15">
        <f>M10/100</f>
        <v>3.3538423382986964</v>
      </c>
      <c r="N15">
        <f t="shared" ref="N15:S15" si="1">N10/100</f>
        <v>2.9275776980177897</v>
      </c>
      <c r="O15">
        <f t="shared" si="1"/>
        <v>2.3030829491683606</v>
      </c>
      <c r="P15">
        <f t="shared" si="1"/>
        <v>1.6616831896551725</v>
      </c>
      <c r="Q15">
        <f t="shared" si="1"/>
        <v>0.87140552568349539</v>
      </c>
      <c r="R15">
        <f t="shared" si="1"/>
        <v>0.55888942901025052</v>
      </c>
      <c r="S15">
        <f t="shared" si="1"/>
        <v>0.28393760180578276</v>
      </c>
    </row>
    <row r="16" spans="12:19" ht="16.5">
      <c r="L16" s="417">
        <f>L11</f>
        <v>44737.95835572917</v>
      </c>
      <c r="M16">
        <f>M11/100</f>
        <v>3.3538423382986964</v>
      </c>
      <c r="N16">
        <f t="shared" ref="N16:S16" si="2">N11/100</f>
        <v>2.9275776980177897</v>
      </c>
      <c r="O16">
        <f t="shared" si="2"/>
        <v>2.3030829491683606</v>
      </c>
      <c r="P16">
        <f t="shared" si="2"/>
        <v>1.6616831896551725</v>
      </c>
      <c r="Q16">
        <f t="shared" si="2"/>
        <v>0.87140552568349539</v>
      </c>
      <c r="R16">
        <f t="shared" si="2"/>
        <v>0.55888942901025052</v>
      </c>
      <c r="S16">
        <f t="shared" si="2"/>
        <v>0.28393760180578276</v>
      </c>
    </row>
    <row r="19" spans="12:19">
      <c r="L19">
        <f>L15</f>
        <v>44709</v>
      </c>
      <c r="M19">
        <v>420.36797125260841</v>
      </c>
      <c r="N19">
        <v>389.16903418569484</v>
      </c>
      <c r="O19">
        <v>335.56852710889063</v>
      </c>
      <c r="P19">
        <v>277.2986166666667</v>
      </c>
      <c r="Q19">
        <v>203.4454867284814</v>
      </c>
      <c r="R19">
        <v>162.69092158302871</v>
      </c>
      <c r="S19">
        <v>134.22926208072491</v>
      </c>
    </row>
    <row r="20" spans="12:19">
      <c r="L20">
        <f>L16</f>
        <v>44737.95835572917</v>
      </c>
      <c r="M20">
        <v>420.36797125260841</v>
      </c>
      <c r="N20">
        <v>389.16903418569484</v>
      </c>
      <c r="O20">
        <v>335.56852710889063</v>
      </c>
      <c r="P20">
        <v>277.2986166666667</v>
      </c>
      <c r="Q20">
        <v>203.4454867284814</v>
      </c>
      <c r="R20">
        <v>162.69092158302871</v>
      </c>
      <c r="S20">
        <v>134.22926208072491</v>
      </c>
    </row>
    <row r="23" spans="12:19">
      <c r="L23">
        <f>L19</f>
        <v>44709</v>
      </c>
      <c r="M23">
        <v>485.14793384726818</v>
      </c>
      <c r="N23">
        <v>286.27907816647416</v>
      </c>
      <c r="O23">
        <v>278</v>
      </c>
      <c r="P23">
        <v>128.11564010277471</v>
      </c>
      <c r="Q23">
        <v>78.747754536870502</v>
      </c>
    </row>
    <row r="24" spans="12:19">
      <c r="L24">
        <f>L20</f>
        <v>44737.95835572917</v>
      </c>
      <c r="M24">
        <v>485.14793384726818</v>
      </c>
      <c r="N24">
        <v>286.27907816647416</v>
      </c>
      <c r="O24">
        <v>278</v>
      </c>
      <c r="P24">
        <v>128.11564010277471</v>
      </c>
      <c r="Q24">
        <v>78.747754536870502</v>
      </c>
    </row>
    <row r="26" spans="12:19">
      <c r="M26">
        <v>485.14793384726818</v>
      </c>
      <c r="N26">
        <v>286.27907816647416</v>
      </c>
      <c r="O26">
        <v>128.11564010277471</v>
      </c>
      <c r="P26">
        <v>78.747754536870502</v>
      </c>
    </row>
  </sheetData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2:BZ153"/>
  <sheetViews>
    <sheetView tabSelected="1" zoomScale="80" zoomScaleNormal="80" zoomScaleSheetLayoutView="100" workbookViewId="0">
      <pane xSplit="4" ySplit="6" topLeftCell="E76" activePane="bottomRight" state="frozen"/>
      <selection pane="topRight" activeCell="E1" sqref="E1"/>
      <selection pane="bottomLeft" activeCell="A7" sqref="A7"/>
      <selection pane="bottomRight" activeCell="BS100" sqref="AH79:BS100"/>
    </sheetView>
  </sheetViews>
  <sheetFormatPr defaultColWidth="3.140625" defaultRowHeight="16.5" customHeight="1"/>
  <cols>
    <col min="1" max="7" width="3.140625" style="417" customWidth="1"/>
    <col min="8" max="8" width="5.85546875" style="417" customWidth="1"/>
    <col min="9" max="9" width="3.140625" style="417" customWidth="1"/>
    <col min="10" max="10" width="3.85546875" style="417" customWidth="1"/>
    <col min="11" max="11" width="1.85546875" style="417" customWidth="1"/>
    <col min="12" max="13" width="3.140625" style="417" customWidth="1"/>
    <col min="14" max="14" width="6" style="417" customWidth="1"/>
    <col min="15" max="16" width="3.140625" style="417" customWidth="1"/>
    <col min="17" max="17" width="7.85546875" style="417" customWidth="1"/>
    <col min="18" max="18" width="3.140625" style="417" customWidth="1"/>
    <col min="19" max="19" width="4.7109375" style="417" customWidth="1"/>
    <col min="20" max="20" width="3.140625" style="417" customWidth="1"/>
    <col min="21" max="21" width="5" style="417" customWidth="1"/>
    <col min="22" max="22" width="3.140625" style="417" customWidth="1"/>
    <col min="23" max="23" width="5.85546875" style="417" customWidth="1"/>
    <col min="24" max="24" width="4.140625" style="417" customWidth="1"/>
    <col min="25" max="25" width="4.7109375" style="417" customWidth="1"/>
    <col min="26" max="26" width="5.140625" style="417" customWidth="1"/>
    <col min="27" max="27" width="3.140625" style="417" customWidth="1"/>
    <col min="28" max="28" width="6.85546875" style="417" customWidth="1"/>
    <col min="29" max="29" width="3.140625" style="417" customWidth="1"/>
    <col min="30" max="30" width="6.140625" style="417" customWidth="1"/>
    <col min="31" max="31" width="2.42578125" style="417" customWidth="1"/>
    <col min="32" max="32" width="8.28515625" style="417" customWidth="1"/>
    <col min="33" max="33" width="6.7109375" style="417" customWidth="1"/>
    <col min="34" max="34" width="5.140625" style="417" customWidth="1"/>
    <col min="35" max="35" width="6.140625" style="417" customWidth="1"/>
    <col min="36" max="43" width="3.5703125" style="417" customWidth="1"/>
    <col min="44" max="52" width="3.140625" style="417"/>
    <col min="53" max="53" width="6.7109375" style="417" bestFit="1" customWidth="1"/>
    <col min="54" max="74" width="3.140625" style="417"/>
    <col min="75" max="76" width="18.85546875" style="417" bestFit="1" customWidth="1"/>
    <col min="77" max="77" width="3.140625" style="417"/>
    <col min="78" max="78" width="6.5703125" style="417" bestFit="1" customWidth="1"/>
    <col min="79" max="16384" width="3.140625" style="417"/>
  </cols>
  <sheetData>
    <row r="2" spans="2:39" ht="16.5" customHeight="1">
      <c r="B2" s="418" t="s">
        <v>462</v>
      </c>
      <c r="R2" s="417" t="s">
        <v>180</v>
      </c>
      <c r="U2" s="417" t="str">
        <f>'skemA5&amp;6'!J3</f>
        <v>: Pantai Sanur</v>
      </c>
    </row>
    <row r="3" spans="2:39" ht="16.5" customHeight="1" thickBot="1">
      <c r="B3" s="418" t="s">
        <v>463</v>
      </c>
      <c r="R3" s="417" t="s">
        <v>544</v>
      </c>
      <c r="U3" s="417" t="str">
        <f>'data asli'!B8</f>
        <v>: Kabupaten Denpasar Selatan</v>
      </c>
    </row>
    <row r="4" spans="2:39" ht="21.75" customHeight="1" thickTop="1" thickBot="1">
      <c r="B4" s="761" t="s">
        <v>464</v>
      </c>
      <c r="C4" s="761"/>
      <c r="D4" s="761"/>
      <c r="E4" s="762" t="s">
        <v>465</v>
      </c>
      <c r="F4" s="762"/>
      <c r="G4" s="763" t="s">
        <v>466</v>
      </c>
      <c r="H4" s="763"/>
      <c r="I4" s="763" t="s">
        <v>467</v>
      </c>
      <c r="J4" s="763"/>
      <c r="K4" s="419"/>
      <c r="L4" s="762" t="s">
        <v>468</v>
      </c>
      <c r="M4" s="762"/>
      <c r="N4" s="763" t="s">
        <v>469</v>
      </c>
      <c r="O4" s="763"/>
      <c r="P4" s="763" t="s">
        <v>470</v>
      </c>
      <c r="Q4" s="763"/>
      <c r="R4" s="763" t="s">
        <v>471</v>
      </c>
      <c r="S4" s="763"/>
      <c r="T4" s="763" t="s">
        <v>472</v>
      </c>
      <c r="U4" s="763"/>
      <c r="V4" s="763" t="s">
        <v>473</v>
      </c>
      <c r="W4" s="763"/>
      <c r="X4" s="767" t="s">
        <v>474</v>
      </c>
      <c r="Y4" s="767"/>
      <c r="AA4" s="765"/>
      <c r="AB4" s="765"/>
      <c r="AC4" s="420"/>
    </row>
    <row r="5" spans="2:39" ht="16.5" customHeight="1" thickTop="1">
      <c r="B5" s="761"/>
      <c r="C5" s="761"/>
      <c r="D5" s="761"/>
      <c r="E5" s="764">
        <f>skemA7!D21</f>
        <v>166.16831896551724</v>
      </c>
      <c r="F5" s="764"/>
      <c r="G5" s="760">
        <f>skemA7!E21</f>
        <v>22.175746705125732</v>
      </c>
      <c r="H5" s="760"/>
      <c r="I5" s="760">
        <f>skemA7!F21</f>
        <v>22.989812522709808</v>
      </c>
      <c r="J5" s="760"/>
      <c r="K5" s="421"/>
      <c r="L5" s="764">
        <f>skemA7!G21</f>
        <v>17.557033616124922</v>
      </c>
      <c r="M5" s="764"/>
      <c r="N5" s="760">
        <f>skemA7!H21</f>
        <v>35.75697986506146</v>
      </c>
      <c r="O5" s="760"/>
      <c r="P5" s="760">
        <f>skemA7!I21</f>
        <v>27.49518272044677</v>
      </c>
      <c r="Q5" s="760"/>
      <c r="R5" s="760">
        <f>skemA7!J21</f>
        <v>1.7812875495128471</v>
      </c>
      <c r="S5" s="760"/>
      <c r="T5" s="760">
        <f>skemA7!K21</f>
        <v>3.3061792774433885</v>
      </c>
      <c r="U5" s="760"/>
      <c r="V5" s="760">
        <f>skemA7!L21</f>
        <v>6.2072493811316489</v>
      </c>
      <c r="W5" s="760"/>
      <c r="X5" s="766">
        <f>skemA7!M21</f>
        <v>11.799803355470283</v>
      </c>
      <c r="Y5" s="766"/>
      <c r="AA5" s="740"/>
      <c r="AB5" s="740"/>
      <c r="AC5" s="422"/>
    </row>
    <row r="6" spans="2:39" ht="19.5" customHeight="1" thickBot="1">
      <c r="B6" s="759" t="s">
        <v>475</v>
      </c>
      <c r="C6" s="759"/>
      <c r="D6" s="759"/>
      <c r="E6" s="758">
        <f>skemA7!D22</f>
        <v>0</v>
      </c>
      <c r="F6" s="758"/>
      <c r="G6" s="756">
        <f>skemA7!E22</f>
        <v>323.05532294503178</v>
      </c>
      <c r="H6" s="756"/>
      <c r="I6" s="756">
        <f>skemA7!F22</f>
        <v>318.17374292661862</v>
      </c>
      <c r="J6" s="756"/>
      <c r="K6" s="423"/>
      <c r="L6" s="758">
        <f>skemA7!G22</f>
        <v>179.75527169569841</v>
      </c>
      <c r="M6" s="758"/>
      <c r="N6" s="756">
        <f>skemA7!H22</f>
        <v>154.15544538537461</v>
      </c>
      <c r="O6" s="756"/>
      <c r="P6" s="756">
        <f>skemA7!I22</f>
        <v>284.67352499200547</v>
      </c>
      <c r="Q6" s="756"/>
      <c r="R6" s="756">
        <f>skemA7!J22</f>
        <v>283.01898117037535</v>
      </c>
      <c r="S6" s="756"/>
      <c r="T6" s="756">
        <f>skemA7!K22</f>
        <v>314.97243881030136</v>
      </c>
      <c r="U6" s="756"/>
      <c r="V6" s="756">
        <f>skemA7!L22</f>
        <v>318.17374292661862</v>
      </c>
      <c r="W6" s="756"/>
      <c r="X6" s="757">
        <f>skemA7!M22</f>
        <v>154.15544538537461</v>
      </c>
      <c r="Y6" s="757"/>
      <c r="AA6" s="740"/>
      <c r="AB6" s="740"/>
      <c r="AC6" s="422"/>
      <c r="AJ6" s="470"/>
      <c r="AK6" s="470"/>
      <c r="AL6" s="470"/>
      <c r="AM6" s="470"/>
    </row>
    <row r="7" spans="2:39" s="424" customFormat="1" ht="16.5" customHeight="1" thickTop="1">
      <c r="B7" s="425" t="s">
        <v>476</v>
      </c>
      <c r="AJ7" s="471"/>
      <c r="AK7" s="471"/>
      <c r="AL7" s="471"/>
      <c r="AM7" s="472"/>
    </row>
    <row r="8" spans="2:39" ht="16.5" customHeight="1">
      <c r="B8" s="426" t="s">
        <v>477</v>
      </c>
      <c r="C8" s="418" t="s">
        <v>478</v>
      </c>
      <c r="AJ8" s="471"/>
      <c r="AK8" s="471"/>
      <c r="AL8" s="471"/>
      <c r="AM8" s="472"/>
    </row>
    <row r="9" spans="2:39" ht="16.5" customHeight="1">
      <c r="C9" s="420" t="s">
        <v>237</v>
      </c>
      <c r="D9" s="417" t="s">
        <v>479</v>
      </c>
      <c r="AJ9" s="471"/>
      <c r="AK9" s="471"/>
      <c r="AL9" s="471"/>
      <c r="AM9" s="472"/>
    </row>
    <row r="10" spans="2:39" ht="16.5" customHeight="1">
      <c r="D10" s="417" t="s">
        <v>480</v>
      </c>
      <c r="F10" s="427" t="s">
        <v>3</v>
      </c>
      <c r="G10" s="417" t="s">
        <v>481</v>
      </c>
      <c r="I10" s="427" t="s">
        <v>3</v>
      </c>
      <c r="J10" s="740">
        <f>E5</f>
        <v>166.16831896551724</v>
      </c>
      <c r="K10" s="740"/>
      <c r="L10" s="740"/>
      <c r="M10" s="417" t="s">
        <v>64</v>
      </c>
      <c r="AJ10" s="471"/>
      <c r="AK10" s="471"/>
      <c r="AL10" s="471"/>
      <c r="AM10" s="472"/>
    </row>
    <row r="11" spans="2:39" ht="16.5" customHeight="1">
      <c r="AJ11" s="471"/>
      <c r="AK11" s="471"/>
      <c r="AL11" s="471"/>
      <c r="AM11" s="472"/>
    </row>
    <row r="12" spans="2:39" ht="16.5" customHeight="1">
      <c r="C12" s="420" t="s">
        <v>237</v>
      </c>
      <c r="D12" s="417" t="s">
        <v>482</v>
      </c>
      <c r="AJ12" s="471"/>
      <c r="AK12" s="471"/>
      <c r="AL12" s="471"/>
      <c r="AM12" s="472"/>
    </row>
    <row r="13" spans="2:39" ht="16.5" customHeight="1">
      <c r="D13" s="417" t="s">
        <v>483</v>
      </c>
      <c r="AJ13" s="471"/>
      <c r="AK13" s="471"/>
      <c r="AL13" s="471"/>
      <c r="AM13" s="472"/>
    </row>
    <row r="14" spans="2:39" ht="16.5" customHeight="1">
      <c r="D14" s="417" t="s">
        <v>482</v>
      </c>
      <c r="E14" s="427" t="s">
        <v>3</v>
      </c>
      <c r="F14" s="739" t="s">
        <v>484</v>
      </c>
      <c r="G14" s="739"/>
      <c r="H14" s="427" t="s">
        <v>485</v>
      </c>
      <c r="I14" s="739" t="s">
        <v>486</v>
      </c>
      <c r="J14" s="739"/>
      <c r="K14" s="427"/>
      <c r="L14" s="427" t="s">
        <v>76</v>
      </c>
      <c r="M14" s="739" t="s">
        <v>487</v>
      </c>
      <c r="N14" s="739"/>
      <c r="O14" s="427" t="s">
        <v>76</v>
      </c>
      <c r="P14" s="739" t="s">
        <v>488</v>
      </c>
      <c r="Q14" s="739"/>
      <c r="R14" s="427" t="s">
        <v>76</v>
      </c>
      <c r="S14" s="739" t="s">
        <v>489</v>
      </c>
      <c r="T14" s="739"/>
      <c r="U14" s="428" t="s">
        <v>490</v>
      </c>
      <c r="AJ14" s="471"/>
      <c r="AK14" s="471"/>
      <c r="AL14" s="471"/>
      <c r="AM14" s="472"/>
    </row>
    <row r="15" spans="2:39" ht="16.5" customHeight="1">
      <c r="E15" s="427" t="s">
        <v>3</v>
      </c>
      <c r="F15" s="740">
        <f>E5</f>
        <v>166.16831896551724</v>
      </c>
      <c r="G15" s="740"/>
      <c r="H15" s="427" t="s">
        <v>485</v>
      </c>
      <c r="I15" s="740">
        <f>G5</f>
        <v>22.175746705125732</v>
      </c>
      <c r="J15" s="740"/>
      <c r="K15" s="427"/>
      <c r="L15" s="427" t="s">
        <v>76</v>
      </c>
      <c r="M15" s="740">
        <f>I5</f>
        <v>22.989812522709808</v>
      </c>
      <c r="N15" s="740"/>
      <c r="O15" s="427" t="s">
        <v>76</v>
      </c>
      <c r="P15" s="740">
        <f>N5</f>
        <v>35.75697986506146</v>
      </c>
      <c r="Q15" s="740"/>
      <c r="R15" s="427" t="s">
        <v>76</v>
      </c>
      <c r="S15" s="740">
        <f>P5</f>
        <v>27.49518272044677</v>
      </c>
      <c r="T15" s="740"/>
      <c r="U15" s="428" t="s">
        <v>490</v>
      </c>
      <c r="AJ15" s="471"/>
      <c r="AK15" s="471"/>
      <c r="AL15" s="471"/>
      <c r="AM15" s="472"/>
    </row>
    <row r="16" spans="2:39" ht="16.5" customHeight="1">
      <c r="E16" s="427" t="s">
        <v>3</v>
      </c>
      <c r="F16" s="740">
        <f>F15-(I15+M15+P15+S234+S15)</f>
        <v>57.750597152173469</v>
      </c>
      <c r="G16" s="740"/>
      <c r="H16" s="417" t="s">
        <v>64</v>
      </c>
      <c r="AB16" s="437"/>
    </row>
    <row r="17" spans="2:34" ht="16.5" customHeight="1">
      <c r="D17" s="417" t="s">
        <v>491</v>
      </c>
      <c r="R17" s="739" t="s">
        <v>479</v>
      </c>
      <c r="S17" s="739"/>
      <c r="T17" s="427" t="s">
        <v>77</v>
      </c>
      <c r="U17" s="739" t="s">
        <v>482</v>
      </c>
      <c r="V17" s="739"/>
    </row>
    <row r="18" spans="2:34" ht="16.5" customHeight="1">
      <c r="Q18" s="427" t="s">
        <v>3</v>
      </c>
      <c r="R18" s="740">
        <f>J10</f>
        <v>166.16831896551724</v>
      </c>
      <c r="S18" s="740"/>
      <c r="T18" s="427" t="s">
        <v>77</v>
      </c>
      <c r="U18" s="740">
        <f>F16</f>
        <v>57.750597152173469</v>
      </c>
      <c r="V18" s="740"/>
      <c r="W18" s="427" t="s">
        <v>3</v>
      </c>
      <c r="X18" s="740">
        <f>R18-U18</f>
        <v>108.41772181334377</v>
      </c>
      <c r="Y18" s="740"/>
      <c r="Z18" s="417" t="s">
        <v>64</v>
      </c>
      <c r="AB18" s="427"/>
      <c r="AC18" s="427"/>
      <c r="AE18" s="429"/>
      <c r="AF18" s="429"/>
      <c r="AG18" s="429"/>
      <c r="AH18" s="429"/>
    </row>
    <row r="19" spans="2:34" ht="16.5" customHeight="1">
      <c r="AE19" s="430"/>
      <c r="AF19" s="430"/>
      <c r="AG19" s="430"/>
      <c r="AH19" s="430"/>
    </row>
    <row r="20" spans="2:34" ht="16.5" customHeight="1">
      <c r="C20" s="420" t="s">
        <v>237</v>
      </c>
      <c r="D20" s="417" t="s">
        <v>492</v>
      </c>
      <c r="AE20" s="430"/>
      <c r="AF20" s="431"/>
      <c r="AG20" s="431"/>
      <c r="AH20" s="431"/>
    </row>
    <row r="21" spans="2:34" ht="16.5" customHeight="1">
      <c r="D21" s="417" t="s">
        <v>492</v>
      </c>
      <c r="F21" s="427" t="s">
        <v>3</v>
      </c>
      <c r="G21" s="739" t="s">
        <v>484</v>
      </c>
      <c r="H21" s="739"/>
      <c r="I21" s="427" t="s">
        <v>493</v>
      </c>
      <c r="J21" s="739" t="s">
        <v>486</v>
      </c>
      <c r="K21" s="739"/>
      <c r="L21" s="739"/>
      <c r="M21" s="427" t="s">
        <v>76</v>
      </c>
      <c r="N21" s="739" t="s">
        <v>487</v>
      </c>
      <c r="O21" s="739"/>
      <c r="P21" s="427" t="s">
        <v>76</v>
      </c>
      <c r="Q21" s="739" t="s">
        <v>488</v>
      </c>
      <c r="R21" s="739"/>
      <c r="S21" s="427" t="s">
        <v>76</v>
      </c>
      <c r="T21" s="739" t="s">
        <v>489</v>
      </c>
      <c r="U21" s="739"/>
      <c r="V21" s="428" t="s">
        <v>490</v>
      </c>
      <c r="AA21" s="428"/>
      <c r="AE21" s="430"/>
      <c r="AF21" s="430"/>
      <c r="AG21" s="430"/>
      <c r="AH21" s="430"/>
    </row>
    <row r="22" spans="2:34" ht="16.5" customHeight="1">
      <c r="F22" s="427" t="s">
        <v>3</v>
      </c>
      <c r="G22" s="740">
        <f>F15</f>
        <v>166.16831896551724</v>
      </c>
      <c r="H22" s="740"/>
      <c r="I22" s="427" t="s">
        <v>494</v>
      </c>
      <c r="J22" s="740">
        <f>I15</f>
        <v>22.175746705125732</v>
      </c>
      <c r="K22" s="740"/>
      <c r="L22" s="740"/>
      <c r="M22" s="427" t="s">
        <v>76</v>
      </c>
      <c r="N22" s="740">
        <f>M15</f>
        <v>22.989812522709808</v>
      </c>
      <c r="O22" s="740"/>
      <c r="P22" s="427" t="s">
        <v>76</v>
      </c>
      <c r="Q22" s="740">
        <f>P15</f>
        <v>35.75697986506146</v>
      </c>
      <c r="R22" s="740"/>
      <c r="S22" s="427" t="s">
        <v>76</v>
      </c>
      <c r="T22" s="740">
        <f>S15</f>
        <v>27.49518272044677</v>
      </c>
      <c r="U22" s="740"/>
      <c r="V22" s="428" t="s">
        <v>490</v>
      </c>
      <c r="AA22" s="428"/>
    </row>
    <row r="23" spans="2:34" ht="16.5" customHeight="1">
      <c r="F23" s="427" t="s">
        <v>3</v>
      </c>
      <c r="G23" s="740">
        <f>G22+(J22+N22+Q22+S240+T22)</f>
        <v>274.58604077886105</v>
      </c>
      <c r="H23" s="740"/>
      <c r="I23" s="417" t="s">
        <v>64</v>
      </c>
    </row>
    <row r="25" spans="2:34" ht="16.5" customHeight="1">
      <c r="B25" s="426" t="s">
        <v>477</v>
      </c>
      <c r="C25" s="418" t="s">
        <v>495</v>
      </c>
    </row>
    <row r="26" spans="2:34" ht="16.5" customHeight="1">
      <c r="C26" s="755" t="s">
        <v>633</v>
      </c>
      <c r="D26" s="739" t="s">
        <v>3</v>
      </c>
      <c r="E26" s="432" t="s">
        <v>496</v>
      </c>
      <c r="F26" s="432"/>
      <c r="G26" s="433" t="s">
        <v>76</v>
      </c>
      <c r="H26" s="432" t="s">
        <v>497</v>
      </c>
      <c r="I26" s="432"/>
    </row>
    <row r="27" spans="2:34" ht="16.5" customHeight="1">
      <c r="C27" s="755"/>
      <c r="D27" s="739"/>
      <c r="E27" s="417" t="s">
        <v>498</v>
      </c>
      <c r="G27" s="427" t="s">
        <v>76</v>
      </c>
      <c r="H27" s="417" t="s">
        <v>499</v>
      </c>
    </row>
    <row r="28" spans="2:34" ht="16.5" customHeight="1">
      <c r="D28" s="739" t="s">
        <v>3</v>
      </c>
      <c r="E28" s="754">
        <f>Q22</f>
        <v>35.75697986506146</v>
      </c>
      <c r="F28" s="754"/>
      <c r="G28" s="433" t="s">
        <v>76</v>
      </c>
      <c r="H28" s="754">
        <f>T22</f>
        <v>27.49518272044677</v>
      </c>
      <c r="I28" s="754"/>
      <c r="J28" s="739" t="s">
        <v>3</v>
      </c>
      <c r="K28" s="427"/>
      <c r="L28" s="739">
        <f>(E28+H28)/(E29+H29)</f>
        <v>1.4004512213927356</v>
      </c>
      <c r="M28" s="739"/>
    </row>
    <row r="29" spans="2:34" ht="16.5" customHeight="1">
      <c r="D29" s="739"/>
      <c r="E29" s="740">
        <f>J22</f>
        <v>22.175746705125732</v>
      </c>
      <c r="F29" s="740"/>
      <c r="G29" s="427" t="s">
        <v>76</v>
      </c>
      <c r="H29" s="740">
        <f>N22</f>
        <v>22.989812522709808</v>
      </c>
      <c r="I29" s="740"/>
      <c r="J29" s="739"/>
      <c r="K29" s="427"/>
      <c r="L29" s="739"/>
      <c r="M29" s="739"/>
    </row>
    <row r="30" spans="2:34" ht="16.5" customHeight="1">
      <c r="C30" s="417" t="s">
        <v>500</v>
      </c>
    </row>
    <row r="31" spans="2:34" ht="16.5" customHeight="1">
      <c r="C31" s="417" t="str">
        <f>IF(L28&lt;0.25,"Pasut tipe ganda (Semidiurnal)",IF(AND(L28&gt;0.25,L28&lt;1.51),"Pasut tipe campuran condong harian ganda (Mixed Tide Prevailing Semidiurnal)",IF(AND(L28&gt;1.5,L28&lt;3.1),"Pasut tipe campuran condong harian tunggal (Mixed Tide Prevailing Diurnal)",IF(L28&gt;3,"Pasut tipe tunggal (Diurnal)"))))</f>
        <v>Pasut tipe campuran condong harian ganda (Mixed Tide Prevailing Semidiurnal)</v>
      </c>
    </row>
    <row r="32" spans="2:34" ht="16.5" customHeight="1">
      <c r="C32" s="417" t="s">
        <v>501</v>
      </c>
    </row>
    <row r="34" spans="2:43" ht="16.5" customHeight="1">
      <c r="C34" s="417" t="s">
        <v>502</v>
      </c>
    </row>
    <row r="35" spans="2:43" ht="16.5" customHeight="1">
      <c r="D35" s="417" t="s">
        <v>503</v>
      </c>
      <c r="I35" s="427" t="s">
        <v>3</v>
      </c>
      <c r="J35" s="417" t="s">
        <v>504</v>
      </c>
    </row>
    <row r="36" spans="2:43" ht="16.5" customHeight="1">
      <c r="J36" s="417" t="s">
        <v>505</v>
      </c>
    </row>
    <row r="37" spans="2:43" ht="16.5" customHeight="1">
      <c r="D37" s="417" t="s">
        <v>506</v>
      </c>
      <c r="I37" s="427" t="s">
        <v>3</v>
      </c>
      <c r="J37" s="417" t="s">
        <v>507</v>
      </c>
    </row>
    <row r="38" spans="2:43" ht="16.5" customHeight="1">
      <c r="J38" s="417" t="s">
        <v>508</v>
      </c>
    </row>
    <row r="39" spans="2:43" ht="16.5" customHeight="1">
      <c r="D39" s="417" t="s">
        <v>509</v>
      </c>
      <c r="I39" s="427" t="s">
        <v>3</v>
      </c>
      <c r="J39" s="417" t="s">
        <v>510</v>
      </c>
    </row>
    <row r="40" spans="2:43" ht="16.5" customHeight="1">
      <c r="J40" s="417" t="s">
        <v>511</v>
      </c>
      <c r="AG40" s="437"/>
    </row>
    <row r="41" spans="2:43" ht="16.5" customHeight="1">
      <c r="J41" s="417" t="s">
        <v>512</v>
      </c>
    </row>
    <row r="42" spans="2:43" ht="16.5" customHeight="1">
      <c r="D42" s="417" t="s">
        <v>513</v>
      </c>
      <c r="I42" s="427" t="s">
        <v>3</v>
      </c>
      <c r="J42" s="417" t="s">
        <v>514</v>
      </c>
    </row>
    <row r="44" spans="2:43" ht="16.5" customHeight="1">
      <c r="B44" s="426" t="s">
        <v>515</v>
      </c>
      <c r="C44" s="418" t="s">
        <v>516</v>
      </c>
    </row>
    <row r="45" spans="2:43" ht="16.5" customHeight="1">
      <c r="C45" s="417" t="s">
        <v>517</v>
      </c>
      <c r="N45" s="527"/>
    </row>
    <row r="46" spans="2:43" ht="16.5" customHeight="1">
      <c r="C46" s="417" t="str">
        <f>C31</f>
        <v>Pasut tipe campuran condong harian ganda (Mixed Tide Prevailing Semidiurnal)</v>
      </c>
    </row>
    <row r="47" spans="2:43" ht="16.5" customHeight="1">
      <c r="C47" s="417" t="s">
        <v>492</v>
      </c>
      <c r="F47" s="427" t="s">
        <v>3</v>
      </c>
      <c r="G47" s="739" t="s">
        <v>518</v>
      </c>
      <c r="H47" s="739"/>
      <c r="I47" s="427" t="s">
        <v>76</v>
      </c>
      <c r="J47" s="427">
        <v>2</v>
      </c>
      <c r="K47" s="427" t="s">
        <v>519</v>
      </c>
      <c r="L47" s="739" t="s">
        <v>488</v>
      </c>
      <c r="M47" s="739"/>
      <c r="N47" s="427" t="s">
        <v>76</v>
      </c>
      <c r="O47" s="739" t="s">
        <v>489</v>
      </c>
      <c r="P47" s="739"/>
      <c r="Q47" s="427" t="s">
        <v>76</v>
      </c>
      <c r="R47" s="739" t="s">
        <v>487</v>
      </c>
      <c r="S47" s="739"/>
      <c r="T47" s="427" t="s">
        <v>76</v>
      </c>
      <c r="U47" s="739" t="s">
        <v>486</v>
      </c>
      <c r="V47" s="739"/>
      <c r="W47" s="428" t="s">
        <v>76</v>
      </c>
      <c r="X47" s="417" t="s">
        <v>631</v>
      </c>
      <c r="Y47" s="417" t="s">
        <v>76</v>
      </c>
      <c r="Z47" s="417" t="s">
        <v>599</v>
      </c>
      <c r="AA47" s="417" t="s">
        <v>76</v>
      </c>
      <c r="AB47" s="427" t="s">
        <v>610</v>
      </c>
      <c r="AC47" s="424"/>
      <c r="AD47" s="417" t="s">
        <v>645</v>
      </c>
      <c r="AE47" s="434"/>
      <c r="AF47" s="434"/>
      <c r="AG47" s="435"/>
      <c r="AH47" s="424"/>
      <c r="AI47" s="424"/>
      <c r="AJ47" s="424"/>
      <c r="AK47" s="424"/>
      <c r="AL47" s="424"/>
      <c r="AM47" s="424"/>
      <c r="AN47" s="424"/>
      <c r="AO47" s="434"/>
      <c r="AP47" s="424"/>
      <c r="AQ47" s="424"/>
    </row>
    <row r="48" spans="2:43" ht="16.5" customHeight="1">
      <c r="F48" s="427" t="s">
        <v>3</v>
      </c>
      <c r="G48" s="740">
        <f>G66</f>
        <v>28.393760180578276</v>
      </c>
      <c r="H48" s="740"/>
      <c r="I48" s="427" t="s">
        <v>76</v>
      </c>
      <c r="J48" s="427">
        <f>J47</f>
        <v>2</v>
      </c>
      <c r="K48" s="427" t="s">
        <v>519</v>
      </c>
      <c r="L48" s="740">
        <f>N5</f>
        <v>35.75697986506146</v>
      </c>
      <c r="M48" s="740"/>
      <c r="N48" s="427" t="s">
        <v>76</v>
      </c>
      <c r="O48" s="740">
        <f>P5</f>
        <v>27.49518272044677</v>
      </c>
      <c r="P48" s="740"/>
      <c r="Q48" s="427" t="s">
        <v>76</v>
      </c>
      <c r="R48" s="740">
        <f>I5</f>
        <v>22.989812522709808</v>
      </c>
      <c r="S48" s="740"/>
      <c r="T48" s="427" t="s">
        <v>76</v>
      </c>
      <c r="U48" s="740">
        <f>G5</f>
        <v>22.175746705125732</v>
      </c>
      <c r="V48" s="740"/>
      <c r="W48" s="417" t="s">
        <v>76</v>
      </c>
      <c r="X48" s="437">
        <f>L5</f>
        <v>17.557033616124922</v>
      </c>
      <c r="Y48" s="417" t="s">
        <v>76</v>
      </c>
      <c r="Z48" s="437">
        <f>X5</f>
        <v>11.799803355470283</v>
      </c>
      <c r="AA48" s="417" t="s">
        <v>76</v>
      </c>
      <c r="AB48" s="437">
        <f>V5</f>
        <v>6.2072493811316489</v>
      </c>
      <c r="AC48" s="424"/>
      <c r="AD48" s="437">
        <f>T5</f>
        <v>3.3061792774433885</v>
      </c>
      <c r="AE48" s="434"/>
      <c r="AF48" s="434"/>
      <c r="AG48" s="435"/>
      <c r="AH48" s="424"/>
      <c r="AI48" s="424"/>
      <c r="AJ48" s="424"/>
      <c r="AK48" s="424"/>
      <c r="AL48" s="424"/>
      <c r="AM48" s="424"/>
      <c r="AN48" s="424"/>
      <c r="AO48" s="434"/>
      <c r="AP48" s="424"/>
      <c r="AQ48" s="424"/>
    </row>
    <row r="49" spans="3:78" ht="16.5" customHeight="1">
      <c r="F49" s="427" t="s">
        <v>3</v>
      </c>
      <c r="G49" s="750">
        <f>G48+(J48*(L48+O48+R48+U48+AB48+X48+Z48+AB48+AD48))</f>
        <v>335.38423382986963</v>
      </c>
      <c r="H49" s="750"/>
      <c r="I49" s="418" t="s">
        <v>64</v>
      </c>
      <c r="AC49" s="424"/>
      <c r="AE49" s="434"/>
      <c r="AF49" s="434"/>
      <c r="AG49" s="435"/>
      <c r="AH49" s="424"/>
      <c r="AI49" s="424"/>
      <c r="AJ49" s="424"/>
      <c r="AK49" s="424"/>
      <c r="AL49" s="424"/>
      <c r="AM49" s="424"/>
      <c r="AN49" s="424"/>
      <c r="AO49" s="434"/>
      <c r="AP49" s="424"/>
      <c r="AQ49" s="424"/>
    </row>
    <row r="50" spans="3:78" ht="16.5" customHeight="1">
      <c r="C50" s="417" t="s">
        <v>611</v>
      </c>
      <c r="F50" s="427" t="s">
        <v>3</v>
      </c>
      <c r="G50" s="752" t="s">
        <v>518</v>
      </c>
      <c r="H50" s="752"/>
      <c r="I50" s="495" t="s">
        <v>493</v>
      </c>
      <c r="J50" s="493">
        <v>2</v>
      </c>
      <c r="K50" s="493" t="s">
        <v>519</v>
      </c>
      <c r="L50" s="752" t="str">
        <f>IF(C46="Pasut tipe ganda (Semidiurnal)","AS2",IF(C46="Pasut tipe campuran condong harian ganda (Mixed Tide Prevailing Semidiurnal)","AS2","AK1"))</f>
        <v>AS2</v>
      </c>
      <c r="M50" s="752"/>
      <c r="N50" s="493" t="s">
        <v>76</v>
      </c>
      <c r="O50" s="752" t="str">
        <f>IF(C46="Pasut tipe ganda (Semidiurnal)","AM2",IF(C46="Pasut tipe campuran condong harian ganda (Mixed Tide Prevailing Semidiurnal)","AM2","AO1"))</f>
        <v>AM2</v>
      </c>
      <c r="P50" s="752"/>
      <c r="Q50" s="493" t="s">
        <v>76</v>
      </c>
      <c r="R50" s="752" t="str">
        <f>IF(C46="Pasut tipe ganda (Semidiurnal)","AK1",IF(C46="Pasut tipe campuran condong harian ganda (Mixed Tide Prevailing Semidiurnal)","AK1","AS2"))</f>
        <v>AK1</v>
      </c>
      <c r="S50" s="752"/>
      <c r="T50" s="493" t="s">
        <v>76</v>
      </c>
      <c r="U50" s="752" t="str">
        <f>IF(C46="Pasut tipe ganda (Semidiurnal)","AO1",IF(C46="Pasut tipe campuran condong harian ganda (Mixed Tide Prevailing Semidiurnal)","AO1","AM2"))</f>
        <v>AO1</v>
      </c>
      <c r="V50" s="752"/>
      <c r="W50" s="493" t="s">
        <v>76</v>
      </c>
      <c r="X50" s="494" t="s">
        <v>541</v>
      </c>
      <c r="Y50" s="494" t="s">
        <v>76</v>
      </c>
      <c r="Z50" s="417" t="s">
        <v>608</v>
      </c>
      <c r="AE50" s="437"/>
      <c r="AF50" s="437"/>
      <c r="AG50" s="435"/>
      <c r="AH50" s="424"/>
      <c r="AI50" s="424"/>
      <c r="AJ50" s="424"/>
      <c r="AK50" s="424"/>
      <c r="AL50" s="424"/>
      <c r="AM50" s="424"/>
      <c r="AN50" s="424"/>
      <c r="AO50" s="434"/>
      <c r="AP50" s="424"/>
      <c r="AQ50" s="424"/>
    </row>
    <row r="51" spans="3:78" ht="16.5" customHeight="1">
      <c r="F51" s="427" t="s">
        <v>3</v>
      </c>
      <c r="G51" s="752">
        <f>G66</f>
        <v>28.393760180578276</v>
      </c>
      <c r="H51" s="752"/>
      <c r="I51" s="495" t="s">
        <v>493</v>
      </c>
      <c r="J51" s="493">
        <v>2</v>
      </c>
      <c r="K51" s="493" t="s">
        <v>519</v>
      </c>
      <c r="L51" s="752">
        <f>I5</f>
        <v>22.989812522709808</v>
      </c>
      <c r="M51" s="752"/>
      <c r="N51" s="493" t="s">
        <v>76</v>
      </c>
      <c r="O51" s="752">
        <f>IF(O50="AM2",G5,IF(O50="AO1",P5,""))</f>
        <v>22.175746705125732</v>
      </c>
      <c r="P51" s="752"/>
      <c r="Q51" s="493" t="s">
        <v>76</v>
      </c>
      <c r="R51" s="752">
        <f>IF(R50="AK1",N5,IF(R50="AS2",I5))</f>
        <v>35.75697986506146</v>
      </c>
      <c r="S51" s="752"/>
      <c r="T51" s="493" t="s">
        <v>76</v>
      </c>
      <c r="U51" s="752">
        <f>IF(U50="AO1",P5,IF(U50="AM2",G5))</f>
        <v>27.49518272044677</v>
      </c>
      <c r="V51" s="752"/>
      <c r="W51" s="494" t="s">
        <v>76</v>
      </c>
      <c r="X51" s="494">
        <f>V5</f>
        <v>6.2072493811316489</v>
      </c>
      <c r="Y51" s="494" t="s">
        <v>76</v>
      </c>
      <c r="Z51" s="422">
        <f>L5</f>
        <v>17.557033616124922</v>
      </c>
      <c r="AB51" s="422"/>
      <c r="AC51" s="427"/>
      <c r="AD51" s="427"/>
      <c r="AE51" s="437"/>
      <c r="AF51" s="434"/>
      <c r="AG51" s="435"/>
      <c r="AH51" s="424"/>
      <c r="AI51" s="424"/>
      <c r="AJ51" s="424"/>
      <c r="AK51" s="424"/>
      <c r="AL51" s="424"/>
      <c r="AM51" s="424"/>
      <c r="AN51" s="424"/>
      <c r="AO51" s="434"/>
      <c r="AP51" s="424"/>
      <c r="AQ51" s="424"/>
    </row>
    <row r="52" spans="3:78" ht="16.5" customHeight="1">
      <c r="F52" s="427" t="s">
        <v>3</v>
      </c>
      <c r="G52" s="753">
        <f>G51+(J51*(L51+O51+R51+U51+X51+Z51))</f>
        <v>292.75776980177898</v>
      </c>
      <c r="H52" s="753"/>
      <c r="I52" s="494" t="s">
        <v>64</v>
      </c>
      <c r="J52" s="494"/>
      <c r="K52" s="494"/>
      <c r="L52" s="494"/>
      <c r="M52" s="494"/>
      <c r="N52" s="528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Y52" s="494"/>
      <c r="AC52" s="424"/>
      <c r="AD52" s="424"/>
      <c r="AE52" s="434"/>
      <c r="AF52" s="434"/>
      <c r="AG52" s="435"/>
      <c r="AH52" s="424"/>
      <c r="AI52" s="424"/>
      <c r="AJ52" s="424"/>
      <c r="AK52" s="424"/>
      <c r="AL52" s="424"/>
      <c r="AM52" s="424"/>
      <c r="AN52" s="424"/>
      <c r="AO52" s="434"/>
      <c r="AP52" s="424"/>
      <c r="AQ52" s="424"/>
    </row>
    <row r="53" spans="3:78" ht="16.5" customHeight="1">
      <c r="F53" s="427"/>
      <c r="G53" s="436"/>
      <c r="H53" s="420"/>
      <c r="I53" s="418"/>
      <c r="AC53" s="424"/>
      <c r="AD53" s="424"/>
      <c r="AE53" s="434"/>
      <c r="AF53" s="434"/>
      <c r="AG53" s="517">
        <f>G49-G57</f>
        <v>169.21591486435238</v>
      </c>
      <c r="AH53" s="424"/>
      <c r="AI53" s="424"/>
      <c r="AJ53" s="424"/>
      <c r="AK53" s="424"/>
      <c r="AL53" s="424"/>
      <c r="AM53" s="424"/>
      <c r="AN53" s="424"/>
      <c r="AO53" s="434"/>
      <c r="AP53" s="424"/>
      <c r="AQ53" s="424"/>
    </row>
    <row r="54" spans="3:78" ht="16.5" customHeight="1">
      <c r="C54" s="417" t="s">
        <v>612</v>
      </c>
      <c r="F54" s="427" t="s">
        <v>3</v>
      </c>
      <c r="G54" s="752" t="s">
        <v>518</v>
      </c>
      <c r="H54" s="752"/>
      <c r="I54" s="495" t="s">
        <v>493</v>
      </c>
      <c r="J54" s="493">
        <v>2</v>
      </c>
      <c r="K54" s="493" t="s">
        <v>519</v>
      </c>
      <c r="L54" s="752" t="str">
        <f>IF(C46="Pasut tipe ganda (Semidiurnal)","AM2",IF(C46="Pasut tipe campuran condong harian ganda (Mixed Tide Prevailing Semidiurnal)","AM2","AK1"))</f>
        <v>AM2</v>
      </c>
      <c r="M54" s="752"/>
      <c r="N54" s="493" t="s">
        <v>76</v>
      </c>
      <c r="O54" s="752" t="str">
        <f>IF(C46="Pasut tipe ganda (Semidiurnal)","AK1",IF(C46="Pasut tipe campuran condong harian ganda (Mixed Tide Prevailing Semidiurnal)","AK1","AS2"))</f>
        <v>AK1</v>
      </c>
      <c r="P54" s="752"/>
      <c r="Q54" s="493" t="s">
        <v>616</v>
      </c>
      <c r="R54" s="752" t="str">
        <f>IF(C46="Pasut tipe ganda (Semidiurnal)","AO1",IF(C46="Pasut tipe campuran condong harian ganda (Mixed Tide Prevailing Semidiurnal)","AO1","AM2"))</f>
        <v>AO1</v>
      </c>
      <c r="S54" s="752"/>
      <c r="T54" s="493" t="s">
        <v>76</v>
      </c>
      <c r="U54" s="494" t="str">
        <f>L50</f>
        <v>AS2</v>
      </c>
      <c r="V54" s="494" t="s">
        <v>76</v>
      </c>
      <c r="W54" s="494" t="s">
        <v>608</v>
      </c>
      <c r="X54" s="494" t="s">
        <v>76</v>
      </c>
      <c r="Y54" s="494" t="s">
        <v>609</v>
      </c>
      <c r="Z54" s="494"/>
      <c r="AA54" s="417" t="s">
        <v>76</v>
      </c>
      <c r="AB54" s="417" t="s">
        <v>610</v>
      </c>
      <c r="AC54" s="424"/>
      <c r="AD54" s="424"/>
      <c r="AE54" s="434"/>
      <c r="AF54" s="434"/>
      <c r="AG54" s="518">
        <f>G57-G66</f>
        <v>137.77455878493896</v>
      </c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</row>
    <row r="55" spans="3:78" ht="16.5" customHeight="1">
      <c r="F55" s="427" t="s">
        <v>3</v>
      </c>
      <c r="G55" s="752">
        <f>G66</f>
        <v>28.393760180578276</v>
      </c>
      <c r="H55" s="752"/>
      <c r="I55" s="495" t="s">
        <v>493</v>
      </c>
      <c r="J55" s="493">
        <f>J54</f>
        <v>2</v>
      </c>
      <c r="K55" s="493" t="s">
        <v>519</v>
      </c>
      <c r="L55" s="752">
        <f>IF(L54="AM2",G5,IF(L54="AK1",N5))</f>
        <v>22.175746705125732</v>
      </c>
      <c r="M55" s="752"/>
      <c r="N55" s="493" t="s">
        <v>76</v>
      </c>
      <c r="O55" s="752">
        <f>IF(O54="AK1",N5,IF(O54="AS2",I5))</f>
        <v>35.75697986506146</v>
      </c>
      <c r="P55" s="752"/>
      <c r="Q55" s="493" t="s">
        <v>616</v>
      </c>
      <c r="R55" s="752">
        <f>P5</f>
        <v>27.49518272044677</v>
      </c>
      <c r="S55" s="752"/>
      <c r="T55" s="494" t="s">
        <v>76</v>
      </c>
      <c r="U55" s="494">
        <f>L51</f>
        <v>22.989812522709808</v>
      </c>
      <c r="V55" s="494" t="s">
        <v>76</v>
      </c>
      <c r="W55" s="494">
        <f>L5</f>
        <v>17.557033616124922</v>
      </c>
      <c r="X55" s="519" t="s">
        <v>76</v>
      </c>
      <c r="Y55" s="591">
        <f>X5</f>
        <v>11.799803355470283</v>
      </c>
      <c r="Z55" s="519"/>
      <c r="AA55" s="520" t="s">
        <v>76</v>
      </c>
      <c r="AB55" s="422">
        <f>V5</f>
        <v>6.2072493811316489</v>
      </c>
      <c r="AC55" s="424"/>
      <c r="AD55" s="424"/>
      <c r="AE55" s="434"/>
      <c r="AF55" s="43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</row>
    <row r="56" spans="3:78" ht="16.5" customHeight="1">
      <c r="F56" s="427" t="s">
        <v>3</v>
      </c>
      <c r="G56" s="753">
        <f>G55+(J55*(L55+O55))+R55+U55+W55+Y55+AB55</f>
        <v>230.30829491683608</v>
      </c>
      <c r="H56" s="753"/>
      <c r="I56" s="494" t="s">
        <v>64</v>
      </c>
      <c r="J56" s="494"/>
      <c r="K56" s="494"/>
      <c r="L56" s="494"/>
      <c r="M56" s="494"/>
      <c r="N56" s="528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Y56" s="494"/>
      <c r="Z56" s="494"/>
    </row>
    <row r="57" spans="3:78" ht="16.5" customHeight="1">
      <c r="C57" s="417" t="s">
        <v>479</v>
      </c>
      <c r="F57" s="427" t="s">
        <v>3</v>
      </c>
      <c r="G57" s="750">
        <f>J10</f>
        <v>166.16831896551724</v>
      </c>
      <c r="H57" s="750"/>
      <c r="I57" s="418" t="s">
        <v>64</v>
      </c>
      <c r="BX57" s="590">
        <v>44213</v>
      </c>
      <c r="BZ57" s="417">
        <v>44213</v>
      </c>
    </row>
    <row r="58" spans="3:78" ht="16.5" customHeight="1">
      <c r="C58" s="417" t="s">
        <v>613</v>
      </c>
      <c r="F58" s="427" t="s">
        <v>3</v>
      </c>
      <c r="G58" s="752" t="s">
        <v>518</v>
      </c>
      <c r="H58" s="752"/>
      <c r="I58" s="493" t="s">
        <v>76</v>
      </c>
      <c r="J58" s="493">
        <v>2</v>
      </c>
      <c r="K58" s="493" t="s">
        <v>519</v>
      </c>
      <c r="L58" s="752" t="str">
        <f>IF(C46="Pasut tipe ganda (Semidiurnal)","AS2",IF(C46="Pasut tipe campuran condong harian ganda (Mixed Tide Prevailing Semidiurnal)","AS2","AO1"))</f>
        <v>AS2</v>
      </c>
      <c r="M58" s="752"/>
      <c r="N58" s="493" t="s">
        <v>76</v>
      </c>
      <c r="O58" s="752" t="str">
        <f>IF(C46="Pasut tipe ganda (Semidiurnal)","AK1",IF(C46="Pasut tipe campuran condong harian ganda (Mixed Tide Prevailing Semidiurnal)","AK1","AS2"))</f>
        <v>AK1</v>
      </c>
      <c r="P58" s="752"/>
      <c r="Q58" s="493" t="s">
        <v>76</v>
      </c>
      <c r="R58" s="752" t="s">
        <v>605</v>
      </c>
      <c r="S58" s="752"/>
      <c r="T58" s="494" t="s">
        <v>490</v>
      </c>
      <c r="U58" s="739"/>
      <c r="V58" s="739"/>
      <c r="AK58" s="437"/>
      <c r="BX58" s="503">
        <v>44241.958333333336</v>
      </c>
      <c r="BZ58" s="417">
        <v>44241.958333333299</v>
      </c>
    </row>
    <row r="59" spans="3:78" ht="16.5" customHeight="1">
      <c r="F59" s="427" t="s">
        <v>3</v>
      </c>
      <c r="G59" s="752">
        <f>G66</f>
        <v>28.393760180578276</v>
      </c>
      <c r="H59" s="752"/>
      <c r="I59" s="493" t="s">
        <v>76</v>
      </c>
      <c r="J59" s="493">
        <v>2</v>
      </c>
      <c r="K59" s="493" t="s">
        <v>519</v>
      </c>
      <c r="L59" s="752">
        <f>I5</f>
        <v>22.989812522709808</v>
      </c>
      <c r="M59" s="752"/>
      <c r="N59" s="493" t="s">
        <v>615</v>
      </c>
      <c r="O59" s="752">
        <f>N5</f>
        <v>35.75697986506146</v>
      </c>
      <c r="P59" s="752"/>
      <c r="Q59" s="493" t="s">
        <v>76</v>
      </c>
      <c r="R59" s="752"/>
      <c r="S59" s="752"/>
      <c r="T59" s="494" t="s">
        <v>490</v>
      </c>
      <c r="U59" s="437"/>
      <c r="X59" s="437"/>
      <c r="Z59" s="437"/>
    </row>
    <row r="60" spans="3:78" ht="16.5" customHeight="1">
      <c r="F60" s="427" t="s">
        <v>3</v>
      </c>
      <c r="G60" s="753">
        <f>G59+((L59+O59+R59))</f>
        <v>87.140552568349534</v>
      </c>
      <c r="H60" s="753"/>
      <c r="I60" s="418" t="s">
        <v>64</v>
      </c>
      <c r="N60" s="529">
        <f>N45-(G5+I5)</f>
        <v>-45.165559227835544</v>
      </c>
    </row>
    <row r="61" spans="3:78" ht="16.5" customHeight="1">
      <c r="C61" s="417" t="s">
        <v>614</v>
      </c>
      <c r="F61" s="427" t="s">
        <v>3</v>
      </c>
      <c r="G61" s="752" t="s">
        <v>518</v>
      </c>
      <c r="H61" s="752"/>
      <c r="I61" s="493" t="s">
        <v>76</v>
      </c>
      <c r="J61" s="752" t="str">
        <f>IF(C46="Pasut tipe ganda (Semidiurnal)","AK1",IF(C46="Pasut tipe campuran condong harian ganda (Mixed Tide Prevailing Semidiurnal)","AK1","AS2"))</f>
        <v>AK1</v>
      </c>
      <c r="K61" s="752"/>
      <c r="L61" s="752"/>
      <c r="M61" s="493" t="s">
        <v>76</v>
      </c>
      <c r="N61" s="752" t="str">
        <f>IF(C46="Pasut tipe ganda (Semidiurnal)","AO1",IF(C46="Pasut tipe campuran condong harian ganda (Mixed Tide Prevailing Semidiurnal)","AO1","AM2"))</f>
        <v>AO1</v>
      </c>
      <c r="O61" s="752"/>
      <c r="Q61" s="427"/>
    </row>
    <row r="62" spans="3:78" ht="16.5" customHeight="1">
      <c r="F62" s="427" t="s">
        <v>3</v>
      </c>
      <c r="G62" s="740">
        <f>G66</f>
        <v>28.393760180578276</v>
      </c>
      <c r="H62" s="740"/>
      <c r="I62" s="427" t="s">
        <v>76</v>
      </c>
      <c r="J62" s="740"/>
      <c r="K62" s="740"/>
      <c r="L62" s="740"/>
      <c r="M62" s="427" t="s">
        <v>76</v>
      </c>
      <c r="N62" s="740">
        <f>P5</f>
        <v>27.49518272044677</v>
      </c>
      <c r="O62" s="740"/>
      <c r="Q62" s="427"/>
    </row>
    <row r="63" spans="3:78" ht="16.5" customHeight="1">
      <c r="F63" s="427" t="s">
        <v>3</v>
      </c>
      <c r="G63" s="750">
        <f>G62+J62+N62</f>
        <v>55.888942901025047</v>
      </c>
      <c r="H63" s="750"/>
      <c r="I63" s="418" t="s">
        <v>64</v>
      </c>
      <c r="N63" s="527"/>
    </row>
    <row r="64" spans="3:78" ht="16.5" customHeight="1">
      <c r="C64" s="417" t="s">
        <v>518</v>
      </c>
      <c r="F64" s="427" t="s">
        <v>3</v>
      </c>
      <c r="G64" s="752" t="s">
        <v>479</v>
      </c>
      <c r="H64" s="752"/>
      <c r="I64" s="493" t="s">
        <v>77</v>
      </c>
      <c r="J64" s="752" t="s">
        <v>604</v>
      </c>
      <c r="K64" s="752"/>
      <c r="L64" s="752"/>
      <c r="M64" s="493" t="s">
        <v>77</v>
      </c>
      <c r="N64" s="752" t="s">
        <v>605</v>
      </c>
      <c r="O64" s="752"/>
      <c r="P64" s="493" t="s">
        <v>77</v>
      </c>
      <c r="Q64" s="752" t="s">
        <v>606</v>
      </c>
      <c r="R64" s="752"/>
      <c r="S64" s="493" t="s">
        <v>77</v>
      </c>
      <c r="T64" s="752" t="s">
        <v>607</v>
      </c>
      <c r="U64" s="752"/>
      <c r="V64" s="494" t="s">
        <v>77</v>
      </c>
      <c r="W64" s="494" t="s">
        <v>608</v>
      </c>
      <c r="X64" s="494"/>
      <c r="Y64" s="494" t="s">
        <v>77</v>
      </c>
      <c r="Z64" s="494" t="s">
        <v>609</v>
      </c>
      <c r="AA64" s="494" t="s">
        <v>77</v>
      </c>
      <c r="AB64" s="494" t="s">
        <v>610</v>
      </c>
      <c r="AC64" s="494" t="s">
        <v>77</v>
      </c>
      <c r="AD64" s="494" t="s">
        <v>601</v>
      </c>
      <c r="AE64" s="494" t="s">
        <v>77</v>
      </c>
      <c r="AF64" s="417" t="s">
        <v>600</v>
      </c>
      <c r="AG64" s="427"/>
      <c r="AH64" s="739"/>
      <c r="AI64" s="739"/>
      <c r="AJ64" s="739"/>
      <c r="AK64" s="427"/>
      <c r="AL64" s="739"/>
      <c r="AM64" s="739"/>
      <c r="AN64" s="427"/>
      <c r="AO64" s="739"/>
      <c r="AP64" s="739"/>
      <c r="AQ64" s="427"/>
      <c r="AR64" s="739"/>
      <c r="AS64" s="739"/>
    </row>
    <row r="65" spans="2:53" ht="16.5" customHeight="1">
      <c r="F65" s="427" t="s">
        <v>3</v>
      </c>
      <c r="G65" s="752">
        <f>J10</f>
        <v>166.16831896551724</v>
      </c>
      <c r="H65" s="752"/>
      <c r="I65" s="493" t="s">
        <v>77</v>
      </c>
      <c r="J65" s="752">
        <f>N5</f>
        <v>35.75697986506146</v>
      </c>
      <c r="K65" s="752"/>
      <c r="L65" s="752"/>
      <c r="M65" s="493" t="s">
        <v>77</v>
      </c>
      <c r="N65" s="752">
        <f>P5</f>
        <v>27.49518272044677</v>
      </c>
      <c r="O65" s="752"/>
      <c r="P65" s="493" t="s">
        <v>77</v>
      </c>
      <c r="Q65" s="752">
        <f>I5</f>
        <v>22.989812522709808</v>
      </c>
      <c r="R65" s="752"/>
      <c r="S65" s="493" t="s">
        <v>77</v>
      </c>
      <c r="T65" s="752">
        <f>G5</f>
        <v>22.175746705125732</v>
      </c>
      <c r="U65" s="752"/>
      <c r="V65" s="494" t="s">
        <v>77</v>
      </c>
      <c r="W65" s="751">
        <f>L5</f>
        <v>17.557033616124922</v>
      </c>
      <c r="X65" s="751"/>
      <c r="Y65" s="494"/>
      <c r="Z65" s="494">
        <f>X5</f>
        <v>11.799803355470283</v>
      </c>
      <c r="AA65" s="494"/>
      <c r="AB65" s="494"/>
      <c r="AC65" s="494"/>
      <c r="AD65" s="494"/>
      <c r="AE65" s="494"/>
      <c r="AF65" s="437"/>
      <c r="AG65" s="427"/>
      <c r="AH65" s="740"/>
      <c r="AI65" s="740"/>
      <c r="AJ65" s="740"/>
      <c r="AK65" s="427"/>
      <c r="AL65" s="740"/>
      <c r="AM65" s="740"/>
      <c r="AN65" s="427"/>
      <c r="AO65" s="740"/>
      <c r="AP65" s="740"/>
      <c r="AQ65" s="427"/>
      <c r="AR65" s="740"/>
      <c r="AS65" s="740"/>
    </row>
    <row r="66" spans="2:53" ht="16.5" customHeight="1">
      <c r="F66" s="427" t="s">
        <v>3</v>
      </c>
      <c r="G66" s="750">
        <f>G65-J65-N65-Q65-T65-W65-Z65-AB65-AD65-AF65</f>
        <v>28.393760180578276</v>
      </c>
      <c r="H66" s="750"/>
      <c r="I66" s="418" t="s">
        <v>64</v>
      </c>
      <c r="AE66" s="492"/>
      <c r="AF66" s="492"/>
      <c r="AG66" s="418"/>
    </row>
    <row r="67" spans="2:53" ht="16.5" customHeight="1">
      <c r="F67" s="427"/>
      <c r="G67" s="436"/>
      <c r="H67" s="420"/>
      <c r="I67" s="418"/>
    </row>
    <row r="68" spans="2:53" ht="16.5" customHeight="1">
      <c r="B68" s="426" t="s">
        <v>515</v>
      </c>
      <c r="C68" s="418" t="s">
        <v>602</v>
      </c>
      <c r="AG68" s="417" t="s">
        <v>632</v>
      </c>
    </row>
    <row r="69" spans="2:53" ht="16.5" customHeight="1">
      <c r="C69" s="417" t="str">
        <f>C47</f>
        <v>HAT</v>
      </c>
      <c r="F69" s="438" t="s">
        <v>520</v>
      </c>
      <c r="P69" s="417">
        <v>1</v>
      </c>
      <c r="Q69" s="427" t="s">
        <v>3</v>
      </c>
      <c r="R69" s="740">
        <f>G49</f>
        <v>335.38423382986963</v>
      </c>
      <c r="S69" s="740"/>
      <c r="T69" s="740" t="str">
        <f>I49</f>
        <v>cm</v>
      </c>
      <c r="U69" s="740"/>
      <c r="V69" s="439" t="s">
        <v>3</v>
      </c>
      <c r="W69" s="748">
        <f>R69-$R$74</f>
        <v>279.49529092884461</v>
      </c>
      <c r="X69" s="748"/>
      <c r="Y69" s="740" t="s">
        <v>542</v>
      </c>
      <c r="Z69" s="740"/>
      <c r="AA69" s="439"/>
      <c r="AB69" s="440">
        <f>(R69-$R$72)/100</f>
        <v>1.6921591486435239</v>
      </c>
      <c r="AC69" s="740" t="s">
        <v>620</v>
      </c>
      <c r="AD69" s="740"/>
      <c r="AF69" s="440">
        <f>W69-$W$74</f>
        <v>279.49529092884461</v>
      </c>
      <c r="AG69" s="427">
        <v>420.36797125260841</v>
      </c>
      <c r="AI69" s="437">
        <f>R69-AG69</f>
        <v>-84.983737422738784</v>
      </c>
      <c r="AK69" s="440">
        <f>R69/1000</f>
        <v>0.33538423382986965</v>
      </c>
      <c r="AL69" s="440">
        <f>AG69/1000</f>
        <v>0.42036797125260839</v>
      </c>
    </row>
    <row r="70" spans="2:53" ht="16.5" customHeight="1">
      <c r="C70" s="417" t="str">
        <f>C50</f>
        <v>HHWL</v>
      </c>
      <c r="F70" s="438" t="s">
        <v>521</v>
      </c>
      <c r="P70" s="417">
        <v>2</v>
      </c>
      <c r="Q70" s="427" t="s">
        <v>3</v>
      </c>
      <c r="R70" s="740">
        <f>G52</f>
        <v>292.75776980177898</v>
      </c>
      <c r="S70" s="740"/>
      <c r="T70" s="740" t="str">
        <f>I52</f>
        <v>cm</v>
      </c>
      <c r="U70" s="740"/>
      <c r="V70" s="439" t="s">
        <v>3</v>
      </c>
      <c r="W70" s="748">
        <f t="shared" ref="W70:W75" si="0">R70-$R$74</f>
        <v>236.86882690075393</v>
      </c>
      <c r="X70" s="748"/>
      <c r="Y70" s="740" t="s">
        <v>542</v>
      </c>
      <c r="Z70" s="740"/>
      <c r="AA70" s="439"/>
      <c r="AB70" s="440">
        <f t="shared" ref="AB70:AB75" si="1">(R70-$R$72)/100</f>
        <v>1.2658945083626174</v>
      </c>
      <c r="AC70" s="740" t="s">
        <v>620</v>
      </c>
      <c r="AD70" s="740"/>
      <c r="AF70" s="440">
        <f t="shared" ref="AF70:AF75" si="2">W70-$W$74</f>
        <v>236.86882690075393</v>
      </c>
      <c r="AG70" s="427">
        <v>389.16903418569484</v>
      </c>
      <c r="AI70" s="437">
        <f t="shared" ref="AI70:AI75" si="3">R70-AG70</f>
        <v>-96.411264383915864</v>
      </c>
      <c r="AK70" s="440">
        <f t="shared" ref="AK70:AK75" si="4">R70/1000</f>
        <v>0.29275776980177898</v>
      </c>
      <c r="AL70" s="440">
        <f t="shared" ref="AL70:AL75" si="5">AG70/1000</f>
        <v>0.38916903418569482</v>
      </c>
      <c r="AM70" s="437"/>
    </row>
    <row r="71" spans="2:53" ht="16.5" customHeight="1">
      <c r="C71" s="417" t="str">
        <f>C54</f>
        <v>MHWL</v>
      </c>
      <c r="F71" s="438" t="s">
        <v>522</v>
      </c>
      <c r="P71" s="417">
        <v>3</v>
      </c>
      <c r="Q71" s="427" t="s">
        <v>3</v>
      </c>
      <c r="R71" s="740">
        <f>G56</f>
        <v>230.30829491683608</v>
      </c>
      <c r="S71" s="740"/>
      <c r="T71" s="740" t="str">
        <f>I56</f>
        <v>cm</v>
      </c>
      <c r="U71" s="740"/>
      <c r="V71" s="439" t="s">
        <v>3</v>
      </c>
      <c r="W71" s="748">
        <f t="shared" si="0"/>
        <v>174.41935201581103</v>
      </c>
      <c r="X71" s="748"/>
      <c r="Y71" s="740" t="s">
        <v>542</v>
      </c>
      <c r="Z71" s="740"/>
      <c r="AA71" s="439"/>
      <c r="AB71" s="440">
        <f t="shared" si="1"/>
        <v>0.64139975951318828</v>
      </c>
      <c r="AC71" s="740" t="s">
        <v>620</v>
      </c>
      <c r="AD71" s="740"/>
      <c r="AF71" s="440">
        <f t="shared" si="2"/>
        <v>174.41935201581103</v>
      </c>
      <c r="AG71" s="427">
        <v>335.56852710889063</v>
      </c>
      <c r="AI71" s="437">
        <f t="shared" si="3"/>
        <v>-105.26023219205456</v>
      </c>
      <c r="AK71" s="440">
        <f t="shared" si="4"/>
        <v>0.23030829491683608</v>
      </c>
      <c r="AL71" s="440">
        <f t="shared" si="5"/>
        <v>0.33556852710889062</v>
      </c>
      <c r="AM71" s="437"/>
    </row>
    <row r="72" spans="2:53" ht="16.5" customHeight="1">
      <c r="C72" s="417" t="str">
        <f>C57</f>
        <v>MSL</v>
      </c>
      <c r="F72" s="438" t="s">
        <v>523</v>
      </c>
      <c r="P72" s="417">
        <v>4</v>
      </c>
      <c r="Q72" s="427" t="s">
        <v>3</v>
      </c>
      <c r="R72" s="740">
        <f>G57</f>
        <v>166.16831896551724</v>
      </c>
      <c r="S72" s="740"/>
      <c r="T72" s="740" t="str">
        <f>I57</f>
        <v>cm</v>
      </c>
      <c r="U72" s="740"/>
      <c r="V72" s="439" t="s">
        <v>3</v>
      </c>
      <c r="W72" s="748">
        <f t="shared" si="0"/>
        <v>110.2793760644922</v>
      </c>
      <c r="X72" s="748"/>
      <c r="Y72" s="740" t="s">
        <v>542</v>
      </c>
      <c r="Z72" s="740"/>
      <c r="AA72" s="439"/>
      <c r="AB72" s="440">
        <f t="shared" si="1"/>
        <v>0</v>
      </c>
      <c r="AC72" s="740" t="s">
        <v>620</v>
      </c>
      <c r="AD72" s="740"/>
      <c r="AF72" s="440">
        <f t="shared" si="2"/>
        <v>110.2793760644922</v>
      </c>
      <c r="AG72" s="427">
        <v>277.2986166666667</v>
      </c>
      <c r="AI72" s="437">
        <f t="shared" si="3"/>
        <v>-111.13029770114946</v>
      </c>
      <c r="AK72" s="440">
        <f t="shared" si="4"/>
        <v>0.16616831896551723</v>
      </c>
      <c r="AL72" s="440">
        <f t="shared" si="5"/>
        <v>0.27729861666666672</v>
      </c>
    </row>
    <row r="73" spans="2:53" ht="16.5" customHeight="1">
      <c r="C73" s="417" t="str">
        <f>C58</f>
        <v>MLWL</v>
      </c>
      <c r="F73" s="438" t="s">
        <v>524</v>
      </c>
      <c r="P73" s="417">
        <v>5</v>
      </c>
      <c r="Q73" s="427" t="s">
        <v>3</v>
      </c>
      <c r="R73" s="740">
        <f>G60</f>
        <v>87.140552568349534</v>
      </c>
      <c r="S73" s="740"/>
      <c r="T73" s="740" t="str">
        <f>I60</f>
        <v>cm</v>
      </c>
      <c r="U73" s="740"/>
      <c r="V73" s="439" t="s">
        <v>3</v>
      </c>
      <c r="W73" s="748">
        <f t="shared" si="0"/>
        <v>31.251609667324487</v>
      </c>
      <c r="X73" s="748"/>
      <c r="Y73" s="740" t="s">
        <v>542</v>
      </c>
      <c r="Z73" s="740"/>
      <c r="AA73" s="439"/>
      <c r="AB73" s="440">
        <f t="shared" si="1"/>
        <v>-0.79027766397167709</v>
      </c>
      <c r="AC73" s="740" t="s">
        <v>620</v>
      </c>
      <c r="AD73" s="740"/>
      <c r="AF73" s="440">
        <f t="shared" si="2"/>
        <v>31.251609667324487</v>
      </c>
      <c r="AG73" s="427">
        <v>215.73839237163031</v>
      </c>
      <c r="AI73" s="437">
        <f t="shared" si="3"/>
        <v>-128.59783980328078</v>
      </c>
      <c r="AK73" s="440">
        <f t="shared" si="4"/>
        <v>8.714055256834953E-2</v>
      </c>
      <c r="AL73" s="440">
        <f t="shared" si="5"/>
        <v>0.21573839237163031</v>
      </c>
    </row>
    <row r="74" spans="2:53" ht="16.5" customHeight="1">
      <c r="C74" s="417" t="str">
        <f>C61</f>
        <v>LLWL</v>
      </c>
      <c r="F74" s="417" t="s">
        <v>525</v>
      </c>
      <c r="P74" s="417">
        <v>6</v>
      </c>
      <c r="Q74" s="427" t="s">
        <v>3</v>
      </c>
      <c r="R74" s="740">
        <f>G63</f>
        <v>55.888942901025047</v>
      </c>
      <c r="S74" s="740"/>
      <c r="T74" s="740" t="str">
        <f>I63</f>
        <v>cm</v>
      </c>
      <c r="U74" s="740"/>
      <c r="V74" s="439" t="s">
        <v>3</v>
      </c>
      <c r="W74" s="748">
        <f t="shared" si="0"/>
        <v>0</v>
      </c>
      <c r="X74" s="748"/>
      <c r="Y74" s="740" t="s">
        <v>542</v>
      </c>
      <c r="Z74" s="740"/>
      <c r="AA74" s="439"/>
      <c r="AB74" s="440">
        <f t="shared" si="1"/>
        <v>-1.1027937606449221</v>
      </c>
      <c r="AC74" s="740" t="s">
        <v>620</v>
      </c>
      <c r="AD74" s="740"/>
      <c r="AF74" s="440">
        <f t="shared" si="2"/>
        <v>0</v>
      </c>
      <c r="AG74" s="427">
        <v>162.69092158302871</v>
      </c>
      <c r="AI74" s="437">
        <f t="shared" si="3"/>
        <v>-106.80197868200366</v>
      </c>
      <c r="AK74" s="440">
        <f t="shared" si="4"/>
        <v>5.5888942901025043E-2</v>
      </c>
      <c r="AL74" s="440">
        <f t="shared" si="5"/>
        <v>0.16269092158302872</v>
      </c>
      <c r="BA74" s="417">
        <v>44709</v>
      </c>
    </row>
    <row r="75" spans="2:53" ht="16.5" customHeight="1">
      <c r="C75" s="417" t="str">
        <f>C64</f>
        <v>LAT</v>
      </c>
      <c r="F75" s="438" t="s">
        <v>526</v>
      </c>
      <c r="P75" s="417">
        <v>7</v>
      </c>
      <c r="Q75" s="427" t="s">
        <v>3</v>
      </c>
      <c r="R75" s="740">
        <f>G66</f>
        <v>28.393760180578276</v>
      </c>
      <c r="S75" s="740"/>
      <c r="T75" s="740" t="str">
        <f>I66</f>
        <v>cm</v>
      </c>
      <c r="U75" s="740"/>
      <c r="V75" s="439" t="s">
        <v>3</v>
      </c>
      <c r="W75" s="748">
        <f t="shared" si="0"/>
        <v>-27.49518272044677</v>
      </c>
      <c r="X75" s="748"/>
      <c r="Y75" s="740" t="s">
        <v>542</v>
      </c>
      <c r="Z75" s="740"/>
      <c r="AA75" s="439"/>
      <c r="AB75" s="440">
        <f t="shared" si="1"/>
        <v>-1.3777455878493896</v>
      </c>
      <c r="AC75" s="740" t="s">
        <v>620</v>
      </c>
      <c r="AD75" s="740"/>
      <c r="AF75" s="440">
        <f t="shared" si="2"/>
        <v>-27.49518272044677</v>
      </c>
      <c r="AG75" s="427">
        <v>134.22926208072491</v>
      </c>
      <c r="AI75" s="437">
        <f t="shared" si="3"/>
        <v>-105.83550190014662</v>
      </c>
      <c r="AK75" s="440">
        <f t="shared" si="4"/>
        <v>2.8393760180578275E-2</v>
      </c>
      <c r="AL75" s="440">
        <f t="shared" si="5"/>
        <v>0.13422926208072491</v>
      </c>
      <c r="BA75" s="417">
        <v>44737.958355729199</v>
      </c>
    </row>
    <row r="76" spans="2:53" ht="16.5" customHeight="1">
      <c r="F76" s="427"/>
      <c r="G76" s="441"/>
      <c r="H76" s="420"/>
      <c r="I76" s="418"/>
      <c r="U76" s="427"/>
    </row>
    <row r="77" spans="2:53" ht="16.5" customHeight="1">
      <c r="C77" s="417" t="s">
        <v>553</v>
      </c>
      <c r="F77" s="427"/>
      <c r="G77" s="441"/>
      <c r="H77" s="420"/>
      <c r="I77" s="418"/>
      <c r="AB77" s="417">
        <f>5.5625</f>
        <v>5.5625</v>
      </c>
    </row>
    <row r="78" spans="2:53" ht="16.5" customHeight="1">
      <c r="C78" s="417" t="s">
        <v>554</v>
      </c>
      <c r="F78" s="427"/>
      <c r="G78" s="441"/>
      <c r="H78" s="420"/>
      <c r="I78" s="418"/>
      <c r="AB78" s="749">
        <f>AB77-0.56</f>
        <v>5.0024999999999995</v>
      </c>
      <c r="AC78" s="749"/>
      <c r="AD78" s="749"/>
    </row>
    <row r="79" spans="2:53" ht="16.5" customHeight="1">
      <c r="C79" s="417" t="str">
        <f t="shared" ref="C79:C85" si="6">C69</f>
        <v>HAT</v>
      </c>
      <c r="F79" s="427" t="s">
        <v>3</v>
      </c>
      <c r="G79" s="740">
        <f>R69-$R$72</f>
        <v>169.21591486435238</v>
      </c>
      <c r="H79" s="740"/>
      <c r="I79" s="740" t="s">
        <v>527</v>
      </c>
      <c r="J79" s="740"/>
      <c r="K79" s="422" t="s">
        <v>3</v>
      </c>
      <c r="L79" s="473"/>
      <c r="N79" s="437"/>
    </row>
    <row r="80" spans="2:53" ht="16.5" customHeight="1">
      <c r="C80" s="417" t="str">
        <f t="shared" si="6"/>
        <v>HHWL</v>
      </c>
      <c r="F80" s="427" t="s">
        <v>3</v>
      </c>
      <c r="G80" s="740">
        <f t="shared" ref="G80:G85" si="7">R70-$R$72</f>
        <v>126.58945083626173</v>
      </c>
      <c r="H80" s="740"/>
      <c r="I80" s="740" t="s">
        <v>527</v>
      </c>
      <c r="J80" s="740"/>
      <c r="K80" s="422"/>
      <c r="L80" s="473"/>
      <c r="M80" s="743"/>
      <c r="N80" s="743"/>
      <c r="O80" s="740"/>
      <c r="P80" s="740"/>
      <c r="Q80" s="417">
        <f>5.5625-0.56</f>
        <v>5.0024999999999995</v>
      </c>
      <c r="S80" s="442"/>
    </row>
    <row r="81" spans="2:35" ht="16.5" customHeight="1">
      <c r="C81" s="417" t="str">
        <f t="shared" si="6"/>
        <v>MHWL</v>
      </c>
      <c r="F81" s="427" t="s">
        <v>3</v>
      </c>
      <c r="G81" s="740">
        <f t="shared" si="7"/>
        <v>64.139975951318831</v>
      </c>
      <c r="H81" s="740"/>
      <c r="I81" s="740" t="s">
        <v>527</v>
      </c>
      <c r="J81" s="740"/>
      <c r="K81" s="422"/>
      <c r="L81" s="473"/>
      <c r="O81" s="740"/>
      <c r="P81" s="740"/>
      <c r="S81" s="443"/>
    </row>
    <row r="82" spans="2:35" ht="16.5" customHeight="1">
      <c r="C82" s="417" t="str">
        <f t="shared" si="6"/>
        <v>MSL</v>
      </c>
      <c r="F82" s="427" t="s">
        <v>3</v>
      </c>
      <c r="G82" s="740">
        <f t="shared" si="7"/>
        <v>0</v>
      </c>
      <c r="H82" s="740"/>
      <c r="I82" s="740" t="s">
        <v>527</v>
      </c>
      <c r="J82" s="740"/>
      <c r="K82" s="422"/>
      <c r="L82" s="473"/>
      <c r="M82" s="743"/>
      <c r="N82" s="743"/>
      <c r="O82" s="740"/>
      <c r="P82" s="740"/>
      <c r="S82" s="442"/>
    </row>
    <row r="83" spans="2:35" ht="16.5" customHeight="1">
      <c r="C83" s="417" t="str">
        <f t="shared" si="6"/>
        <v>MLWL</v>
      </c>
      <c r="F83" s="427" t="s">
        <v>3</v>
      </c>
      <c r="G83" s="740">
        <f t="shared" si="7"/>
        <v>-79.02776639716771</v>
      </c>
      <c r="H83" s="740"/>
      <c r="I83" s="740" t="s">
        <v>527</v>
      </c>
      <c r="J83" s="740"/>
      <c r="K83" s="422"/>
      <c r="L83" s="473"/>
      <c r="M83" s="743"/>
      <c r="N83" s="743"/>
      <c r="O83" s="740"/>
      <c r="P83" s="740"/>
      <c r="S83" s="443"/>
      <c r="AG83" s="437"/>
    </row>
    <row r="84" spans="2:35" ht="16.5" customHeight="1">
      <c r="C84" s="417" t="str">
        <f t="shared" si="6"/>
        <v>LLWL</v>
      </c>
      <c r="F84" s="427" t="s">
        <v>3</v>
      </c>
      <c r="G84" s="740">
        <f t="shared" si="7"/>
        <v>-110.2793760644922</v>
      </c>
      <c r="H84" s="740"/>
      <c r="I84" s="740" t="s">
        <v>527</v>
      </c>
      <c r="J84" s="740"/>
      <c r="K84" s="422"/>
      <c r="L84" s="473"/>
      <c r="M84" s="743"/>
      <c r="N84" s="743"/>
      <c r="O84" s="740"/>
      <c r="P84" s="740"/>
      <c r="S84" s="442"/>
      <c r="AF84" s="437"/>
      <c r="AI84" s="437"/>
    </row>
    <row r="85" spans="2:35" ht="16.5" customHeight="1">
      <c r="C85" s="417" t="str">
        <f t="shared" si="6"/>
        <v>LAT</v>
      </c>
      <c r="F85" s="427" t="s">
        <v>3</v>
      </c>
      <c r="G85" s="740">
        <f t="shared" si="7"/>
        <v>-137.77455878493896</v>
      </c>
      <c r="H85" s="740"/>
      <c r="I85" s="740" t="s">
        <v>527</v>
      </c>
      <c r="J85" s="740"/>
      <c r="K85" s="422"/>
      <c r="L85" s="473"/>
    </row>
    <row r="86" spans="2:35" ht="16.5" customHeight="1">
      <c r="F86" s="427"/>
      <c r="G86" s="441"/>
      <c r="H86" s="420"/>
      <c r="I86" s="418"/>
      <c r="AF86" s="437"/>
    </row>
    <row r="87" spans="2:35" ht="16.5" customHeight="1">
      <c r="C87" s="439" t="s">
        <v>77</v>
      </c>
      <c r="D87" s="417" t="s">
        <v>528</v>
      </c>
      <c r="F87" s="427"/>
      <c r="G87" s="441"/>
      <c r="H87" s="420"/>
      <c r="I87" s="418"/>
    </row>
    <row r="88" spans="2:35" ht="16.5" customHeight="1">
      <c r="C88" s="439" t="s">
        <v>77</v>
      </c>
      <c r="D88" s="417" t="s">
        <v>543</v>
      </c>
      <c r="F88" s="427"/>
      <c r="G88" s="441"/>
      <c r="H88" s="420"/>
      <c r="I88" s="418"/>
    </row>
    <row r="89" spans="2:35" ht="16.5" customHeight="1">
      <c r="C89" s="439" t="s">
        <v>77</v>
      </c>
      <c r="D89" s="417" t="s">
        <v>555</v>
      </c>
      <c r="G89" s="427"/>
      <c r="H89" s="441"/>
      <c r="I89" s="420"/>
      <c r="J89" s="418"/>
      <c r="K89" s="418"/>
    </row>
    <row r="90" spans="2:35" ht="16.5" customHeight="1">
      <c r="D90" s="417" t="s">
        <v>556</v>
      </c>
    </row>
    <row r="91" spans="2:35" ht="16.5" customHeight="1">
      <c r="D91" s="442" t="s">
        <v>529</v>
      </c>
      <c r="G91" s="427" t="str">
        <f>Q69</f>
        <v>=</v>
      </c>
      <c r="H91" s="742">
        <f>G79/100</f>
        <v>1.6921591486435239</v>
      </c>
      <c r="I91" s="742"/>
      <c r="J91" s="437" t="s">
        <v>542</v>
      </c>
      <c r="K91" s="437"/>
      <c r="Q91" s="452"/>
    </row>
    <row r="92" spans="2:35" ht="16.5" customHeight="1">
      <c r="D92" s="417" t="str">
        <f>C72</f>
        <v>MSL</v>
      </c>
      <c r="G92" s="427" t="str">
        <f>Q70</f>
        <v>=</v>
      </c>
      <c r="H92" s="742">
        <f>G82/100</f>
        <v>0</v>
      </c>
      <c r="I92" s="742"/>
      <c r="J92" s="437" t="s">
        <v>542</v>
      </c>
      <c r="K92" s="437"/>
    </row>
    <row r="93" spans="2:35" ht="16.5" customHeight="1">
      <c r="D93" s="442" t="s">
        <v>531</v>
      </c>
      <c r="G93" s="427" t="str">
        <f>Q71</f>
        <v>=</v>
      </c>
      <c r="H93" s="742">
        <f>G85/100</f>
        <v>-1.3777455878493896</v>
      </c>
      <c r="I93" s="742"/>
      <c r="J93" s="437" t="s">
        <v>542</v>
      </c>
      <c r="K93" s="437"/>
    </row>
    <row r="95" spans="2:35" ht="16.5" customHeight="1">
      <c r="B95" s="426" t="s">
        <v>515</v>
      </c>
      <c r="C95" s="418" t="s">
        <v>557</v>
      </c>
    </row>
    <row r="96" spans="2:35" ht="16.5" customHeight="1">
      <c r="C96" s="444" t="s">
        <v>532</v>
      </c>
      <c r="D96" s="445" t="s">
        <v>533</v>
      </c>
      <c r="E96" s="445"/>
      <c r="F96" s="445"/>
      <c r="G96" s="445"/>
      <c r="H96" s="746">
        <v>626275</v>
      </c>
      <c r="I96" s="746"/>
      <c r="J96" s="746"/>
      <c r="K96" s="746"/>
      <c r="L96" s="746"/>
      <c r="M96" s="746"/>
      <c r="N96" s="744" t="s">
        <v>534</v>
      </c>
      <c r="O96" s="744"/>
      <c r="P96" s="747">
        <v>9237035</v>
      </c>
      <c r="Q96" s="747"/>
      <c r="R96" s="747"/>
      <c r="S96" s="445"/>
      <c r="T96" s="741"/>
      <c r="U96" s="741"/>
      <c r="V96" s="741"/>
      <c r="W96" s="741"/>
      <c r="X96" s="744"/>
      <c r="Y96" s="744"/>
      <c r="Z96" s="445"/>
      <c r="AA96" s="745"/>
      <c r="AB96" s="745"/>
      <c r="AC96" s="446"/>
      <c r="AD96" s="445"/>
      <c r="AG96" s="456"/>
      <c r="AH96" s="456"/>
    </row>
    <row r="97" spans="3:76" ht="16.5" customHeight="1">
      <c r="C97" s="444" t="s">
        <v>532</v>
      </c>
      <c r="D97" s="445" t="s">
        <v>535</v>
      </c>
      <c r="E97" s="445"/>
      <c r="F97" s="445"/>
      <c r="G97" s="445"/>
      <c r="H97" s="445"/>
      <c r="I97" s="445"/>
      <c r="J97" s="445"/>
      <c r="K97" s="445"/>
      <c r="L97" s="445"/>
      <c r="M97" s="445"/>
      <c r="N97" s="445"/>
      <c r="O97" s="444" t="s">
        <v>3</v>
      </c>
      <c r="P97" s="475" t="s">
        <v>76</v>
      </c>
      <c r="Q97" s="474">
        <f>Q100-(R69/100)</f>
        <v>-0.78384233829869654</v>
      </c>
      <c r="R97" s="445" t="s">
        <v>530</v>
      </c>
      <c r="S97" s="445"/>
      <c r="T97" s="445"/>
      <c r="U97" s="445"/>
      <c r="V97" s="445"/>
      <c r="W97" s="445"/>
      <c r="X97" s="445"/>
      <c r="Y97" s="445"/>
      <c r="Z97" s="445"/>
      <c r="AA97" s="445"/>
      <c r="AB97" s="445"/>
      <c r="AC97" s="445"/>
      <c r="AD97" s="445"/>
      <c r="BW97" s="503">
        <v>44213</v>
      </c>
      <c r="BX97" s="503">
        <v>43492</v>
      </c>
    </row>
    <row r="98" spans="3:76" ht="16.5" customHeight="1">
      <c r="C98" s="444" t="s">
        <v>532</v>
      </c>
      <c r="D98" s="445" t="s">
        <v>536</v>
      </c>
      <c r="E98" s="445"/>
      <c r="F98" s="445"/>
      <c r="G98" s="445"/>
      <c r="H98" s="445"/>
      <c r="I98" s="445"/>
      <c r="J98" s="445"/>
      <c r="K98" s="445"/>
      <c r="L98" s="445"/>
      <c r="M98" s="445"/>
      <c r="N98" s="445"/>
      <c r="O98" s="444" t="s">
        <v>3</v>
      </c>
      <c r="P98" s="475" t="s">
        <v>76</v>
      </c>
      <c r="Q98" s="474">
        <f>Q100-(R72/100)</f>
        <v>0.90831681034482736</v>
      </c>
      <c r="R98" s="445" t="s">
        <v>530</v>
      </c>
      <c r="S98" s="445"/>
      <c r="T98" s="445"/>
      <c r="U98" s="445"/>
      <c r="V98" s="445"/>
      <c r="W98" s="445"/>
      <c r="X98" s="445"/>
      <c r="Y98" s="445"/>
      <c r="Z98" s="445"/>
      <c r="AA98" s="445"/>
      <c r="AB98" s="445"/>
      <c r="AC98" s="445"/>
      <c r="AD98" s="445"/>
      <c r="BW98" s="503">
        <v>44241.958333333336</v>
      </c>
    </row>
    <row r="99" spans="3:76" ht="16.5" customHeight="1">
      <c r="C99" s="444" t="s">
        <v>532</v>
      </c>
      <c r="D99" s="445" t="s">
        <v>537</v>
      </c>
      <c r="E99" s="445"/>
      <c r="F99" s="445"/>
      <c r="G99" s="445"/>
      <c r="H99" s="445"/>
      <c r="I99" s="445"/>
      <c r="J99" s="445"/>
      <c r="K99" s="445"/>
      <c r="L99" s="445"/>
      <c r="M99" s="445"/>
      <c r="N99" s="445"/>
      <c r="O99" s="444" t="s">
        <v>3</v>
      </c>
      <c r="P99" s="475" t="s">
        <v>76</v>
      </c>
      <c r="Q99" s="474">
        <f>Q100-(R75/100)</f>
        <v>2.286062398194217</v>
      </c>
      <c r="R99" s="445" t="s">
        <v>530</v>
      </c>
      <c r="S99" s="445"/>
      <c r="T99" s="445"/>
      <c r="U99" s="445"/>
      <c r="V99" s="445"/>
      <c r="W99" s="445"/>
      <c r="X99" s="445"/>
      <c r="Y99" s="445"/>
      <c r="Z99" s="445"/>
      <c r="AA99" s="445"/>
      <c r="AB99" s="445"/>
      <c r="AC99" s="445"/>
      <c r="AD99" s="445"/>
      <c r="BW99" s="417">
        <v>44213</v>
      </c>
    </row>
    <row r="100" spans="3:76" ht="16.5" customHeight="1">
      <c r="C100" s="444" t="s">
        <v>532</v>
      </c>
      <c r="D100" s="445" t="s">
        <v>546</v>
      </c>
      <c r="E100" s="445"/>
      <c r="F100" s="445"/>
      <c r="G100" s="445"/>
      <c r="H100" s="445"/>
      <c r="I100" s="445"/>
      <c r="J100" s="445"/>
      <c r="K100" s="445"/>
      <c r="L100" s="445"/>
      <c r="M100" s="445"/>
      <c r="N100" s="445"/>
      <c r="O100" s="444" t="s">
        <v>3</v>
      </c>
      <c r="P100" s="475" t="s">
        <v>76</v>
      </c>
      <c r="Q100" s="445">
        <v>2.57</v>
      </c>
      <c r="R100" s="445" t="s">
        <v>530</v>
      </c>
      <c r="S100" s="445"/>
      <c r="T100" s="445" t="s">
        <v>545</v>
      </c>
      <c r="U100" s="445"/>
      <c r="V100" s="445"/>
      <c r="W100" s="445"/>
      <c r="X100" s="445"/>
      <c r="Y100" s="445"/>
      <c r="Z100" s="445"/>
      <c r="AA100" s="445"/>
      <c r="AB100" s="445"/>
      <c r="AC100" s="445"/>
      <c r="AD100" s="445"/>
      <c r="BW100" s="417">
        <v>44241.958333333336</v>
      </c>
    </row>
    <row r="123" spans="1:28" ht="16.5" customHeight="1">
      <c r="B123" s="447"/>
      <c r="C123" s="447"/>
      <c r="D123" s="447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AA123" s="447"/>
      <c r="AB123" s="447"/>
    </row>
    <row r="124" spans="1:28" ht="16.5" customHeight="1">
      <c r="L124" s="448"/>
      <c r="M124" s="449"/>
    </row>
    <row r="125" spans="1:28" ht="16.5" customHeight="1">
      <c r="A125" s="437"/>
      <c r="B125" s="437"/>
      <c r="D125" s="437"/>
      <c r="L125" s="450"/>
      <c r="M125" s="450"/>
    </row>
    <row r="126" spans="1:28" ht="16.5" customHeight="1">
      <c r="A126" s="437"/>
      <c r="B126" s="437"/>
      <c r="D126" s="437"/>
      <c r="L126" s="448"/>
      <c r="M126" s="449"/>
    </row>
    <row r="127" spans="1:28" ht="16.5" customHeight="1">
      <c r="L127" s="450"/>
      <c r="M127" s="450"/>
    </row>
    <row r="128" spans="1:28" ht="16.5" customHeight="1">
      <c r="L128" s="448"/>
      <c r="M128" s="449"/>
    </row>
    <row r="129" spans="4:19" ht="16.5" customHeight="1">
      <c r="D129" s="740">
        <f>Q98</f>
        <v>0.90831681034482736</v>
      </c>
      <c r="E129" s="740"/>
      <c r="F129" s="417" t="s">
        <v>64</v>
      </c>
      <c r="L129" s="450"/>
      <c r="M129" s="450"/>
      <c r="Q129" s="740">
        <f>G23</f>
        <v>274.58604077886105</v>
      </c>
      <c r="R129" s="740"/>
      <c r="S129" s="417" t="s">
        <v>64</v>
      </c>
    </row>
    <row r="130" spans="4:19" ht="16.5" customHeight="1">
      <c r="L130" s="448"/>
      <c r="M130" s="449"/>
    </row>
    <row r="131" spans="4:19" ht="16.5" customHeight="1">
      <c r="L131" s="450"/>
      <c r="M131" s="450"/>
    </row>
    <row r="132" spans="4:19" ht="16.5" customHeight="1">
      <c r="L132" s="448"/>
      <c r="M132" s="449"/>
    </row>
    <row r="133" spans="4:19" ht="16.5" customHeight="1">
      <c r="G133" s="740">
        <f>Q99</f>
        <v>2.286062398194217</v>
      </c>
      <c r="H133" s="740"/>
      <c r="I133" s="417" t="s">
        <v>64</v>
      </c>
      <c r="L133" s="450"/>
      <c r="M133" s="450"/>
      <c r="O133" s="740">
        <f>Q97</f>
        <v>-0.78384233829869654</v>
      </c>
      <c r="P133" s="740"/>
      <c r="Q133" s="417" t="s">
        <v>64</v>
      </c>
    </row>
    <row r="134" spans="4:19" ht="16.5" customHeight="1">
      <c r="L134" s="448"/>
      <c r="M134" s="449"/>
    </row>
    <row r="135" spans="4:19" ht="16.5" customHeight="1">
      <c r="L135" s="450"/>
      <c r="M135" s="450"/>
    </row>
    <row r="136" spans="4:19" ht="16.5" customHeight="1">
      <c r="L136" s="448"/>
      <c r="M136" s="449"/>
    </row>
    <row r="137" spans="4:19" ht="16.5" customHeight="1">
      <c r="L137" s="450"/>
      <c r="M137" s="450"/>
    </row>
    <row r="138" spans="4:19" ht="16.5" customHeight="1">
      <c r="L138" s="448"/>
      <c r="M138" s="449"/>
    </row>
    <row r="139" spans="4:19" ht="16.5" customHeight="1">
      <c r="L139" s="450"/>
      <c r="M139" s="450"/>
    </row>
    <row r="140" spans="4:19" ht="16.5" customHeight="1">
      <c r="L140" s="448"/>
      <c r="M140" s="449"/>
      <c r="P140" s="740">
        <f>-Q129</f>
        <v>-274.58604077886105</v>
      </c>
      <c r="Q140" s="740"/>
      <c r="R140" s="417" t="s">
        <v>64</v>
      </c>
    </row>
    <row r="141" spans="4:19" ht="16.5" customHeight="1">
      <c r="L141" s="450"/>
      <c r="M141" s="450"/>
    </row>
    <row r="142" spans="4:19" ht="16.5" customHeight="1">
      <c r="L142" s="448"/>
      <c r="M142" s="449"/>
    </row>
    <row r="143" spans="4:19" ht="16.5" customHeight="1">
      <c r="L143" s="450"/>
      <c r="M143" s="450"/>
    </row>
    <row r="144" spans="4:19" ht="16.5" customHeight="1">
      <c r="L144" s="448"/>
      <c r="M144" s="449"/>
    </row>
    <row r="145" spans="12:28" ht="16.5" customHeight="1">
      <c r="L145" s="450"/>
      <c r="M145" s="450"/>
    </row>
    <row r="146" spans="12:28" ht="16.5" customHeight="1">
      <c r="L146" s="448"/>
      <c r="M146" s="449"/>
    </row>
    <row r="147" spans="12:28" ht="16.5" customHeight="1">
      <c r="L147" s="450"/>
      <c r="M147" s="450"/>
      <c r="R147" s="740">
        <f>J10</f>
        <v>166.16831896551724</v>
      </c>
      <c r="S147" s="740"/>
      <c r="T147" s="417" t="s">
        <v>64</v>
      </c>
    </row>
    <row r="148" spans="12:28" ht="16.5" customHeight="1">
      <c r="L148" s="448"/>
      <c r="M148" s="449"/>
    </row>
    <row r="149" spans="12:28" ht="16.5" customHeight="1">
      <c r="L149" s="450"/>
      <c r="M149" s="450"/>
    </row>
    <row r="150" spans="12:28" ht="16.5" customHeight="1">
      <c r="L150" s="448"/>
      <c r="M150" s="449"/>
    </row>
    <row r="151" spans="12:28" ht="16.5" customHeight="1">
      <c r="L151" s="450"/>
      <c r="M151" s="450"/>
      <c r="U151" s="740">
        <f>X18</f>
        <v>108.41772181334377</v>
      </c>
      <c r="V151" s="740"/>
      <c r="W151" s="417" t="s">
        <v>64</v>
      </c>
    </row>
    <row r="152" spans="12:28" ht="16.5" customHeight="1">
      <c r="L152" s="448"/>
      <c r="M152" s="449"/>
    </row>
    <row r="153" spans="12:28" ht="16.5" customHeight="1">
      <c r="L153" s="450"/>
      <c r="M153" s="450"/>
      <c r="N153" s="451"/>
      <c r="O153" s="432"/>
      <c r="P153" s="432"/>
      <c r="Q153" s="432"/>
      <c r="R153" s="432"/>
      <c r="S153" s="432"/>
      <c r="T153" s="432"/>
      <c r="U153" s="432"/>
      <c r="V153" s="432"/>
      <c r="W153" s="432"/>
      <c r="AA153" s="432"/>
      <c r="AB153" s="432"/>
    </row>
  </sheetData>
  <sheetProtection selectLockedCells="1" selectUnlockedCells="1"/>
  <mergeCells count="216">
    <mergeCell ref="AA4:AB4"/>
    <mergeCell ref="L4:M4"/>
    <mergeCell ref="N4:O4"/>
    <mergeCell ref="P4:Q4"/>
    <mergeCell ref="R4:S4"/>
    <mergeCell ref="X5:Y5"/>
    <mergeCell ref="AA5:AB5"/>
    <mergeCell ref="L5:M5"/>
    <mergeCell ref="N5:O5"/>
    <mergeCell ref="P5:Q5"/>
    <mergeCell ref="T4:U4"/>
    <mergeCell ref="V4:W4"/>
    <mergeCell ref="X4:Y4"/>
    <mergeCell ref="R5:S5"/>
    <mergeCell ref="B6:D6"/>
    <mergeCell ref="E6:F6"/>
    <mergeCell ref="G6:H6"/>
    <mergeCell ref="I6:J6"/>
    <mergeCell ref="T5:U5"/>
    <mergeCell ref="V5:W5"/>
    <mergeCell ref="B4:D5"/>
    <mergeCell ref="E4:F4"/>
    <mergeCell ref="G4:H4"/>
    <mergeCell ref="I4:J4"/>
    <mergeCell ref="E5:F5"/>
    <mergeCell ref="G5:H5"/>
    <mergeCell ref="I5:J5"/>
    <mergeCell ref="J10:L10"/>
    <mergeCell ref="F14:G14"/>
    <mergeCell ref="I14:J14"/>
    <mergeCell ref="M14:N14"/>
    <mergeCell ref="T6:U6"/>
    <mergeCell ref="V6:W6"/>
    <mergeCell ref="X6:Y6"/>
    <mergeCell ref="AA6:AB6"/>
    <mergeCell ref="L6:M6"/>
    <mergeCell ref="N6:O6"/>
    <mergeCell ref="P6:Q6"/>
    <mergeCell ref="R6:S6"/>
    <mergeCell ref="F16:G16"/>
    <mergeCell ref="R17:S17"/>
    <mergeCell ref="U17:V17"/>
    <mergeCell ref="R18:S18"/>
    <mergeCell ref="U18:V18"/>
    <mergeCell ref="P14:Q14"/>
    <mergeCell ref="S14:T14"/>
    <mergeCell ref="F15:G15"/>
    <mergeCell ref="I15:J15"/>
    <mergeCell ref="M15:N15"/>
    <mergeCell ref="P15:Q15"/>
    <mergeCell ref="S15:T15"/>
    <mergeCell ref="T22:U22"/>
    <mergeCell ref="G23:H23"/>
    <mergeCell ref="C26:C27"/>
    <mergeCell ref="D26:D27"/>
    <mergeCell ref="G22:H22"/>
    <mergeCell ref="J22:L22"/>
    <mergeCell ref="N22:O22"/>
    <mergeCell ref="Q22:R22"/>
    <mergeCell ref="X18:Y18"/>
    <mergeCell ref="G21:H21"/>
    <mergeCell ref="J21:L21"/>
    <mergeCell ref="N21:O21"/>
    <mergeCell ref="Q21:R21"/>
    <mergeCell ref="T21:U21"/>
    <mergeCell ref="L28:M29"/>
    <mergeCell ref="E29:F29"/>
    <mergeCell ref="H29:I29"/>
    <mergeCell ref="G47:H47"/>
    <mergeCell ref="L47:M47"/>
    <mergeCell ref="D28:D29"/>
    <mergeCell ref="E28:F28"/>
    <mergeCell ref="H28:I28"/>
    <mergeCell ref="J28:J29"/>
    <mergeCell ref="G49:H49"/>
    <mergeCell ref="G50:H50"/>
    <mergeCell ref="L50:M50"/>
    <mergeCell ref="O50:P50"/>
    <mergeCell ref="O47:P47"/>
    <mergeCell ref="R47:S47"/>
    <mergeCell ref="U47:V47"/>
    <mergeCell ref="G48:H48"/>
    <mergeCell ref="L48:M48"/>
    <mergeCell ref="O48:P48"/>
    <mergeCell ref="R48:S48"/>
    <mergeCell ref="U48:V48"/>
    <mergeCell ref="G52:H52"/>
    <mergeCell ref="G54:H54"/>
    <mergeCell ref="L54:M54"/>
    <mergeCell ref="O54:P54"/>
    <mergeCell ref="R50:S50"/>
    <mergeCell ref="U50:V50"/>
    <mergeCell ref="G51:H51"/>
    <mergeCell ref="L51:M51"/>
    <mergeCell ref="O51:P51"/>
    <mergeCell ref="R51:S51"/>
    <mergeCell ref="U51:V51"/>
    <mergeCell ref="R54:S54"/>
    <mergeCell ref="G55:H55"/>
    <mergeCell ref="L55:M55"/>
    <mergeCell ref="O55:P55"/>
    <mergeCell ref="R55:S55"/>
    <mergeCell ref="O58:P58"/>
    <mergeCell ref="G56:H56"/>
    <mergeCell ref="G57:H57"/>
    <mergeCell ref="R58:S58"/>
    <mergeCell ref="G58:H58"/>
    <mergeCell ref="R59:S59"/>
    <mergeCell ref="G63:H63"/>
    <mergeCell ref="G60:H60"/>
    <mergeCell ref="G61:H61"/>
    <mergeCell ref="J61:L61"/>
    <mergeCell ref="N61:O61"/>
    <mergeCell ref="L58:M58"/>
    <mergeCell ref="G62:H62"/>
    <mergeCell ref="J62:L62"/>
    <mergeCell ref="N62:O62"/>
    <mergeCell ref="G59:H59"/>
    <mergeCell ref="L59:M59"/>
    <mergeCell ref="O59:P59"/>
    <mergeCell ref="AO65:AP65"/>
    <mergeCell ref="AR65:AS65"/>
    <mergeCell ref="AH65:AJ65"/>
    <mergeCell ref="AL65:AM65"/>
    <mergeCell ref="G66:H66"/>
    <mergeCell ref="W65:X65"/>
    <mergeCell ref="AO64:AP64"/>
    <mergeCell ref="AR64:AS64"/>
    <mergeCell ref="G65:H65"/>
    <mergeCell ref="J65:L65"/>
    <mergeCell ref="N65:O65"/>
    <mergeCell ref="Q65:R65"/>
    <mergeCell ref="T65:U65"/>
    <mergeCell ref="T64:U64"/>
    <mergeCell ref="AH64:AJ64"/>
    <mergeCell ref="AL64:AM64"/>
    <mergeCell ref="G64:H64"/>
    <mergeCell ref="J64:L64"/>
    <mergeCell ref="N64:O64"/>
    <mergeCell ref="Q64:R64"/>
    <mergeCell ref="AC69:AD69"/>
    <mergeCell ref="R70:S70"/>
    <mergeCell ref="T70:U70"/>
    <mergeCell ref="W70:X70"/>
    <mergeCell ref="Y70:Z70"/>
    <mergeCell ref="AC70:AD70"/>
    <mergeCell ref="R69:S69"/>
    <mergeCell ref="T69:U69"/>
    <mergeCell ref="W69:X69"/>
    <mergeCell ref="Y69:Z69"/>
    <mergeCell ref="AC71:AD71"/>
    <mergeCell ref="R72:S72"/>
    <mergeCell ref="T72:U72"/>
    <mergeCell ref="W72:X72"/>
    <mergeCell ref="Y72:Z72"/>
    <mergeCell ref="AC72:AD72"/>
    <mergeCell ref="R71:S71"/>
    <mergeCell ref="T71:U71"/>
    <mergeCell ref="W71:X71"/>
    <mergeCell ref="Y71:Z71"/>
    <mergeCell ref="AC73:AD73"/>
    <mergeCell ref="R74:S74"/>
    <mergeCell ref="T74:U74"/>
    <mergeCell ref="W74:X74"/>
    <mergeCell ref="Y74:Z74"/>
    <mergeCell ref="AC74:AD74"/>
    <mergeCell ref="R73:S73"/>
    <mergeCell ref="T73:U73"/>
    <mergeCell ref="W73:X73"/>
    <mergeCell ref="Y73:Z73"/>
    <mergeCell ref="O81:P81"/>
    <mergeCell ref="AC75:AD75"/>
    <mergeCell ref="G79:H79"/>
    <mergeCell ref="I79:J79"/>
    <mergeCell ref="G80:H80"/>
    <mergeCell ref="I80:J80"/>
    <mergeCell ref="M80:N80"/>
    <mergeCell ref="O80:P80"/>
    <mergeCell ref="R75:S75"/>
    <mergeCell ref="T75:U75"/>
    <mergeCell ref="W75:X75"/>
    <mergeCell ref="Y75:Z75"/>
    <mergeCell ref="AB78:AD78"/>
    <mergeCell ref="X96:Y96"/>
    <mergeCell ref="AA96:AB96"/>
    <mergeCell ref="D129:E129"/>
    <mergeCell ref="Q129:R129"/>
    <mergeCell ref="H92:I92"/>
    <mergeCell ref="H96:M96"/>
    <mergeCell ref="N96:O96"/>
    <mergeCell ref="P96:R96"/>
    <mergeCell ref="H93:I93"/>
    <mergeCell ref="U58:V58"/>
    <mergeCell ref="U151:V151"/>
    <mergeCell ref="G133:H133"/>
    <mergeCell ref="O133:P133"/>
    <mergeCell ref="P140:Q140"/>
    <mergeCell ref="R147:S147"/>
    <mergeCell ref="T96:W96"/>
    <mergeCell ref="G85:H85"/>
    <mergeCell ref="I85:J85"/>
    <mergeCell ref="H91:I91"/>
    <mergeCell ref="G84:H84"/>
    <mergeCell ref="I84:J84"/>
    <mergeCell ref="M84:N84"/>
    <mergeCell ref="O84:P84"/>
    <mergeCell ref="G81:H81"/>
    <mergeCell ref="I83:J83"/>
    <mergeCell ref="M83:N83"/>
    <mergeCell ref="O83:P83"/>
    <mergeCell ref="G82:H82"/>
    <mergeCell ref="I82:J82"/>
    <mergeCell ref="M82:N82"/>
    <mergeCell ref="O82:P82"/>
    <mergeCell ref="G83:H83"/>
    <mergeCell ref="I81:J81"/>
  </mergeCells>
  <phoneticPr fontId="26" type="noConversion"/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 r:id="rId1"/>
  <headerFooter alignWithMargins="0"/>
  <rowBreaks count="2" manualBreakCount="2">
    <brk id="42" max="16383" man="1"/>
    <brk id="76" max="16383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ColWidth="11.5703125" defaultRowHeight="12.75"/>
  <sheetData/>
  <sheetProtection selectLockedCells="1" selectUnlockedCells="1"/>
  <phoneticPr fontId="26" type="noConversion"/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C7:M29"/>
  <sheetViews>
    <sheetView topLeftCell="C3" workbookViewId="0">
      <selection activeCell="C7" sqref="C7:I16"/>
    </sheetView>
  </sheetViews>
  <sheetFormatPr defaultRowHeight="12.75"/>
  <cols>
    <col min="4" max="4" width="29.7109375" bestFit="1" customWidth="1"/>
  </cols>
  <sheetData>
    <row r="7" spans="3:13">
      <c r="C7" s="768" t="s">
        <v>602</v>
      </c>
      <c r="D7" s="769"/>
      <c r="E7" s="777" t="s">
        <v>635</v>
      </c>
      <c r="F7" s="778"/>
      <c r="G7" s="777" t="s">
        <v>636</v>
      </c>
      <c r="H7" s="778"/>
      <c r="I7" s="774" t="s">
        <v>637</v>
      </c>
    </row>
    <row r="8" spans="3:13">
      <c r="C8" s="770"/>
      <c r="D8" s="771"/>
      <c r="E8" s="777" t="s">
        <v>634</v>
      </c>
      <c r="F8" s="778"/>
      <c r="G8" s="777" t="s">
        <v>634</v>
      </c>
      <c r="H8" s="778"/>
      <c r="I8" s="775"/>
      <c r="J8" t="s">
        <v>638</v>
      </c>
    </row>
    <row r="9" spans="3:13">
      <c r="C9" s="772"/>
      <c r="D9" s="773"/>
      <c r="E9" s="578">
        <v>15</v>
      </c>
      <c r="F9" s="578">
        <v>29</v>
      </c>
      <c r="G9" s="578">
        <v>15</v>
      </c>
      <c r="H9" s="578">
        <v>29</v>
      </c>
      <c r="I9" s="776"/>
      <c r="J9" t="s">
        <v>64</v>
      </c>
    </row>
    <row r="10" spans="3:13" ht="16.5">
      <c r="C10" s="581" t="s">
        <v>492</v>
      </c>
      <c r="D10" s="581" t="s">
        <v>520</v>
      </c>
      <c r="E10" s="588">
        <v>4.2036797125260845</v>
      </c>
      <c r="F10" s="588">
        <v>4.3850139621476361</v>
      </c>
      <c r="G10" s="588">
        <f>E10-$E$15</f>
        <v>2.5767704966957972</v>
      </c>
      <c r="H10" s="588">
        <f>F10-$F$15</f>
        <v>2.8636665978767333</v>
      </c>
      <c r="I10" s="581" t="s">
        <v>529</v>
      </c>
      <c r="J10" s="440">
        <f>(F10-E10)*100</f>
        <v>18.133424962155154</v>
      </c>
      <c r="K10" s="440">
        <f>H10-G10</f>
        <v>0.28689610118093611</v>
      </c>
      <c r="L10" s="489"/>
      <c r="M10" s="489"/>
    </row>
    <row r="11" spans="3:13" ht="16.5">
      <c r="C11" s="582" t="s">
        <v>611</v>
      </c>
      <c r="D11" s="582" t="s">
        <v>521</v>
      </c>
      <c r="E11" s="589">
        <v>4.0158327598108796</v>
      </c>
      <c r="F11" s="589">
        <v>4.0017076004684595</v>
      </c>
      <c r="G11" s="589">
        <f t="shared" ref="G11:G16" si="0">E11-$E$15</f>
        <v>2.3889235439805923</v>
      </c>
      <c r="H11" s="589">
        <f t="shared" ref="H11:H16" si="1">F11-$F$15</f>
        <v>2.4803602361975567</v>
      </c>
      <c r="I11" s="582"/>
      <c r="J11" s="440">
        <f t="shared" ref="J11:J16" si="2">(F11-E11)*100</f>
        <v>-1.4125159342420091</v>
      </c>
      <c r="K11" s="440">
        <f t="shared" ref="K11:K16" si="3">H11-G11</f>
        <v>9.1436692216964488E-2</v>
      </c>
      <c r="L11" s="489"/>
      <c r="M11" s="489"/>
    </row>
    <row r="12" spans="3:13" ht="16.5">
      <c r="C12" s="581" t="s">
        <v>612</v>
      </c>
      <c r="D12" s="581" t="s">
        <v>522</v>
      </c>
      <c r="E12" s="588">
        <v>3.3556852710889062</v>
      </c>
      <c r="F12" s="588">
        <v>3.3949467528714323</v>
      </c>
      <c r="G12" s="588">
        <f t="shared" si="0"/>
        <v>1.7287760552586191</v>
      </c>
      <c r="H12" s="588">
        <f t="shared" si="1"/>
        <v>1.8735993886005295</v>
      </c>
      <c r="I12" s="581"/>
      <c r="J12" s="440">
        <f t="shared" si="2"/>
        <v>3.9261481782526086</v>
      </c>
      <c r="K12" s="440">
        <f t="shared" si="3"/>
        <v>0.14482333334191044</v>
      </c>
      <c r="L12" s="489"/>
      <c r="M12" s="489"/>
    </row>
    <row r="13" spans="3:13" ht="16.5">
      <c r="C13" s="582" t="s">
        <v>479</v>
      </c>
      <c r="D13" s="582" t="s">
        <v>523</v>
      </c>
      <c r="E13" s="589">
        <v>2.7729861666666671</v>
      </c>
      <c r="F13" s="589">
        <v>2.7795057471264375</v>
      </c>
      <c r="G13" s="589">
        <f t="shared" si="0"/>
        <v>1.1460769508363799</v>
      </c>
      <c r="H13" s="589">
        <f t="shared" si="1"/>
        <v>1.2581583828555347</v>
      </c>
      <c r="I13" s="582" t="s">
        <v>479</v>
      </c>
      <c r="J13" s="440">
        <f t="shared" si="2"/>
        <v>0.65195804597704132</v>
      </c>
      <c r="K13" s="440">
        <f t="shared" si="3"/>
        <v>0.11208143201915477</v>
      </c>
      <c r="L13" s="489"/>
      <c r="M13" s="489"/>
    </row>
    <row r="14" spans="3:13" ht="16.5">
      <c r="C14" s="581" t="s">
        <v>613</v>
      </c>
      <c r="D14" s="581" t="s">
        <v>524</v>
      </c>
      <c r="E14" s="588">
        <v>2.1573839237163033</v>
      </c>
      <c r="F14" s="588">
        <v>2.1190694192570945</v>
      </c>
      <c r="G14" s="588">
        <f t="shared" si="0"/>
        <v>0.53047470788601614</v>
      </c>
      <c r="H14" s="588">
        <f t="shared" si="1"/>
        <v>0.59772205498619169</v>
      </c>
      <c r="I14" s="581"/>
      <c r="J14" s="440">
        <f t="shared" si="2"/>
        <v>-3.8314504459208809</v>
      </c>
      <c r="K14" s="440">
        <f t="shared" si="3"/>
        <v>6.7247347100175547E-2</v>
      </c>
      <c r="L14" s="489"/>
      <c r="M14" s="489"/>
    </row>
    <row r="15" spans="3:13" ht="16.5">
      <c r="C15" s="582" t="s">
        <v>614</v>
      </c>
      <c r="D15" s="582" t="s">
        <v>525</v>
      </c>
      <c r="E15" s="589">
        <v>1.6269092158302871</v>
      </c>
      <c r="F15" s="589">
        <v>1.5213473642709028</v>
      </c>
      <c r="G15" s="589">
        <f t="shared" si="0"/>
        <v>0</v>
      </c>
      <c r="H15" s="589">
        <f t="shared" si="1"/>
        <v>0</v>
      </c>
      <c r="I15" s="582" t="s">
        <v>531</v>
      </c>
      <c r="J15" s="440">
        <f t="shared" si="2"/>
        <v>-10.556185155938437</v>
      </c>
      <c r="K15" s="440">
        <f t="shared" si="3"/>
        <v>0</v>
      </c>
      <c r="L15" s="489"/>
      <c r="M15" s="489"/>
    </row>
    <row r="16" spans="3:13" ht="16.5">
      <c r="C16" s="581" t="s">
        <v>518</v>
      </c>
      <c r="D16" s="581" t="s">
        <v>526</v>
      </c>
      <c r="E16" s="588">
        <v>1.342292620807249</v>
      </c>
      <c r="F16" s="588">
        <v>1.3265668152415326</v>
      </c>
      <c r="G16" s="588">
        <f t="shared" si="0"/>
        <v>-0.28461659502303815</v>
      </c>
      <c r="H16" s="588">
        <f t="shared" si="1"/>
        <v>-0.19478054902937014</v>
      </c>
      <c r="I16" s="581"/>
      <c r="J16" s="440">
        <f t="shared" si="2"/>
        <v>-1.5725805565716344</v>
      </c>
      <c r="K16" s="440">
        <f t="shared" si="3"/>
        <v>8.9836045993668012E-2</v>
      </c>
      <c r="L16" s="489"/>
      <c r="M16" s="489"/>
    </row>
    <row r="17" spans="7:10">
      <c r="J17" s="489">
        <f>SUM(J10:J16)</f>
        <v>5.3387990937118444</v>
      </c>
    </row>
    <row r="23" spans="7:10">
      <c r="I23">
        <v>4.8959999999999999</v>
      </c>
    </row>
    <row r="24" spans="7:10">
      <c r="I24">
        <v>1.63</v>
      </c>
    </row>
    <row r="25" spans="7:10">
      <c r="I25">
        <f>I23+I24</f>
        <v>6.5259999999999998</v>
      </c>
    </row>
    <row r="26" spans="7:10">
      <c r="G26">
        <v>15</v>
      </c>
      <c r="H26">
        <f>I25-2.77</f>
        <v>3.7559999999999998</v>
      </c>
    </row>
    <row r="27" spans="7:10">
      <c r="G27">
        <v>29</v>
      </c>
      <c r="H27">
        <f>I25-2.78</f>
        <v>3.746</v>
      </c>
      <c r="I27">
        <f>I25-1.52</f>
        <v>5.0060000000000002</v>
      </c>
    </row>
    <row r="28" spans="7:10">
      <c r="H28">
        <v>3.7919999999999998</v>
      </c>
    </row>
    <row r="29" spans="7:10">
      <c r="H29">
        <f>H28-H27</f>
        <v>4.5999999999999819E-2</v>
      </c>
    </row>
  </sheetData>
  <mergeCells count="6">
    <mergeCell ref="C7:D9"/>
    <mergeCell ref="I7:I9"/>
    <mergeCell ref="E8:F8"/>
    <mergeCell ref="E7:F7"/>
    <mergeCell ref="G7:H7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26</vt:i4>
      </vt:variant>
    </vt:vector>
  </HeadingPairs>
  <TitlesOfParts>
    <vt:vector size="71" baseType="lpstr">
      <vt:lpstr>data asli x100</vt:lpstr>
      <vt:lpstr>data asli</vt:lpstr>
      <vt:lpstr>skemA1</vt:lpstr>
      <vt:lpstr>Tabel 2</vt:lpstr>
      <vt:lpstr>skemA2</vt:lpstr>
      <vt:lpstr>skemA3</vt:lpstr>
      <vt:lpstr>Tabel 6</vt:lpstr>
      <vt:lpstr>Tabel 7</vt:lpstr>
      <vt:lpstr>X42</vt:lpstr>
      <vt:lpstr>Y42</vt:lpstr>
      <vt:lpstr>X4b</vt:lpstr>
      <vt:lpstr>Y4b</vt:lpstr>
      <vt:lpstr>skemA4</vt:lpstr>
      <vt:lpstr>Tabel 30</vt:lpstr>
      <vt:lpstr>Tabel 31</vt:lpstr>
      <vt:lpstr>Tabel 33</vt:lpstr>
      <vt:lpstr>skemA5&amp;6</vt:lpstr>
      <vt:lpstr>Tabel 34</vt:lpstr>
      <vt:lpstr>Komponen N2</vt:lpstr>
      <vt:lpstr>Komponen K1</vt:lpstr>
      <vt:lpstr>Komponen O1</vt:lpstr>
      <vt:lpstr>Komponen K2</vt:lpstr>
      <vt:lpstr>Komponen P1</vt:lpstr>
      <vt:lpstr>Hitung f</vt:lpstr>
      <vt:lpstr>V''' Hitungan</vt:lpstr>
      <vt:lpstr>Hitung u</vt:lpstr>
      <vt:lpstr>Hitung r</vt:lpstr>
      <vt:lpstr>Buku</vt:lpstr>
      <vt:lpstr>Hitung w dan 1+W</vt:lpstr>
      <vt:lpstr>Tabel 36</vt:lpstr>
      <vt:lpstr>Tabel 37</vt:lpstr>
      <vt:lpstr>Tabel 38 (tan r)</vt:lpstr>
      <vt:lpstr>Tabel 39 (f)</vt:lpstr>
      <vt:lpstr>Tabel 40 (V)</vt:lpstr>
      <vt:lpstr>Tabel 41 (V'')</vt:lpstr>
      <vt:lpstr>Tabel 42 (V''')</vt:lpstr>
      <vt:lpstr>Tabel 43 (u)</vt:lpstr>
      <vt:lpstr>Tabel 44 (w_1+W)</vt:lpstr>
      <vt:lpstr>Duduk Tengah</vt:lpstr>
      <vt:lpstr>Forcasting Pasut</vt:lpstr>
      <vt:lpstr>skemA7</vt:lpstr>
      <vt:lpstr>ChartDatA</vt:lpstr>
      <vt:lpstr>HasiL Edit komnetar perencana</vt:lpstr>
      <vt:lpstr>ChartForcasting</vt:lpstr>
      <vt:lpstr>Sheet1</vt:lpstr>
      <vt:lpstr>'data asli'!Print_Area</vt:lpstr>
      <vt:lpstr>'data asli x100'!Print_Area</vt:lpstr>
      <vt:lpstr>'Duduk Tengah'!Print_Area</vt:lpstr>
      <vt:lpstr>'Forcasting Pasut'!Print_Area</vt:lpstr>
      <vt:lpstr>'HasiL Edit komnetar perencana'!Print_Area</vt:lpstr>
      <vt:lpstr>'Hitung f'!Print_Area</vt:lpstr>
      <vt:lpstr>'Hitung r'!Print_Area</vt:lpstr>
      <vt:lpstr>'Hitung u'!Print_Area</vt:lpstr>
      <vt:lpstr>'Hitung w dan 1+W'!Print_Area</vt:lpstr>
      <vt:lpstr>skemA1!Print_Area</vt:lpstr>
      <vt:lpstr>skemA2!Print_Area</vt:lpstr>
      <vt:lpstr>skemA3!Print_Area</vt:lpstr>
      <vt:lpstr>skemA7!Print_Area</vt:lpstr>
      <vt:lpstr>'Tabel 37'!Print_Area</vt:lpstr>
      <vt:lpstr>'Tabel 38 (tan r)'!Print_Area</vt:lpstr>
      <vt:lpstr>'Tabel 39 (f)'!Print_Area</vt:lpstr>
      <vt:lpstr>'Tabel 40 (V)'!Print_Area</vt:lpstr>
      <vt:lpstr>'Tabel 42 (V'''''')'!Print_Area</vt:lpstr>
      <vt:lpstr>'Tabel 43 (u)'!Print_Area</vt:lpstr>
      <vt:lpstr>'Tabel 6'!Print_Area</vt:lpstr>
      <vt:lpstr>'Tabel 7'!Print_Area</vt:lpstr>
      <vt:lpstr>'V'''''' Hitungan'!Print_Area</vt:lpstr>
      <vt:lpstr>'Tabel 38 (tan r)'!Print_Titles</vt:lpstr>
      <vt:lpstr>'Tabel 39 (f)'!Print_Titles</vt:lpstr>
      <vt:lpstr>'Tabel 40 (V)'!Print_Titles</vt:lpstr>
      <vt:lpstr>'Tabel 43 (u)'!Print_Titles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ESER</cp:lastModifiedBy>
  <cp:lastPrinted>2022-10-01T09:09:38Z</cp:lastPrinted>
  <dcterms:created xsi:type="dcterms:W3CDTF">2011-06-30T07:02:13Z</dcterms:created>
  <dcterms:modified xsi:type="dcterms:W3CDTF">2022-10-03T13:21:11Z</dcterms:modified>
</cp:coreProperties>
</file>