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Palken/Desktop/School, Research &amp; Employment/School &amp; Research/JILA &amp; CU Boulder (grad school)/Lehnert Lab/Acquisition, Data, and Analysis (Post 2015)/HAYSTAC Phase 2 Process/Miscellaneous/"/>
    </mc:Choice>
  </mc:AlternateContent>
  <xr:revisionPtr revIDLastSave="0" documentId="13_ncr:1_{852B52DE-7E6C-9F46-8DE2-34867A8E8A44}" xr6:coauthVersionLast="45" xr6:coauthVersionMax="45" xr10:uidLastSave="{00000000-0000-0000-0000-000000000000}"/>
  <bookViews>
    <workbookView xWindow="6120" yWindow="460" windowWidth="19940" windowHeight="16540" xr2:uid="{FA2DC6CD-8AFE-7C43-9D65-97B98A4B4BB4}"/>
  </bookViews>
  <sheets>
    <sheet name="Numbers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B7" i="1" l="1"/>
  <c r="H1" i="1" l="1"/>
  <c r="F8" i="1" l="1"/>
  <c r="D63" i="1" l="1"/>
  <c r="B13" i="1"/>
  <c r="B60" i="1" s="1"/>
  <c r="D50" i="1"/>
  <c r="D48" i="1"/>
  <c r="B52" i="1"/>
  <c r="B51" i="1"/>
  <c r="B56" i="1"/>
  <c r="D49" i="1"/>
  <c r="F58" i="1" s="1"/>
  <c r="D47" i="1"/>
  <c r="B61" i="1" s="1"/>
  <c r="D25" i="1"/>
  <c r="D14" i="1"/>
  <c r="D40" i="1"/>
  <c r="D41" i="1"/>
  <c r="D42" i="1"/>
  <c r="D43" i="1"/>
  <c r="D44" i="1"/>
  <c r="D45" i="1"/>
  <c r="D39" i="1"/>
  <c r="B39" i="1"/>
  <c r="B36" i="1"/>
  <c r="D36" i="1" s="1"/>
  <c r="B35" i="1"/>
  <c r="B24" i="1"/>
  <c r="B46" i="1" s="1"/>
  <c r="F47" i="1" l="1"/>
  <c r="D58" i="1"/>
  <c r="B57" i="1"/>
  <c r="D51" i="1"/>
  <c r="F49" i="1"/>
  <c r="J50" i="1"/>
  <c r="H49" i="1"/>
  <c r="H48" i="1"/>
  <c r="H47" i="1"/>
  <c r="H36" i="1"/>
  <c r="D8" i="1"/>
  <c r="D11" i="1" s="1"/>
  <c r="F11" i="1" s="1"/>
  <c r="D9" i="1"/>
  <c r="D12" i="1" s="1"/>
  <c r="D1" i="1"/>
  <c r="D3" i="1"/>
  <c r="J48" i="1" s="1"/>
  <c r="B62" i="1" l="1"/>
  <c r="B54" i="1"/>
  <c r="B59" i="1"/>
  <c r="J57" i="1"/>
  <c r="D57" i="1"/>
  <c r="H57" i="1"/>
  <c r="H58" i="1"/>
  <c r="F57" i="1"/>
  <c r="F25" i="1"/>
  <c r="F14" i="1"/>
  <c r="J47" i="1"/>
  <c r="F1" i="1"/>
  <c r="D10" i="1"/>
  <c r="J49" i="1" l="1"/>
  <c r="F36" i="1"/>
  <c r="D15" i="1"/>
  <c r="D16" i="1" s="1"/>
  <c r="D26" i="1"/>
  <c r="D27" i="1" s="1"/>
  <c r="F10" i="1"/>
  <c r="D37" i="1"/>
  <c r="D38" i="1" s="1"/>
  <c r="F16" i="1" l="1"/>
  <c r="F27" i="1"/>
</calcChain>
</file>

<file path=xl/sharedStrings.xml><?xml version="1.0" encoding="utf-8"?>
<sst xmlns="http://schemas.openxmlformats.org/spreadsheetml/2006/main" count="120" uniqueCount="99">
  <si>
    <t>Red text</t>
  </si>
  <si>
    <t>Unfinalized</t>
  </si>
  <si>
    <t>OP</t>
  </si>
  <si>
    <t>"operating point"; nearly synonymous with "tuning"</t>
  </si>
  <si>
    <t>OP live time (hrs)</t>
  </si>
  <si>
    <t>Sample rate (MHz)</t>
  </si>
  <si>
    <t>OP live time (sec)</t>
  </si>
  <si>
    <t>Sample rate (Hz)</t>
  </si>
  <si>
    <t>Subspectrum live time (sec)</t>
  </si>
  <si>
    <t>Subspectra per OP</t>
  </si>
  <si>
    <t>Samples per OP (G)</t>
  </si>
  <si>
    <t>Initial scan cut OPs</t>
  </si>
  <si>
    <t>Initial scan OPs (pre-cut)</t>
  </si>
  <si>
    <t>Rescan OPs (pre-cut)</t>
  </si>
  <si>
    <t>Rescan cut OPs</t>
  </si>
  <si>
    <t>Scan 1 duration (days)</t>
  </si>
  <si>
    <t>Rescan duration (days)</t>
  </si>
  <si>
    <t>tone power std cuts</t>
  </si>
  <si>
    <t>tone power avg cuts</t>
  </si>
  <si>
    <t>spec power avg cuts</t>
  </si>
  <si>
    <t>cav drift cuts (tx)</t>
  </si>
  <si>
    <t>cav drift cuts (rf)</t>
  </si>
  <si>
    <t>bad squeezing cuts</t>
  </si>
  <si>
    <t>multi-cause cuts</t>
  </si>
  <si>
    <t>Rescan OPs used</t>
  </si>
  <si>
    <t>Initial scan OPs used</t>
  </si>
  <si>
    <t>Total OPs (pre-cut)</t>
  </si>
  <si>
    <t>Total cuts</t>
  </si>
  <si>
    <t>Total OPs used</t>
  </si>
  <si>
    <t>Channels</t>
  </si>
  <si>
    <t>Bytes/sample</t>
  </si>
  <si>
    <t>Data per OP (GB)</t>
  </si>
  <si>
    <t>scan samples (T)</t>
  </si>
  <si>
    <t>scan data (TB)</t>
  </si>
  <si>
    <t>live %</t>
  </si>
  <si>
    <t>Total duration (days)                          (not counting gap)</t>
  </si>
  <si>
    <t>Total duration (days)                          (counting gap)</t>
  </si>
  <si>
    <t>live % (counting gap)</t>
  </si>
  <si>
    <t>live % (not counting gap)</t>
  </si>
  <si>
    <t>Scan window (MHz)</t>
  </si>
  <si>
    <t>Start freq (GHz)</t>
  </si>
  <si>
    <t>End freq (GHz)</t>
  </si>
  <si>
    <t>Gap extent (MHz)</t>
  </si>
  <si>
    <t>Scan - gap (MHz)</t>
  </si>
  <si>
    <t>Initial scan live time/MHz (days)</t>
  </si>
  <si>
    <t>Rescan live time/MHz (days)</t>
  </si>
  <si>
    <t>Total live time/MHz (days)</t>
  </si>
  <si>
    <t>live time (days)</t>
  </si>
  <si>
    <t>Initial scan duration/MHz (days)</t>
  </si>
  <si>
    <t>Rescan duration/MHz (days)</t>
  </si>
  <si>
    <t>Total duration/MHz (days) (counting gap)</t>
  </si>
  <si>
    <t>Total duration/MHz (days) (not counting gap)</t>
  </si>
  <si>
    <t>Gap low freq (GHz)</t>
  </si>
  <si>
    <t>Gap high freq (GHz)</t>
  </si>
  <si>
    <t>Center freq (GHz)</t>
  </si>
  <si>
    <t>Gap center (GHz)</t>
  </si>
  <si>
    <t>Axion fractional st dev</t>
  </si>
  <si>
    <t>Axion st dev (kHz)</t>
  </si>
  <si>
    <t>Axion st devs in window (k)</t>
  </si>
  <si>
    <t>Axion st devs in gap (k)</t>
  </si>
  <si>
    <t>Axion st devs in window - gap (k)</t>
  </si>
  <si>
    <t>Gap %</t>
  </si>
  <si>
    <t>Fractional gap size</t>
  </si>
  <si>
    <t>Fractional scan window size</t>
  </si>
  <si>
    <t>Gap offset (MHz)</t>
  </si>
  <si>
    <t>Axion fit band (kHz)</t>
  </si>
  <si>
    <t>Axion fits in window (k)</t>
  </si>
  <si>
    <t>Axion fits in gap (k)</t>
  </si>
  <si>
    <t>Axion fits in window - gap (k)</t>
  </si>
  <si>
    <t>Axion st devs/fit</t>
  </si>
  <si>
    <t>Fourier bin width (Hz)</t>
  </si>
  <si>
    <t>Samples per subspectrum (k)</t>
  </si>
  <si>
    <t>Data per subspectrum (kB)</t>
  </si>
  <si>
    <t>Fourier bins/axion st dev</t>
  </si>
  <si>
    <t>Fourier bins/axion fit</t>
  </si>
  <si>
    <t>FT/BT2 90% exclusion (KSVZ)                                 (not counting gap)</t>
  </si>
  <si>
    <t>BPM 90% exclusion (KSVZ)                                 (not counting gap)</t>
  </si>
  <si>
    <t>BPM speedup</t>
  </si>
  <si>
    <t>rescan % data</t>
  </si>
  <si>
    <t>initial scan % data</t>
  </si>
  <si>
    <t>k</t>
  </si>
  <si>
    <t>M</t>
  </si>
  <si>
    <t>G</t>
  </si>
  <si>
    <t>T</t>
  </si>
  <si>
    <t>10^3</t>
  </si>
  <si>
    <t>10^6</t>
  </si>
  <si>
    <t>10^9</t>
  </si>
  <si>
    <t>10^12</t>
  </si>
  <si>
    <t>(Scan - gap)/(initial scan Ops - 1)                    (kHz)</t>
  </si>
  <si>
    <t>First initial scan date</t>
  </si>
  <si>
    <t>Last initial scan date</t>
  </si>
  <si>
    <t>First rescan date</t>
  </si>
  <si>
    <t>Last rescan date</t>
  </si>
  <si>
    <t>Nyquist freq (MHz)</t>
  </si>
  <si>
    <t>Fourier bins in scan window (k)</t>
  </si>
  <si>
    <t>Fourier bins in scan - gap (k)</t>
  </si>
  <si>
    <t>Bytes/double</t>
  </si>
  <si>
    <t>Aggregation edge exception %</t>
  </si>
  <si>
    <t>Aggregation window total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</si>
</sst>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0.0"/>
    <numFmt numFmtId="166" formatCode="0.0%"/>
    <numFmt numFmtId="167" formatCode="0.0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2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5" borderId="1" xfId="0" applyFont="1" applyFill="1" applyBorder="1" applyAlignment="1">
      <alignment horizontal="left" vertical="center"/>
    </xf>
    <xf numFmtId="164" fontId="0" fillId="5" borderId="1" xfId="0" applyNumberForma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0" fontId="0" fillId="4" borderId="1" xfId="0" applyNumberFormat="1" applyFill="1" applyBorder="1" applyAlignment="1">
      <alignment vertical="center"/>
    </xf>
    <xf numFmtId="0" fontId="0" fillId="4" borderId="1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9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165" fontId="0" fillId="2" borderId="1" xfId="0" applyNumberFormat="1" applyFill="1" applyBorder="1" applyAlignment="1">
      <alignment horizontal="right" vertical="center"/>
    </xf>
    <xf numFmtId="0" fontId="0" fillId="2" borderId="1" xfId="0" applyNumberForma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0" fillId="3" borderId="1" xfId="0" applyNumberFormat="1" applyFill="1" applyBorder="1" applyAlignment="1">
      <alignment vertical="center"/>
    </xf>
    <xf numFmtId="2" fontId="0" fillId="3" borderId="1" xfId="0" applyNumberFormat="1" applyFill="1" applyBorder="1" applyAlignment="1">
      <alignment horizontal="right" vertical="center"/>
    </xf>
    <xf numFmtId="167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right" vertical="center"/>
    </xf>
    <xf numFmtId="11" fontId="0" fillId="3" borderId="1" xfId="0" applyNumberFormat="1" applyFill="1" applyBorder="1" applyAlignment="1">
      <alignment vertical="center"/>
    </xf>
    <xf numFmtId="2" fontId="0" fillId="3" borderId="1" xfId="0" applyNumberFormat="1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164" fontId="0" fillId="5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6" borderId="1" xfId="0" quotePrefix="1" applyFont="1" applyFill="1" applyBorder="1" applyAlignment="1">
      <alignment horizontal="right" vertical="center"/>
    </xf>
    <xf numFmtId="166" fontId="0" fillId="3" borderId="1" xfId="0" applyNumberFormat="1" applyFont="1" applyFill="1" applyBorder="1" applyAlignment="1">
      <alignment vertical="center"/>
    </xf>
    <xf numFmtId="165" fontId="0" fillId="3" borderId="1" xfId="0" applyNumberForma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2" fontId="0" fillId="6" borderId="1" xfId="0" applyNumberFormat="1" applyFont="1" applyFill="1" applyBorder="1" applyAlignment="1">
      <alignment horizontal="right" vertical="center"/>
    </xf>
    <xf numFmtId="166" fontId="0" fillId="3" borderId="1" xfId="0" applyNumberFormat="1" applyFill="1" applyBorder="1" applyAlignment="1">
      <alignment horizontal="right" vertical="center"/>
    </xf>
    <xf numFmtId="49" fontId="2" fillId="5" borderId="1" xfId="0" applyNumberFormat="1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right" vertical="center"/>
    </xf>
    <xf numFmtId="0" fontId="0" fillId="2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 wrapText="1"/>
    </xf>
    <xf numFmtId="1" fontId="0" fillId="3" borderId="1" xfId="0" applyNumberForma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ED31-A7B0-854C-A86A-F81A119C93DB}">
  <dimension ref="A1:BE66"/>
  <sheetViews>
    <sheetView tabSelected="1" topLeftCell="A12" workbookViewId="0">
      <selection activeCell="B14" sqref="B14:B16"/>
    </sheetView>
  </sheetViews>
  <sheetFormatPr baseColWidth="10" defaultRowHeight="16" x14ac:dyDescent="0.2"/>
  <cols>
    <col min="1" max="1" width="28.83203125" style="35" bestFit="1" customWidth="1"/>
    <col min="2" max="2" width="17.1640625" style="36" bestFit="1" customWidth="1"/>
    <col min="3" max="3" width="28.6640625" style="37" bestFit="1" customWidth="1"/>
    <col min="4" max="4" width="12.1640625" style="36" bestFit="1" customWidth="1"/>
    <col min="5" max="5" width="24" style="35" bestFit="1" customWidth="1"/>
    <col min="6" max="6" width="10.83203125" style="36"/>
    <col min="7" max="7" width="28.6640625" style="35" bestFit="1" customWidth="1"/>
    <col min="8" max="8" width="10.83203125" style="39"/>
    <col min="9" max="9" width="39" style="37" bestFit="1" customWidth="1"/>
    <col min="10" max="10" width="10.83203125" style="36"/>
    <col min="11" max="11" width="10.83203125" style="37" customWidth="1"/>
    <col min="12" max="16384" width="10.83203125" style="36"/>
  </cols>
  <sheetData>
    <row r="1" spans="1:11" s="5" customFormat="1" x14ac:dyDescent="0.2">
      <c r="A1" s="2" t="s">
        <v>89</v>
      </c>
      <c r="B1" s="3">
        <v>43711</v>
      </c>
      <c r="C1" s="62" t="s">
        <v>15</v>
      </c>
      <c r="D1" s="58">
        <f>B2-B1+1</f>
        <v>105</v>
      </c>
      <c r="E1" s="57" t="s">
        <v>35</v>
      </c>
      <c r="F1" s="58">
        <f>D1+D3</f>
        <v>158</v>
      </c>
      <c r="G1" s="57" t="s">
        <v>36</v>
      </c>
      <c r="H1" s="58">
        <f>B4-B1</f>
        <v>223</v>
      </c>
      <c r="I1" s="4"/>
      <c r="K1" s="4"/>
    </row>
    <row r="2" spans="1:11" s="5" customFormat="1" x14ac:dyDescent="0.2">
      <c r="A2" s="2" t="s">
        <v>90</v>
      </c>
      <c r="B2" s="3">
        <v>43815</v>
      </c>
      <c r="C2" s="62"/>
      <c r="D2" s="58"/>
      <c r="E2" s="57"/>
      <c r="F2" s="58"/>
      <c r="G2" s="57"/>
      <c r="H2" s="58"/>
      <c r="I2" s="4"/>
      <c r="K2" s="4"/>
    </row>
    <row r="3" spans="1:11" s="5" customFormat="1" x14ac:dyDescent="0.2">
      <c r="A3" s="2" t="s">
        <v>91</v>
      </c>
      <c r="B3" s="3">
        <v>43882</v>
      </c>
      <c r="C3" s="62" t="s">
        <v>16</v>
      </c>
      <c r="D3" s="58">
        <f>B4-B3+1</f>
        <v>53</v>
      </c>
      <c r="E3" s="57"/>
      <c r="F3" s="58"/>
      <c r="G3" s="57"/>
      <c r="H3" s="58"/>
      <c r="I3" s="4"/>
      <c r="K3" s="4"/>
    </row>
    <row r="4" spans="1:11" s="5" customFormat="1" x14ac:dyDescent="0.2">
      <c r="A4" s="2" t="s">
        <v>92</v>
      </c>
      <c r="B4" s="47">
        <v>43934</v>
      </c>
      <c r="C4" s="62"/>
      <c r="D4" s="58"/>
      <c r="E4" s="57"/>
      <c r="F4" s="58"/>
      <c r="G4" s="57"/>
      <c r="H4" s="58"/>
      <c r="I4" s="4"/>
      <c r="K4" s="4"/>
    </row>
    <row r="5" spans="1:11" s="10" customFormat="1" x14ac:dyDescent="0.2">
      <c r="A5" s="6" t="s">
        <v>29</v>
      </c>
      <c r="B5" s="7">
        <v>2</v>
      </c>
      <c r="C5" s="8"/>
      <c r="D5" s="9"/>
      <c r="E5" s="6"/>
      <c r="G5" s="6"/>
      <c r="H5" s="11"/>
      <c r="I5" s="12"/>
      <c r="K5" s="12"/>
    </row>
    <row r="6" spans="1:11" s="10" customFormat="1" x14ac:dyDescent="0.2">
      <c r="A6" s="43" t="s">
        <v>96</v>
      </c>
      <c r="B6" s="7">
        <v>8</v>
      </c>
      <c r="C6" s="8"/>
      <c r="D6" s="9"/>
      <c r="E6" s="43"/>
      <c r="G6" s="43"/>
      <c r="H6" s="11"/>
      <c r="I6" s="12"/>
      <c r="K6" s="12"/>
    </row>
    <row r="7" spans="1:11" s="10" customFormat="1" ht="17" x14ac:dyDescent="0.2">
      <c r="A7" s="8" t="s">
        <v>30</v>
      </c>
      <c r="B7" s="11">
        <f>B6*B5</f>
        <v>16</v>
      </c>
      <c r="E7" s="6"/>
      <c r="G7" s="6"/>
      <c r="H7" s="11"/>
      <c r="I7" s="12"/>
      <c r="K7" s="12"/>
    </row>
    <row r="8" spans="1:11" s="10" customFormat="1" x14ac:dyDescent="0.2">
      <c r="A8" s="6" t="s">
        <v>5</v>
      </c>
      <c r="B8" s="13">
        <v>10</v>
      </c>
      <c r="C8" s="12" t="s">
        <v>7</v>
      </c>
      <c r="D8" s="10">
        <f>B8*1000000</f>
        <v>10000000</v>
      </c>
      <c r="E8" s="6" t="s">
        <v>93</v>
      </c>
      <c r="F8" s="10">
        <f>B8/2</f>
        <v>5</v>
      </c>
      <c r="G8" s="6"/>
      <c r="H8" s="11"/>
      <c r="I8" s="12"/>
      <c r="K8" s="12"/>
    </row>
    <row r="9" spans="1:11" s="10" customFormat="1" x14ac:dyDescent="0.2">
      <c r="A9" s="63" t="s">
        <v>4</v>
      </c>
      <c r="B9" s="64">
        <v>1</v>
      </c>
      <c r="C9" s="12" t="s">
        <v>6</v>
      </c>
      <c r="D9" s="10">
        <f>B9*3600</f>
        <v>3600</v>
      </c>
      <c r="E9" s="6"/>
      <c r="G9" s="6"/>
      <c r="H9" s="11"/>
      <c r="I9" s="12"/>
      <c r="K9" s="12"/>
    </row>
    <row r="10" spans="1:11" s="10" customFormat="1" x14ac:dyDescent="0.2">
      <c r="A10" s="63"/>
      <c r="B10" s="64"/>
      <c r="C10" s="12" t="s">
        <v>10</v>
      </c>
      <c r="D10" s="10">
        <f>D8*D9/1000000000</f>
        <v>36</v>
      </c>
      <c r="E10" s="6" t="s">
        <v>31</v>
      </c>
      <c r="F10" s="10">
        <f>D10*B7</f>
        <v>576</v>
      </c>
      <c r="G10" s="6"/>
      <c r="H10" s="11"/>
      <c r="I10" s="12"/>
      <c r="K10" s="12"/>
    </row>
    <row r="11" spans="1:11" s="10" customFormat="1" x14ac:dyDescent="0.2">
      <c r="A11" s="63" t="s">
        <v>8</v>
      </c>
      <c r="B11" s="64">
        <v>0.01</v>
      </c>
      <c r="C11" s="12" t="s">
        <v>71</v>
      </c>
      <c r="D11" s="10">
        <f>B11*D8/1000</f>
        <v>100</v>
      </c>
      <c r="E11" s="6" t="s">
        <v>72</v>
      </c>
      <c r="F11" s="10">
        <f>D11*B7</f>
        <v>1600</v>
      </c>
      <c r="G11" s="6"/>
      <c r="H11" s="11"/>
      <c r="I11" s="12"/>
      <c r="K11" s="12"/>
    </row>
    <row r="12" spans="1:11" s="10" customFormat="1" x14ac:dyDescent="0.2">
      <c r="A12" s="63"/>
      <c r="B12" s="64"/>
      <c r="C12" s="12" t="s">
        <v>9</v>
      </c>
      <c r="D12" s="10">
        <f>D9/B11</f>
        <v>360000</v>
      </c>
      <c r="E12" s="6"/>
      <c r="G12" s="6"/>
      <c r="H12" s="11"/>
      <c r="I12" s="12"/>
      <c r="K12" s="12"/>
    </row>
    <row r="13" spans="1:11" s="10" customFormat="1" x14ac:dyDescent="0.2">
      <c r="A13" s="6" t="s">
        <v>70</v>
      </c>
      <c r="B13" s="14">
        <f>1/B11</f>
        <v>100</v>
      </c>
      <c r="C13" s="12"/>
      <c r="E13" s="6"/>
      <c r="G13" s="6"/>
      <c r="H13" s="11"/>
      <c r="I13" s="12"/>
      <c r="K13" s="12"/>
    </row>
    <row r="14" spans="1:11" s="20" customFormat="1" x14ac:dyDescent="0.2">
      <c r="A14" s="59" t="s">
        <v>12</v>
      </c>
      <c r="B14" s="60">
        <v>861</v>
      </c>
      <c r="C14" s="15" t="s">
        <v>47</v>
      </c>
      <c r="D14" s="16">
        <f>B14*B9/24</f>
        <v>35.875</v>
      </c>
      <c r="E14" s="17" t="s">
        <v>34</v>
      </c>
      <c r="F14" s="18">
        <f>D14/D1</f>
        <v>0.34166666666666667</v>
      </c>
      <c r="G14" s="17"/>
      <c r="H14" s="19"/>
      <c r="I14" s="15"/>
      <c r="K14" s="15"/>
    </row>
    <row r="15" spans="1:11" s="20" customFormat="1" x14ac:dyDescent="0.2">
      <c r="A15" s="59"/>
      <c r="B15" s="60"/>
      <c r="C15" s="15" t="s">
        <v>32</v>
      </c>
      <c r="D15" s="16">
        <f>D10*B14/1000</f>
        <v>30.995999999999999</v>
      </c>
      <c r="E15" s="17"/>
      <c r="F15" s="16"/>
      <c r="G15" s="17"/>
      <c r="H15" s="21"/>
      <c r="I15" s="15"/>
      <c r="K15" s="15"/>
    </row>
    <row r="16" spans="1:11" s="20" customFormat="1" x14ac:dyDescent="0.2">
      <c r="A16" s="59"/>
      <c r="B16" s="60"/>
      <c r="C16" s="15" t="s">
        <v>33</v>
      </c>
      <c r="D16" s="16">
        <f>D15*B7</f>
        <v>495.93599999999998</v>
      </c>
      <c r="E16" s="17" t="s">
        <v>79</v>
      </c>
      <c r="F16" s="18">
        <f>D16/D38</f>
        <v>0.62892622352081806</v>
      </c>
      <c r="G16" s="17"/>
      <c r="H16" s="21"/>
      <c r="I16" s="15"/>
      <c r="K16" s="15"/>
    </row>
    <row r="17" spans="1:11" s="20" customFormat="1" x14ac:dyDescent="0.2">
      <c r="A17" s="59" t="s">
        <v>11</v>
      </c>
      <c r="B17" s="60">
        <v>33</v>
      </c>
      <c r="C17" s="15" t="s">
        <v>18</v>
      </c>
      <c r="D17" s="20">
        <v>2</v>
      </c>
      <c r="E17" s="17"/>
      <c r="G17" s="17"/>
      <c r="H17" s="19"/>
      <c r="I17" s="15"/>
      <c r="K17" s="15"/>
    </row>
    <row r="18" spans="1:11" s="20" customFormat="1" x14ac:dyDescent="0.2">
      <c r="A18" s="59"/>
      <c r="B18" s="60"/>
      <c r="C18" s="15" t="s">
        <v>17</v>
      </c>
      <c r="D18" s="20">
        <v>11</v>
      </c>
      <c r="E18" s="17"/>
      <c r="G18" s="17"/>
      <c r="H18" s="19"/>
      <c r="I18" s="15"/>
      <c r="K18" s="15"/>
    </row>
    <row r="19" spans="1:11" s="20" customFormat="1" x14ac:dyDescent="0.2">
      <c r="A19" s="59"/>
      <c r="B19" s="60"/>
      <c r="C19" s="15" t="s">
        <v>19</v>
      </c>
      <c r="D19" s="20">
        <v>9</v>
      </c>
      <c r="E19" s="17"/>
      <c r="G19" s="17"/>
      <c r="H19" s="19"/>
      <c r="I19" s="15"/>
      <c r="K19" s="15"/>
    </row>
    <row r="20" spans="1:11" s="20" customFormat="1" x14ac:dyDescent="0.2">
      <c r="A20" s="59"/>
      <c r="B20" s="60"/>
      <c r="C20" s="15" t="s">
        <v>20</v>
      </c>
      <c r="D20" s="20">
        <v>0</v>
      </c>
      <c r="E20" s="17"/>
      <c r="G20" s="17"/>
      <c r="H20" s="19"/>
      <c r="I20" s="15"/>
      <c r="K20" s="15"/>
    </row>
    <row r="21" spans="1:11" s="20" customFormat="1" x14ac:dyDescent="0.2">
      <c r="A21" s="59"/>
      <c r="B21" s="60"/>
      <c r="C21" s="15" t="s">
        <v>21</v>
      </c>
      <c r="D21" s="20">
        <v>1</v>
      </c>
      <c r="E21" s="17"/>
      <c r="G21" s="17"/>
      <c r="H21" s="19"/>
      <c r="I21" s="15"/>
      <c r="K21" s="15"/>
    </row>
    <row r="22" spans="1:11" s="20" customFormat="1" x14ac:dyDescent="0.2">
      <c r="A22" s="59"/>
      <c r="B22" s="60"/>
      <c r="C22" s="15" t="s">
        <v>22</v>
      </c>
      <c r="D22" s="20">
        <v>6</v>
      </c>
      <c r="E22" s="17"/>
      <c r="G22" s="17"/>
      <c r="H22" s="19"/>
      <c r="I22" s="15"/>
      <c r="K22" s="15"/>
    </row>
    <row r="23" spans="1:11" s="20" customFormat="1" x14ac:dyDescent="0.2">
      <c r="A23" s="59"/>
      <c r="B23" s="60"/>
      <c r="C23" s="15" t="s">
        <v>23</v>
      </c>
      <c r="D23" s="20">
        <v>4</v>
      </c>
      <c r="E23" s="17"/>
      <c r="G23" s="17"/>
      <c r="H23" s="19"/>
      <c r="I23" s="15"/>
      <c r="K23" s="15"/>
    </row>
    <row r="24" spans="1:11" s="20" customFormat="1" x14ac:dyDescent="0.2">
      <c r="A24" s="17" t="s">
        <v>25</v>
      </c>
      <c r="B24" s="22">
        <f>B14-B17</f>
        <v>828</v>
      </c>
      <c r="C24" s="15"/>
      <c r="E24" s="17"/>
      <c r="G24" s="17"/>
      <c r="H24" s="19"/>
      <c r="I24" s="15"/>
      <c r="K24" s="15"/>
    </row>
    <row r="25" spans="1:11" s="20" customFormat="1" x14ac:dyDescent="0.2">
      <c r="A25" s="59" t="s">
        <v>13</v>
      </c>
      <c r="B25" s="61">
        <v>508</v>
      </c>
      <c r="C25" s="15" t="s">
        <v>47</v>
      </c>
      <c r="D25" s="16">
        <f>B25*B9/24</f>
        <v>21.166666666666668</v>
      </c>
      <c r="E25" s="17" t="s">
        <v>34</v>
      </c>
      <c r="F25" s="18">
        <f>D25/D3</f>
        <v>0.39937106918238996</v>
      </c>
      <c r="G25" s="17"/>
      <c r="H25" s="19"/>
      <c r="I25" s="15"/>
      <c r="K25" s="15"/>
    </row>
    <row r="26" spans="1:11" s="20" customFormat="1" x14ac:dyDescent="0.2">
      <c r="A26" s="59"/>
      <c r="B26" s="61"/>
      <c r="C26" s="15" t="s">
        <v>32</v>
      </c>
      <c r="D26" s="16">
        <f>D10*B25/1000</f>
        <v>18.288</v>
      </c>
      <c r="E26" s="17"/>
      <c r="F26" s="16"/>
      <c r="G26" s="17"/>
      <c r="H26" s="19"/>
      <c r="I26" s="15"/>
      <c r="K26" s="15"/>
    </row>
    <row r="27" spans="1:11" s="20" customFormat="1" x14ac:dyDescent="0.2">
      <c r="A27" s="59"/>
      <c r="B27" s="61"/>
      <c r="C27" s="15" t="s">
        <v>33</v>
      </c>
      <c r="D27" s="16">
        <f>D26*B7</f>
        <v>292.608</v>
      </c>
      <c r="E27" s="17" t="s">
        <v>78</v>
      </c>
      <c r="F27" s="18">
        <f>D27/D38</f>
        <v>0.37107377647918188</v>
      </c>
      <c r="G27" s="17"/>
      <c r="H27" s="19"/>
      <c r="I27" s="15"/>
      <c r="K27" s="15"/>
    </row>
    <row r="28" spans="1:11" s="20" customFormat="1" x14ac:dyDescent="0.2">
      <c r="A28" s="59" t="s">
        <v>14</v>
      </c>
      <c r="B28" s="61">
        <v>3</v>
      </c>
      <c r="C28" s="15" t="s">
        <v>18</v>
      </c>
      <c r="D28" s="48">
        <v>0</v>
      </c>
      <c r="E28" s="17"/>
      <c r="G28" s="17"/>
      <c r="H28" s="19"/>
      <c r="I28" s="15"/>
      <c r="K28" s="15"/>
    </row>
    <row r="29" spans="1:11" s="20" customFormat="1" x14ac:dyDescent="0.2">
      <c r="A29" s="59"/>
      <c r="B29" s="61"/>
      <c r="C29" s="15" t="s">
        <v>17</v>
      </c>
      <c r="D29" s="48">
        <v>3</v>
      </c>
      <c r="E29" s="17"/>
      <c r="G29" s="17"/>
      <c r="H29" s="19"/>
      <c r="I29" s="15"/>
      <c r="K29" s="15"/>
    </row>
    <row r="30" spans="1:11" s="20" customFormat="1" x14ac:dyDescent="0.2">
      <c r="A30" s="59"/>
      <c r="B30" s="61"/>
      <c r="C30" s="15" t="s">
        <v>19</v>
      </c>
      <c r="D30" s="48">
        <v>0</v>
      </c>
      <c r="E30" s="17"/>
      <c r="G30" s="17"/>
      <c r="H30" s="19"/>
      <c r="I30" s="15"/>
      <c r="K30" s="15"/>
    </row>
    <row r="31" spans="1:11" s="20" customFormat="1" x14ac:dyDescent="0.2">
      <c r="A31" s="59"/>
      <c r="B31" s="61"/>
      <c r="C31" s="15" t="s">
        <v>20</v>
      </c>
      <c r="D31" s="48">
        <v>0</v>
      </c>
      <c r="E31" s="17"/>
      <c r="G31" s="17"/>
      <c r="H31" s="19"/>
      <c r="I31" s="15"/>
      <c r="K31" s="15"/>
    </row>
    <row r="32" spans="1:11" s="20" customFormat="1" x14ac:dyDescent="0.2">
      <c r="A32" s="59"/>
      <c r="B32" s="61"/>
      <c r="C32" s="15" t="s">
        <v>21</v>
      </c>
      <c r="D32" s="48">
        <v>0</v>
      </c>
      <c r="E32" s="17"/>
      <c r="G32" s="17"/>
      <c r="H32" s="19"/>
      <c r="I32" s="15"/>
      <c r="K32" s="15"/>
    </row>
    <row r="33" spans="1:12" s="20" customFormat="1" x14ac:dyDescent="0.2">
      <c r="A33" s="59"/>
      <c r="B33" s="61"/>
      <c r="C33" s="15" t="s">
        <v>22</v>
      </c>
      <c r="D33" s="48">
        <v>0</v>
      </c>
      <c r="E33" s="17"/>
      <c r="G33" s="17"/>
      <c r="H33" s="19"/>
      <c r="I33" s="15"/>
      <c r="K33" s="15"/>
    </row>
    <row r="34" spans="1:12" s="20" customFormat="1" x14ac:dyDescent="0.2">
      <c r="A34" s="59"/>
      <c r="B34" s="61"/>
      <c r="C34" s="15" t="s">
        <v>23</v>
      </c>
      <c r="D34" s="48">
        <v>0</v>
      </c>
      <c r="E34" s="17"/>
      <c r="G34" s="17"/>
      <c r="H34" s="19"/>
      <c r="I34" s="15"/>
      <c r="K34" s="15"/>
    </row>
    <row r="35" spans="1:12" s="20" customFormat="1" x14ac:dyDescent="0.2">
      <c r="A35" s="17" t="s">
        <v>24</v>
      </c>
      <c r="B35" s="20">
        <f>B25-B28</f>
        <v>505</v>
      </c>
      <c r="C35" s="15"/>
      <c r="E35" s="17"/>
      <c r="G35" s="17"/>
      <c r="H35" s="19"/>
      <c r="I35" s="15"/>
      <c r="K35" s="15"/>
    </row>
    <row r="36" spans="1:12" s="20" customFormat="1" x14ac:dyDescent="0.2">
      <c r="A36" s="59" t="s">
        <v>26</v>
      </c>
      <c r="B36" s="67">
        <f>B25+B14</f>
        <v>1369</v>
      </c>
      <c r="C36" s="15" t="s">
        <v>47</v>
      </c>
      <c r="D36" s="16">
        <f>B36*B9/24</f>
        <v>57.041666666666664</v>
      </c>
      <c r="E36" s="17" t="s">
        <v>38</v>
      </c>
      <c r="F36" s="18">
        <f>D36/F1</f>
        <v>0.36102320675105481</v>
      </c>
      <c r="G36" s="17" t="s">
        <v>37</v>
      </c>
      <c r="H36" s="18">
        <f>D36/H1</f>
        <v>0.25579222720478323</v>
      </c>
      <c r="I36" s="15"/>
      <c r="K36" s="15"/>
    </row>
    <row r="37" spans="1:12" s="20" customFormat="1" x14ac:dyDescent="0.2">
      <c r="A37" s="59"/>
      <c r="B37" s="67"/>
      <c r="C37" s="15" t="s">
        <v>32</v>
      </c>
      <c r="D37" s="16">
        <f>D10*B36/1000</f>
        <v>49.283999999999999</v>
      </c>
      <c r="E37" s="17"/>
      <c r="F37" s="16"/>
      <c r="G37" s="17"/>
      <c r="H37" s="19"/>
      <c r="I37" s="15"/>
      <c r="K37" s="15"/>
    </row>
    <row r="38" spans="1:12" s="20" customFormat="1" x14ac:dyDescent="0.2">
      <c r="A38" s="59"/>
      <c r="B38" s="67"/>
      <c r="C38" s="15" t="s">
        <v>33</v>
      </c>
      <c r="D38" s="16">
        <f>D37*B7</f>
        <v>788.54399999999998</v>
      </c>
      <c r="E38" s="17"/>
      <c r="F38" s="16"/>
      <c r="G38" s="17"/>
      <c r="H38" s="19"/>
      <c r="I38" s="15"/>
      <c r="K38" s="15"/>
    </row>
    <row r="39" spans="1:12" s="20" customFormat="1" x14ac:dyDescent="0.2">
      <c r="A39" s="59" t="s">
        <v>27</v>
      </c>
      <c r="B39" s="67">
        <f>B28+B17</f>
        <v>36</v>
      </c>
      <c r="C39" s="15" t="s">
        <v>18</v>
      </c>
      <c r="D39" s="20">
        <f t="shared" ref="D39:D45" si="0">D17+D28</f>
        <v>2</v>
      </c>
      <c r="E39" s="17"/>
      <c r="G39" s="17"/>
      <c r="H39" s="19"/>
      <c r="I39" s="15"/>
      <c r="K39" s="15"/>
    </row>
    <row r="40" spans="1:12" s="20" customFormat="1" x14ac:dyDescent="0.2">
      <c r="A40" s="59"/>
      <c r="B40" s="67"/>
      <c r="C40" s="15" t="s">
        <v>17</v>
      </c>
      <c r="D40" s="20">
        <f t="shared" si="0"/>
        <v>14</v>
      </c>
      <c r="E40" s="17"/>
      <c r="G40" s="17"/>
      <c r="H40" s="19"/>
      <c r="I40" s="15"/>
      <c r="K40" s="15"/>
    </row>
    <row r="41" spans="1:12" s="20" customFormat="1" x14ac:dyDescent="0.2">
      <c r="A41" s="59"/>
      <c r="B41" s="67"/>
      <c r="C41" s="15" t="s">
        <v>19</v>
      </c>
      <c r="D41" s="20">
        <f t="shared" si="0"/>
        <v>9</v>
      </c>
      <c r="E41" s="17"/>
      <c r="G41" s="17"/>
      <c r="H41" s="19"/>
      <c r="I41" s="15"/>
      <c r="K41" s="15"/>
    </row>
    <row r="42" spans="1:12" s="20" customFormat="1" x14ac:dyDescent="0.2">
      <c r="A42" s="59"/>
      <c r="B42" s="67"/>
      <c r="C42" s="15" t="s">
        <v>20</v>
      </c>
      <c r="D42" s="20">
        <f t="shared" si="0"/>
        <v>0</v>
      </c>
      <c r="E42" s="17"/>
      <c r="G42" s="17"/>
      <c r="H42" s="19"/>
      <c r="I42" s="15"/>
      <c r="K42" s="15"/>
    </row>
    <row r="43" spans="1:12" s="20" customFormat="1" x14ac:dyDescent="0.2">
      <c r="A43" s="59"/>
      <c r="B43" s="67"/>
      <c r="C43" s="15" t="s">
        <v>21</v>
      </c>
      <c r="D43" s="20">
        <f t="shared" si="0"/>
        <v>1</v>
      </c>
      <c r="E43" s="17"/>
      <c r="G43" s="17"/>
      <c r="H43" s="19"/>
      <c r="I43" s="15"/>
      <c r="K43" s="15"/>
    </row>
    <row r="44" spans="1:12" s="20" customFormat="1" x14ac:dyDescent="0.2">
      <c r="A44" s="59"/>
      <c r="B44" s="67"/>
      <c r="C44" s="15" t="s">
        <v>22</v>
      </c>
      <c r="D44" s="20">
        <f t="shared" si="0"/>
        <v>6</v>
      </c>
      <c r="E44" s="17"/>
      <c r="G44" s="17"/>
      <c r="H44" s="19"/>
      <c r="I44" s="15"/>
      <c r="K44" s="15"/>
    </row>
    <row r="45" spans="1:12" s="20" customFormat="1" x14ac:dyDescent="0.2">
      <c r="A45" s="59"/>
      <c r="B45" s="67"/>
      <c r="C45" s="15" t="s">
        <v>23</v>
      </c>
      <c r="D45" s="20">
        <f t="shared" si="0"/>
        <v>4</v>
      </c>
      <c r="E45" s="17"/>
      <c r="G45" s="17"/>
      <c r="H45" s="19"/>
      <c r="I45" s="15"/>
      <c r="K45" s="15"/>
    </row>
    <row r="46" spans="1:12" s="20" customFormat="1" x14ac:dyDescent="0.2">
      <c r="A46" s="17" t="s">
        <v>28</v>
      </c>
      <c r="B46" s="20">
        <f>B24+B35</f>
        <v>1333</v>
      </c>
      <c r="C46" s="15"/>
      <c r="E46" s="17"/>
      <c r="G46" s="17"/>
      <c r="H46" s="19"/>
      <c r="I46" s="15"/>
      <c r="K46" s="15"/>
    </row>
    <row r="47" spans="1:12" s="24" customFormat="1" x14ac:dyDescent="0.2">
      <c r="A47" s="23" t="s">
        <v>40</v>
      </c>
      <c r="B47" s="24">
        <v>4.0991685499999999</v>
      </c>
      <c r="C47" s="25" t="s">
        <v>39</v>
      </c>
      <c r="D47" s="26">
        <f>(B48-B47)*1000</f>
        <v>79.891799999989743</v>
      </c>
      <c r="E47" s="52" t="s">
        <v>43</v>
      </c>
      <c r="F47" s="51">
        <f>D47-D49</f>
        <v>74.241099999990297</v>
      </c>
      <c r="G47" s="23" t="s">
        <v>44</v>
      </c>
      <c r="H47" s="27">
        <f>D14/F47</f>
        <v>0.48322290483310038</v>
      </c>
      <c r="I47" s="25" t="s">
        <v>48</v>
      </c>
      <c r="J47" s="27">
        <f>D1/F$47</f>
        <v>1.4143109409749279</v>
      </c>
      <c r="K47" s="25"/>
      <c r="L47" s="26"/>
    </row>
    <row r="48" spans="1:12" s="24" customFormat="1" x14ac:dyDescent="0.2">
      <c r="A48" s="23" t="s">
        <v>41</v>
      </c>
      <c r="B48" s="24">
        <v>4.1790603499999897</v>
      </c>
      <c r="C48" s="25" t="s">
        <v>63</v>
      </c>
      <c r="D48" s="28">
        <f>B48/B47</f>
        <v>1.0194897572582102</v>
      </c>
      <c r="E48" s="52"/>
      <c r="F48" s="51"/>
      <c r="G48" s="23" t="s">
        <v>45</v>
      </c>
      <c r="H48" s="27">
        <f>D25/F47</f>
        <v>0.28510712619653311</v>
      </c>
      <c r="I48" s="25" t="s">
        <v>49</v>
      </c>
      <c r="J48" s="27">
        <f>D3/F$47</f>
        <v>0.71389028449210645</v>
      </c>
      <c r="K48" s="25"/>
    </row>
    <row r="49" spans="1:57" s="24" customFormat="1" x14ac:dyDescent="0.2">
      <c r="A49" s="23" t="s">
        <v>52</v>
      </c>
      <c r="B49" s="24">
        <v>4.1396811500000004</v>
      </c>
      <c r="C49" s="25" t="s">
        <v>42</v>
      </c>
      <c r="D49" s="26">
        <f>(B50-B49)*1000</f>
        <v>5.6506999999994534</v>
      </c>
      <c r="E49" s="52" t="s">
        <v>61</v>
      </c>
      <c r="F49" s="56">
        <f>D49/D47</f>
        <v>7.0729411529095343E-2</v>
      </c>
      <c r="G49" s="23" t="s">
        <v>46</v>
      </c>
      <c r="H49" s="27">
        <f>D36/F47</f>
        <v>0.76833003102963349</v>
      </c>
      <c r="I49" s="25" t="s">
        <v>51</v>
      </c>
      <c r="J49" s="27">
        <f>F1/F$47</f>
        <v>2.1282012254670346</v>
      </c>
      <c r="K49" s="25"/>
    </row>
    <row r="50" spans="1:57" s="24" customFormat="1" x14ac:dyDescent="0.2">
      <c r="A50" s="23" t="s">
        <v>53</v>
      </c>
      <c r="B50" s="24">
        <v>4.1453318499999998</v>
      </c>
      <c r="C50" s="25" t="s">
        <v>62</v>
      </c>
      <c r="D50" s="28">
        <f>B50/B49</f>
        <v>1.0013650085103776</v>
      </c>
      <c r="E50" s="52"/>
      <c r="F50" s="56"/>
      <c r="G50" s="23"/>
      <c r="H50" s="29"/>
      <c r="I50" s="25" t="s">
        <v>50</v>
      </c>
      <c r="J50" s="27">
        <f>H1/F$47</f>
        <v>3.0037270460705612</v>
      </c>
      <c r="K50" s="25"/>
    </row>
    <row r="51" spans="1:57" s="24" customFormat="1" x14ac:dyDescent="0.2">
      <c r="A51" s="23" t="s">
        <v>54</v>
      </c>
      <c r="B51" s="24">
        <f>AVERAGE(B47:B48)</f>
        <v>4.1391144499999948</v>
      </c>
      <c r="C51" s="52" t="s">
        <v>64</v>
      </c>
      <c r="D51" s="51">
        <f>(B52-B51)*1000</f>
        <v>3.3920500000048648</v>
      </c>
      <c r="E51" s="23"/>
      <c r="F51" s="30"/>
      <c r="G51" s="23"/>
      <c r="H51" s="29"/>
      <c r="I51" s="25"/>
      <c r="J51" s="27"/>
      <c r="K51" s="25"/>
    </row>
    <row r="52" spans="1:57" s="24" customFormat="1" x14ac:dyDescent="0.2">
      <c r="A52" s="23" t="s">
        <v>55</v>
      </c>
      <c r="B52" s="24">
        <f>AVERAGE(B49:B50)</f>
        <v>4.1425064999999996</v>
      </c>
      <c r="C52" s="52"/>
      <c r="D52" s="51"/>
      <c r="E52" s="23"/>
      <c r="F52" s="30"/>
      <c r="G52" s="23"/>
      <c r="H52" s="29"/>
      <c r="I52" s="25"/>
      <c r="J52" s="27"/>
      <c r="K52" s="25"/>
    </row>
    <row r="53" spans="1:57" s="24" customFormat="1" x14ac:dyDescent="0.2">
      <c r="A53" s="46" t="s">
        <v>97</v>
      </c>
      <c r="B53" s="50">
        <v>0.01</v>
      </c>
      <c r="C53" s="46" t="s">
        <v>98</v>
      </c>
      <c r="D53" s="45">
        <f>F47*(1-B53*4)</f>
        <v>71.271455999990678</v>
      </c>
      <c r="E53" s="46"/>
      <c r="F53" s="30"/>
      <c r="G53" s="46"/>
      <c r="H53" s="29"/>
      <c r="I53" s="25"/>
      <c r="J53" s="27"/>
      <c r="K53" s="25"/>
    </row>
    <row r="54" spans="1:57" s="24" customFormat="1" x14ac:dyDescent="0.2">
      <c r="A54" s="65" t="s">
        <v>88</v>
      </c>
      <c r="B54" s="66">
        <f>1000*F47/(B14-1)</f>
        <v>86.326860465105</v>
      </c>
      <c r="C54" s="23"/>
      <c r="D54" s="31"/>
      <c r="E54" s="23"/>
      <c r="F54" s="30"/>
      <c r="G54" s="23"/>
      <c r="H54" s="29"/>
      <c r="I54" s="25"/>
      <c r="J54" s="27"/>
      <c r="K54" s="25"/>
    </row>
    <row r="55" spans="1:57" s="24" customFormat="1" x14ac:dyDescent="0.2">
      <c r="A55" s="65"/>
      <c r="B55" s="66"/>
      <c r="C55" s="23"/>
      <c r="D55" s="31"/>
      <c r="E55" s="23"/>
      <c r="F55" s="30"/>
      <c r="G55" s="23"/>
      <c r="H55" s="29"/>
      <c r="I55" s="25"/>
      <c r="J55" s="27"/>
      <c r="K55" s="25"/>
    </row>
    <row r="56" spans="1:57" s="24" customFormat="1" x14ac:dyDescent="0.2">
      <c r="A56" s="23" t="s">
        <v>56</v>
      </c>
      <c r="B56" s="32">
        <f>0.00000051962077</f>
        <v>5.1962077000000003E-7</v>
      </c>
      <c r="C56" s="25"/>
      <c r="E56" s="23"/>
      <c r="G56" s="23"/>
      <c r="H56" s="29"/>
      <c r="I56" s="25"/>
      <c r="K56" s="25"/>
    </row>
    <row r="57" spans="1:57" s="24" customFormat="1" x14ac:dyDescent="0.2">
      <c r="A57" s="23" t="s">
        <v>57</v>
      </c>
      <c r="B57" s="33">
        <f>B56*B51*1000000</f>
        <v>2.150769837627124</v>
      </c>
      <c r="C57" s="25" t="s">
        <v>58</v>
      </c>
      <c r="D57" s="26">
        <f>D$47/B57</f>
        <v>37.14567621430465</v>
      </c>
      <c r="E57" s="25" t="s">
        <v>59</v>
      </c>
      <c r="F57" s="26">
        <f>D$49/B57</f>
        <v>2.6272918194880819</v>
      </c>
      <c r="G57" s="25" t="s">
        <v>60</v>
      </c>
      <c r="H57" s="31">
        <f>F$47/B57</f>
        <v>34.518384394816572</v>
      </c>
      <c r="I57" s="52" t="s">
        <v>69</v>
      </c>
      <c r="J57" s="53">
        <f>B58/B57</f>
        <v>4.1845481755171967</v>
      </c>
      <c r="K57" s="25"/>
    </row>
    <row r="58" spans="1:57" s="24" customFormat="1" x14ac:dyDescent="0.2">
      <c r="A58" s="23" t="s">
        <v>65</v>
      </c>
      <c r="B58" s="24">
        <v>9</v>
      </c>
      <c r="C58" s="25" t="s">
        <v>66</v>
      </c>
      <c r="D58" s="26">
        <f>D$47/B58</f>
        <v>8.8768666666655278</v>
      </c>
      <c r="E58" s="25" t="s">
        <v>67</v>
      </c>
      <c r="F58" s="26">
        <f>D$49/B58</f>
        <v>0.62785555555549477</v>
      </c>
      <c r="G58" s="25" t="s">
        <v>68</v>
      </c>
      <c r="H58" s="31">
        <f>F$47/B58</f>
        <v>8.2490111111100326</v>
      </c>
      <c r="I58" s="52"/>
      <c r="J58" s="53"/>
      <c r="K58" s="25"/>
    </row>
    <row r="59" spans="1:57" s="24" customFormat="1" x14ac:dyDescent="0.2">
      <c r="A59" s="23" t="s">
        <v>73</v>
      </c>
      <c r="B59" s="34">
        <f>1000*B57/B$13</f>
        <v>21.507698376271243</v>
      </c>
      <c r="C59" s="25"/>
      <c r="E59" s="23"/>
      <c r="G59" s="23"/>
      <c r="H59" s="29"/>
      <c r="I59" s="25"/>
      <c r="K59" s="25"/>
    </row>
    <row r="60" spans="1:57" s="24" customFormat="1" x14ac:dyDescent="0.2">
      <c r="A60" s="23" t="s">
        <v>74</v>
      </c>
      <c r="B60" s="34">
        <f>1000*B58/B$13</f>
        <v>90</v>
      </c>
      <c r="C60" s="25"/>
      <c r="E60" s="23"/>
      <c r="G60" s="23"/>
      <c r="H60" s="29"/>
      <c r="I60" s="25"/>
      <c r="K60" s="25"/>
    </row>
    <row r="61" spans="1:57" s="24" customFormat="1" x14ac:dyDescent="0.2">
      <c r="A61" s="44" t="s">
        <v>94</v>
      </c>
      <c r="B61" s="34">
        <f>1000*D47/B$13</f>
        <v>798.91799999989746</v>
      </c>
      <c r="C61" s="25"/>
      <c r="E61" s="44"/>
      <c r="G61" s="44"/>
      <c r="H61" s="29"/>
      <c r="I61" s="25"/>
      <c r="K61" s="25"/>
    </row>
    <row r="62" spans="1:57" s="24" customFormat="1" x14ac:dyDescent="0.2">
      <c r="A62" s="44" t="s">
        <v>95</v>
      </c>
      <c r="B62" s="34">
        <f>1000*F47/B$13</f>
        <v>742.41099999990297</v>
      </c>
      <c r="C62" s="25"/>
      <c r="E62" s="44"/>
      <c r="G62" s="44"/>
      <c r="H62" s="29"/>
      <c r="I62" s="25"/>
      <c r="K62" s="25"/>
    </row>
    <row r="63" spans="1:57" s="42" customFormat="1" ht="34" x14ac:dyDescent="0.2">
      <c r="A63" s="40" t="s">
        <v>75</v>
      </c>
      <c r="B63" s="49">
        <v>1.5264701180665301</v>
      </c>
      <c r="C63" s="54" t="s">
        <v>77</v>
      </c>
      <c r="D63" s="55">
        <f>(B63/B64)^4</f>
        <v>1.5207404632936303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</row>
    <row r="64" spans="1:57" s="42" customFormat="1" ht="34" x14ac:dyDescent="0.2">
      <c r="A64" s="40" t="s">
        <v>76</v>
      </c>
      <c r="B64" s="49">
        <v>1.37459427762608</v>
      </c>
      <c r="C64" s="54"/>
      <c r="D64" s="55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</row>
    <row r="66" spans="4:4" x14ac:dyDescent="0.2">
      <c r="D66" s="38"/>
    </row>
  </sheetData>
  <mergeCells count="36">
    <mergeCell ref="A54:A55"/>
    <mergeCell ref="B54:B55"/>
    <mergeCell ref="A39:A45"/>
    <mergeCell ref="B39:B45"/>
    <mergeCell ref="C3:C4"/>
    <mergeCell ref="A36:A38"/>
    <mergeCell ref="B36:B38"/>
    <mergeCell ref="A17:A23"/>
    <mergeCell ref="B17:B23"/>
    <mergeCell ref="B28:B34"/>
    <mergeCell ref="A28:A34"/>
    <mergeCell ref="C51:C52"/>
    <mergeCell ref="G1:G4"/>
    <mergeCell ref="H1:H4"/>
    <mergeCell ref="A14:A16"/>
    <mergeCell ref="B14:B16"/>
    <mergeCell ref="A25:A27"/>
    <mergeCell ref="B25:B27"/>
    <mergeCell ref="D3:D4"/>
    <mergeCell ref="C1:C2"/>
    <mergeCell ref="D1:D2"/>
    <mergeCell ref="A11:A12"/>
    <mergeCell ref="B11:B12"/>
    <mergeCell ref="A9:A10"/>
    <mergeCell ref="B9:B10"/>
    <mergeCell ref="E47:E48"/>
    <mergeCell ref="F47:F48"/>
    <mergeCell ref="E49:E50"/>
    <mergeCell ref="F49:F50"/>
    <mergeCell ref="E1:E4"/>
    <mergeCell ref="F1:F4"/>
    <mergeCell ref="D51:D52"/>
    <mergeCell ref="I57:I58"/>
    <mergeCell ref="J57:J58"/>
    <mergeCell ref="C63:C64"/>
    <mergeCell ref="D63:D64"/>
  </mergeCells>
  <pageMargins left="0.7" right="0.7" top="0.75" bottom="0.75" header="0.3" footer="0.3"/>
  <ignoredErrors>
    <ignoredError sqref="B51:B52" formulaRange="1"/>
    <ignoredError sqref="D48:D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EC1F-F1AE-944B-9DB9-37F186771FE5}">
  <dimension ref="A1:B6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80</v>
      </c>
      <c r="B3" t="s">
        <v>84</v>
      </c>
    </row>
    <row r="4" spans="1:2" x14ac:dyDescent="0.2">
      <c r="A4" t="s">
        <v>81</v>
      </c>
      <c r="B4" t="s">
        <v>85</v>
      </c>
    </row>
    <row r="5" spans="1:2" x14ac:dyDescent="0.2">
      <c r="A5" t="s">
        <v>82</v>
      </c>
      <c r="B5" t="s">
        <v>86</v>
      </c>
    </row>
    <row r="6" spans="1:2" x14ac:dyDescent="0.2">
      <c r="A6" t="s">
        <v>83</v>
      </c>
      <c r="B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Palken</dc:creator>
  <cp:lastModifiedBy>Daniel Palken</cp:lastModifiedBy>
  <dcterms:created xsi:type="dcterms:W3CDTF">2020-04-12T16:38:19Z</dcterms:created>
  <dcterms:modified xsi:type="dcterms:W3CDTF">2020-06-22T17:11:47Z</dcterms:modified>
</cp:coreProperties>
</file>